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codeName="ThisWorkbook"/>
  <mc:AlternateContent xmlns:mc="http://schemas.openxmlformats.org/markup-compatibility/2006">
    <mc:Choice Requires="x15">
      <x15ac:absPath xmlns:x15ac="http://schemas.microsoft.com/office/spreadsheetml/2010/11/ac" url="/Users/bi010850/Documents/Documentos Arquivamento/untitled folder/"/>
    </mc:Choice>
  </mc:AlternateContent>
  <xr:revisionPtr revIDLastSave="0" documentId="8_{D81E701E-A083-7E46-B63A-4A1B15CDE92E}" xr6:coauthVersionLast="47" xr6:coauthVersionMax="47" xr10:uidLastSave="{00000000-0000-0000-0000-000000000000}"/>
  <bookViews>
    <workbookView xWindow="0" yWindow="660" windowWidth="29400" windowHeight="16660" tabRatio="502" activeTab="1" xr2:uid="{00000000-000D-0000-FFFF-FFFF00000000}"/>
  </bookViews>
  <sheets>
    <sheet name="Names" sheetId="40" state="hidden" r:id="rId1"/>
    <sheet name="Summary | Sumário" sheetId="13" r:id="rId2"/>
    <sheet name="1. Highlights" sheetId="48" r:id="rId3"/>
    <sheet name="2. BS | BP" sheetId="20" r:id="rId4"/>
    <sheet name="3. IS | DRE" sheetId="18" r:id="rId5"/>
    <sheet name="4. Funding" sheetId="76" r:id="rId6"/>
    <sheet name="5. IEP" sheetId="59" r:id="rId7"/>
    <sheet name="6. NII" sheetId="58" r:id="rId8"/>
    <sheet name="7. Fee Revenue | R. de Serv " sheetId="60" r:id="rId9"/>
    <sheet name="8. Expenses" sheetId="61" r:id="rId10"/>
    <sheet name="9. Financial KPIs | KPIs Fin." sheetId="74" r:id="rId11"/>
    <sheet name="9.1 Asset Quality" sheetId="62" r:id="rId12"/>
    <sheet name="9.2 NIM &amp; Yields" sheetId="63" r:id="rId13"/>
    <sheet name="9.3 Fee Income Ratio" sheetId="64" r:id="rId14"/>
    <sheet name="9.4 Efficiency | Eficiência" sheetId="65" r:id="rId15"/>
    <sheet name="9.5 CTS | Custo de servir " sheetId="66" r:id="rId16"/>
    <sheet name="9.6 ARPAC" sheetId="67" r:id="rId17"/>
    <sheet name="9.7 Cost of Funding" sheetId="68" r:id="rId18"/>
    <sheet name="9.8 ROE" sheetId="78" r:id="rId19"/>
    <sheet name="9.9 Capital | Basileia" sheetId="75" r:id="rId20"/>
    <sheet name="9.10 Income Tax Rate" sheetId="79" r:id="rId21"/>
    <sheet name="1. Inter Invest" sheetId="69" r:id="rId22"/>
    <sheet name="2. Inter Seguros" sheetId="70" r:id="rId23"/>
    <sheet name="3. Inter Shop" sheetId="71" r:id="rId24"/>
    <sheet name="4. Digital Acou. | Conta Di" sheetId="72" r:id="rId25"/>
    <sheet name="5. Oper. KPIs | KPIs Oper." sheetId="73" r:id="rId26"/>
    <sheet name="1. Market Data | Dado de Mer." sheetId="54" r:id="rId27"/>
    <sheet name="2. Simulation | Simulação" sheetId="52" state="hidden" r:id="rId28"/>
    <sheet name="2. Disclaimer" sheetId="46" r:id="rId29"/>
    <sheet name="3. Glossary | Glossário" sheetId="44" r:id="rId30"/>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 i="70" l="1"/>
  <c r="V2" i="70"/>
  <c r="D17" i="58"/>
  <c r="E14" i="58"/>
  <c r="E15" i="58"/>
  <c r="E17" i="58"/>
  <c r="F14" i="58"/>
  <c r="F15" i="58"/>
  <c r="F17" i="58"/>
  <c r="G14" i="58"/>
  <c r="G15" i="58"/>
  <c r="G17" i="58"/>
  <c r="H14" i="58"/>
  <c r="H15" i="58"/>
  <c r="H17" i="58"/>
  <c r="I14" i="58"/>
  <c r="I15" i="58"/>
  <c r="I17" i="58"/>
  <c r="K17" i="58"/>
  <c r="L17" i="58"/>
  <c r="M17" i="58"/>
  <c r="N17" i="58"/>
  <c r="O17" i="58"/>
  <c r="P17" i="58"/>
  <c r="Q17" i="58"/>
  <c r="R17" i="58"/>
  <c r="S17" i="58"/>
  <c r="T17" i="58"/>
  <c r="U17" i="58"/>
  <c r="V17" i="58"/>
  <c r="W17" i="58"/>
  <c r="X17" i="58"/>
  <c r="Y17" i="58"/>
  <c r="Z17" i="58"/>
  <c r="AA17" i="58"/>
  <c r="AB17" i="58"/>
  <c r="AC17" i="58"/>
  <c r="AD17" i="58"/>
  <c r="E12" i="59"/>
  <c r="F12" i="59"/>
  <c r="G12" i="59"/>
  <c r="H12" i="59"/>
  <c r="I12" i="59"/>
  <c r="AA10" i="72"/>
  <c r="W2" i="71"/>
  <c r="V2" i="71"/>
  <c r="U2" i="71"/>
  <c r="T2" i="71"/>
  <c r="S2" i="71"/>
  <c r="R2" i="71"/>
  <c r="Q2" i="71"/>
  <c r="P2" i="71"/>
  <c r="O2" i="71"/>
  <c r="N2" i="71"/>
  <c r="M2" i="71"/>
  <c r="L2" i="71"/>
  <c r="K2" i="71"/>
  <c r="J2" i="71"/>
  <c r="I2" i="71"/>
  <c r="H2" i="71"/>
  <c r="G2" i="71"/>
  <c r="F2" i="71"/>
  <c r="E2" i="71"/>
  <c r="D2" i="71"/>
  <c r="C2" i="71"/>
  <c r="W2" i="72"/>
  <c r="U2" i="54"/>
  <c r="W2" i="73"/>
  <c r="AD2" i="75"/>
  <c r="AC2" i="75"/>
  <c r="AD2" i="78"/>
  <c r="AD2" i="68"/>
  <c r="AC2" i="68"/>
  <c r="AD2" i="67"/>
  <c r="AC2" i="67"/>
  <c r="AD2" i="66"/>
  <c r="AC2" i="66"/>
  <c r="AD2" i="65"/>
  <c r="AC2" i="65"/>
  <c r="AD2" i="64"/>
  <c r="AC2" i="64"/>
  <c r="AD2" i="63"/>
  <c r="AC2" i="63"/>
  <c r="AD2" i="62"/>
  <c r="AC2" i="62"/>
  <c r="AD2" i="61"/>
  <c r="AC2" i="61"/>
  <c r="AD2" i="60"/>
  <c r="AC2" i="60"/>
  <c r="AD2" i="58"/>
  <c r="AD2" i="59"/>
  <c r="AC2" i="59"/>
  <c r="AD2" i="79"/>
  <c r="B11" i="66"/>
  <c r="I11" i="66"/>
  <c r="B6" i="62"/>
  <c r="B7" i="62"/>
  <c r="B8" i="62"/>
  <c r="B9" i="62"/>
  <c r="B10" i="62"/>
  <c r="AD5" i="62"/>
  <c r="I5" i="62"/>
  <c r="I47" i="62"/>
  <c r="AD47" i="62"/>
  <c r="B25" i="62"/>
  <c r="B11" i="62"/>
  <c r="AD12" i="62"/>
  <c r="AD27" i="62"/>
  <c r="Z2" i="62"/>
  <c r="Z5" i="62"/>
  <c r="Z12" i="62"/>
  <c r="Z27" i="62"/>
  <c r="AG27" i="62"/>
  <c r="AC5" i="62"/>
  <c r="AC12" i="62"/>
  <c r="AC27" i="62"/>
  <c r="AF27" i="62"/>
  <c r="G17" i="74"/>
  <c r="H17" i="74"/>
  <c r="I17" i="74"/>
  <c r="AD2" i="74"/>
  <c r="B22" i="59"/>
  <c r="I22" i="59"/>
  <c r="B21" i="59"/>
  <c r="I21" i="59"/>
  <c r="B19" i="59"/>
  <c r="I19" i="59"/>
  <c r="B17" i="59"/>
  <c r="I17" i="59"/>
  <c r="B16" i="59"/>
  <c r="I16" i="59"/>
  <c r="B15" i="59"/>
  <c r="I15" i="59"/>
  <c r="I8" i="59"/>
  <c r="B6" i="20"/>
  <c r="AD2" i="20"/>
  <c r="I6" i="20"/>
  <c r="I6" i="59"/>
  <c r="B20" i="59"/>
  <c r="I18" i="59"/>
  <c r="I14" i="59"/>
  <c r="B5" i="20"/>
  <c r="I5" i="20"/>
  <c r="I5" i="59"/>
  <c r="B7" i="20"/>
  <c r="I7" i="20"/>
  <c r="I9" i="59"/>
  <c r="B8" i="20"/>
  <c r="I8" i="20"/>
  <c r="I10" i="59"/>
  <c r="B9" i="20"/>
  <c r="I9" i="20"/>
  <c r="I13" i="59"/>
  <c r="I23" i="59"/>
  <c r="AD2" i="76"/>
  <c r="AC2" i="76"/>
  <c r="AD2" i="18"/>
  <c r="N2" i="48"/>
  <c r="B29" i="58"/>
  <c r="AD37" i="58"/>
  <c r="AC18" i="59"/>
  <c r="AC65" i="63"/>
  <c r="AC66" i="63"/>
  <c r="AC62" i="63"/>
  <c r="AC63" i="63"/>
  <c r="AC64" i="63"/>
  <c r="AC61" i="63"/>
  <c r="B7" i="58"/>
  <c r="AC2" i="58"/>
  <c r="AC41" i="63"/>
  <c r="B26" i="58"/>
  <c r="AC42" i="63"/>
  <c r="AC40" i="63"/>
  <c r="AB2" i="59"/>
  <c r="AB62" i="63"/>
  <c r="AC85" i="63"/>
  <c r="B9" i="72"/>
  <c r="U2" i="72"/>
  <c r="X2" i="72"/>
  <c r="B23" i="58"/>
  <c r="AC53" i="63"/>
  <c r="AC54" i="63"/>
  <c r="B27" i="58"/>
  <c r="AC45" i="63"/>
  <c r="AC55" i="63"/>
  <c r="AC52" i="63"/>
  <c r="AC56" i="63"/>
  <c r="B17" i="58"/>
  <c r="AC57" i="63"/>
  <c r="AC51" i="63"/>
  <c r="AB2" i="20"/>
  <c r="AB5" i="59"/>
  <c r="AB73" i="63"/>
  <c r="B69" i="63"/>
  <c r="AB2" i="63"/>
  <c r="AB74" i="63"/>
  <c r="AB72" i="63"/>
  <c r="AB9" i="59"/>
  <c r="AB75" i="63"/>
  <c r="AB13" i="59"/>
  <c r="AB76" i="63"/>
  <c r="AB77" i="63"/>
  <c r="AB71" i="63"/>
  <c r="AC2" i="20"/>
  <c r="AC5" i="59"/>
  <c r="AC73" i="63"/>
  <c r="AC74" i="63"/>
  <c r="AC72" i="63"/>
  <c r="AC9" i="59"/>
  <c r="AC75" i="63"/>
  <c r="AC13" i="59"/>
  <c r="AC76" i="63"/>
  <c r="AC77" i="63"/>
  <c r="AC71" i="63"/>
  <c r="AC92" i="63"/>
  <c r="Z2" i="58"/>
  <c r="AG30" i="58"/>
  <c r="AF30" i="58"/>
  <c r="AA2" i="58"/>
  <c r="AB2" i="58"/>
  <c r="W2" i="58"/>
  <c r="X2" i="58"/>
  <c r="Y2" i="58"/>
  <c r="H30" i="58"/>
  <c r="S2" i="58"/>
  <c r="T2" i="58"/>
  <c r="U2" i="58"/>
  <c r="V2" i="58"/>
  <c r="G30" i="58"/>
  <c r="O2" i="58"/>
  <c r="P2" i="58"/>
  <c r="Q2" i="58"/>
  <c r="R2" i="58"/>
  <c r="K2" i="58"/>
  <c r="L2" i="58"/>
  <c r="M2" i="58"/>
  <c r="N2" i="58"/>
  <c r="E30" i="58"/>
  <c r="I30" i="58"/>
  <c r="D2" i="58"/>
  <c r="C2" i="58"/>
  <c r="B13" i="58"/>
  <c r="B12" i="58"/>
  <c r="B11" i="58"/>
  <c r="B10" i="58"/>
  <c r="B9" i="58"/>
  <c r="B8" i="58"/>
  <c r="B6" i="58"/>
  <c r="AC5" i="58"/>
  <c r="B14" i="67"/>
  <c r="AB2" i="67"/>
  <c r="AC15" i="67"/>
  <c r="AC13" i="67"/>
  <c r="B12" i="60"/>
  <c r="AC12" i="67"/>
  <c r="B11" i="60"/>
  <c r="AC11" i="67"/>
  <c r="B11" i="18"/>
  <c r="AC2" i="18"/>
  <c r="AC10" i="67"/>
  <c r="B9" i="18"/>
  <c r="AC9" i="67"/>
  <c r="B18" i="58"/>
  <c r="AC8" i="67"/>
  <c r="AC7" i="67"/>
  <c r="AC6" i="67"/>
  <c r="AC5" i="67"/>
  <c r="AD5" i="58"/>
  <c r="AD7" i="67"/>
  <c r="AD8" i="67"/>
  <c r="AD9" i="67"/>
  <c r="AD10" i="67"/>
  <c r="AD11" i="67"/>
  <c r="AD12" i="67"/>
  <c r="AD6" i="67"/>
  <c r="AD5" i="67"/>
  <c r="AD15" i="67"/>
  <c r="AD13" i="67"/>
  <c r="AD16" i="67"/>
  <c r="B9" i="60"/>
  <c r="AF9" i="60"/>
  <c r="B5" i="76"/>
  <c r="Z2" i="76"/>
  <c r="AG5" i="76"/>
  <c r="B6" i="76"/>
  <c r="AF6" i="76"/>
  <c r="B29" i="18"/>
  <c r="AD13" i="78"/>
  <c r="AD12" i="78"/>
  <c r="B33" i="20"/>
  <c r="B34" i="20"/>
  <c r="B35" i="20"/>
  <c r="B36" i="20"/>
  <c r="AC32" i="20"/>
  <c r="AC15" i="78"/>
  <c r="AD32" i="20"/>
  <c r="AD15" i="78"/>
  <c r="AD14" i="78"/>
  <c r="AD16" i="78"/>
  <c r="N36" i="48"/>
  <c r="Z2" i="18"/>
  <c r="Z13" i="78"/>
  <c r="Z12" i="78"/>
  <c r="Y2" i="20"/>
  <c r="Y32" i="20"/>
  <c r="Y15" i="78"/>
  <c r="Z2" i="20"/>
  <c r="Z32" i="20"/>
  <c r="Z15" i="78"/>
  <c r="Z14" i="78"/>
  <c r="Z16" i="78"/>
  <c r="J36" i="48"/>
  <c r="Q36" i="48"/>
  <c r="B7" i="61"/>
  <c r="AD19" i="65"/>
  <c r="B8" i="61"/>
  <c r="AD20" i="65"/>
  <c r="B9" i="61"/>
  <c r="AD21" i="65"/>
  <c r="AD18" i="65"/>
  <c r="AD5" i="65"/>
  <c r="AD33" i="58"/>
  <c r="B14" i="58"/>
  <c r="AD34" i="58"/>
  <c r="B19" i="58"/>
  <c r="AD35" i="58"/>
  <c r="AD36" i="58"/>
  <c r="AD38" i="58"/>
  <c r="AD23" i="65"/>
  <c r="AD10" i="65"/>
  <c r="B5" i="60"/>
  <c r="B15" i="60"/>
  <c r="B16" i="60"/>
  <c r="B17" i="60"/>
  <c r="B18" i="60"/>
  <c r="AD14" i="60"/>
  <c r="AD19" i="60"/>
  <c r="AD24" i="65"/>
  <c r="AD11" i="65"/>
  <c r="B20" i="18"/>
  <c r="AD25" i="65"/>
  <c r="AD13" i="65"/>
  <c r="AD12" i="65"/>
  <c r="AD9" i="65"/>
  <c r="AD15" i="65"/>
  <c r="N35" i="48"/>
  <c r="Z2" i="61"/>
  <c r="Z19" i="65"/>
  <c r="Z20" i="65"/>
  <c r="Z21" i="65"/>
  <c r="Z18" i="65"/>
  <c r="Z5" i="65"/>
  <c r="Z5" i="58"/>
  <c r="Z33" i="58"/>
  <c r="Z34" i="58"/>
  <c r="Z35" i="58"/>
  <c r="Z36" i="58"/>
  <c r="Z37" i="58"/>
  <c r="Z38" i="58"/>
  <c r="Z23" i="65"/>
  <c r="Z10" i="65"/>
  <c r="Z2" i="60"/>
  <c r="Z14" i="60"/>
  <c r="Z19" i="60"/>
  <c r="Z24" i="65"/>
  <c r="Z11" i="65"/>
  <c r="Z25" i="65"/>
  <c r="Z13" i="65"/>
  <c r="Z12" i="65"/>
  <c r="Z9" i="65"/>
  <c r="Z15" i="65"/>
  <c r="J35" i="48"/>
  <c r="Q35" i="48"/>
  <c r="B6" i="68"/>
  <c r="AD5" i="68"/>
  <c r="B10" i="76"/>
  <c r="B12" i="76"/>
  <c r="B13" i="76"/>
  <c r="AD11" i="76"/>
  <c r="B14" i="76"/>
  <c r="AD15" i="76"/>
  <c r="AD8" i="68"/>
  <c r="AC11" i="76"/>
  <c r="AC15" i="76"/>
  <c r="AC8" i="68"/>
  <c r="AD9" i="68"/>
  <c r="AD7" i="68"/>
  <c r="AD10" i="68"/>
  <c r="B11" i="68"/>
  <c r="AD12" i="68"/>
  <c r="N34" i="48"/>
  <c r="Z2" i="68"/>
  <c r="Z5" i="68"/>
  <c r="Z11" i="76"/>
  <c r="Z15" i="76"/>
  <c r="Z8" i="68"/>
  <c r="Y2" i="76"/>
  <c r="Y11" i="76"/>
  <c r="Y15" i="76"/>
  <c r="Y8" i="68"/>
  <c r="Z9" i="68"/>
  <c r="Z7" i="68"/>
  <c r="Z10" i="68"/>
  <c r="Z12" i="68"/>
  <c r="J34" i="48"/>
  <c r="Q34" i="48"/>
  <c r="AD6" i="63"/>
  <c r="AD14" i="63"/>
  <c r="B15" i="63"/>
  <c r="AD13" i="63"/>
  <c r="AD12" i="63"/>
  <c r="AD5" i="59"/>
  <c r="AD6" i="59"/>
  <c r="AD9" i="59"/>
  <c r="AD10" i="59"/>
  <c r="AD13" i="59"/>
  <c r="AD18" i="59"/>
  <c r="AD14" i="59"/>
  <c r="AD23" i="59"/>
  <c r="AD8" i="63"/>
  <c r="AD17" i="63"/>
  <c r="AC6" i="59"/>
  <c r="AC10" i="59"/>
  <c r="AC14" i="59"/>
  <c r="AC23" i="59"/>
  <c r="AC8" i="63"/>
  <c r="AC17" i="63"/>
  <c r="AD16" i="63"/>
  <c r="AD18" i="63"/>
  <c r="N33" i="48"/>
  <c r="Z6" i="63"/>
  <c r="Z14" i="63"/>
  <c r="Z2" i="63"/>
  <c r="Z13" i="63"/>
  <c r="Z12" i="63"/>
  <c r="Z5" i="59"/>
  <c r="Z2" i="59"/>
  <c r="Z6" i="59"/>
  <c r="Z9" i="59"/>
  <c r="Z10" i="59"/>
  <c r="Z13" i="59"/>
  <c r="Z18" i="59"/>
  <c r="Z14" i="59"/>
  <c r="Z23" i="59"/>
  <c r="Z8" i="63"/>
  <c r="Z17" i="63"/>
  <c r="Y5" i="59"/>
  <c r="Y2" i="59"/>
  <c r="Y6" i="59"/>
  <c r="Y9" i="59"/>
  <c r="Y10" i="59"/>
  <c r="Y13" i="59"/>
  <c r="Y18" i="59"/>
  <c r="Y14" i="59"/>
  <c r="Y23" i="59"/>
  <c r="Y8" i="63"/>
  <c r="Y17" i="63"/>
  <c r="Z16" i="63"/>
  <c r="Z18" i="63"/>
  <c r="J33" i="48"/>
  <c r="Q33" i="48"/>
  <c r="AD5" i="63"/>
  <c r="AD7" i="63"/>
  <c r="AD9" i="63"/>
  <c r="N32" i="48"/>
  <c r="Z5" i="63"/>
  <c r="Z7" i="63"/>
  <c r="Z9" i="63"/>
  <c r="J32" i="48"/>
  <c r="Q32" i="48"/>
  <c r="AD31" i="62"/>
  <c r="B32" i="62"/>
  <c r="AD30" i="62"/>
  <c r="AD33" i="62"/>
  <c r="AD34" i="62"/>
  <c r="N29" i="48"/>
  <c r="Z31" i="62"/>
  <c r="Z30" i="62"/>
  <c r="Z33" i="62"/>
  <c r="Z34" i="62"/>
  <c r="J29" i="48"/>
  <c r="Q29" i="48"/>
  <c r="B20" i="62"/>
  <c r="AD21" i="62"/>
  <c r="N28" i="48"/>
  <c r="Z21" i="62"/>
  <c r="J28" i="48"/>
  <c r="Q28" i="48"/>
  <c r="AD26" i="62"/>
  <c r="N27" i="48"/>
  <c r="Z26" i="62"/>
  <c r="J27" i="48"/>
  <c r="Q27" i="48"/>
  <c r="B6" i="69"/>
  <c r="X2" i="69"/>
  <c r="B7" i="69"/>
  <c r="B8" i="69"/>
  <c r="X5" i="69"/>
  <c r="N24" i="48"/>
  <c r="T2" i="69"/>
  <c r="T5" i="69"/>
  <c r="J24" i="48"/>
  <c r="Q24" i="48"/>
  <c r="B5" i="71"/>
  <c r="N23" i="48"/>
  <c r="J23" i="48"/>
  <c r="Q23" i="48"/>
  <c r="B10" i="72"/>
  <c r="B11" i="72"/>
  <c r="X12" i="72"/>
  <c r="N22" i="48"/>
  <c r="T2" i="72"/>
  <c r="T12" i="72"/>
  <c r="J22" i="48"/>
  <c r="Q22" i="48"/>
  <c r="B38" i="20"/>
  <c r="N19" i="48"/>
  <c r="J19" i="48"/>
  <c r="Q19" i="48"/>
  <c r="N18" i="48"/>
  <c r="J18" i="48"/>
  <c r="Q18" i="48"/>
  <c r="N17" i="48"/>
  <c r="J17" i="48"/>
  <c r="Q17" i="48"/>
  <c r="N14" i="48"/>
  <c r="J14" i="48"/>
  <c r="Q14" i="48"/>
  <c r="B23" i="18"/>
  <c r="N13" i="48"/>
  <c r="J13" i="48"/>
  <c r="Q13" i="48"/>
  <c r="B12" i="18"/>
  <c r="N12" i="48"/>
  <c r="J12" i="48"/>
  <c r="Q12" i="48"/>
  <c r="N11" i="48"/>
  <c r="Z7" i="67"/>
  <c r="Z8" i="67"/>
  <c r="Z9" i="67"/>
  <c r="Z10" i="67"/>
  <c r="Z11" i="67"/>
  <c r="Z12" i="67"/>
  <c r="Z6" i="67"/>
  <c r="J11" i="48"/>
  <c r="Q11" i="48"/>
  <c r="B7" i="66"/>
  <c r="B8" i="66"/>
  <c r="B9" i="66"/>
  <c r="AD6" i="66"/>
  <c r="AD5" i="66"/>
  <c r="AD10" i="66"/>
  <c r="AD13" i="66"/>
  <c r="N8" i="48"/>
  <c r="Z2" i="66"/>
  <c r="Z6" i="66"/>
  <c r="Z5" i="66"/>
  <c r="Y2" i="66"/>
  <c r="Z10" i="66"/>
  <c r="Z13" i="66"/>
  <c r="J8" i="48"/>
  <c r="Q8" i="48"/>
  <c r="N7" i="48"/>
  <c r="Z5" i="67"/>
  <c r="Z2" i="67"/>
  <c r="Y2" i="67"/>
  <c r="Z15" i="67"/>
  <c r="Z13" i="67"/>
  <c r="Z16" i="67"/>
  <c r="J7" i="48"/>
  <c r="Q7" i="48"/>
  <c r="B6" i="73"/>
  <c r="X2" i="73"/>
  <c r="N6" i="48"/>
  <c r="T2" i="73"/>
  <c r="J6" i="48"/>
  <c r="Q6" i="48"/>
  <c r="B5" i="73"/>
  <c r="N5" i="48"/>
  <c r="J5" i="48"/>
  <c r="Q5" i="48"/>
  <c r="AC13" i="78"/>
  <c r="AC12" i="78"/>
  <c r="AB32" i="20"/>
  <c r="AB15" i="78"/>
  <c r="AC14" i="78"/>
  <c r="AC16" i="78"/>
  <c r="M36" i="48"/>
  <c r="P36" i="48"/>
  <c r="AC19" i="65"/>
  <c r="AC20" i="65"/>
  <c r="AC21" i="65"/>
  <c r="AC18" i="65"/>
  <c r="AC5" i="65"/>
  <c r="AC33" i="58"/>
  <c r="AC34" i="58"/>
  <c r="AC35" i="58"/>
  <c r="AC36" i="58"/>
  <c r="AC37" i="58"/>
  <c r="AC38" i="58"/>
  <c r="AC23" i="65"/>
  <c r="AC10" i="65"/>
  <c r="AC14" i="60"/>
  <c r="AC19" i="60"/>
  <c r="AC24" i="65"/>
  <c r="AC11" i="65"/>
  <c r="AC25" i="65"/>
  <c r="AC13" i="65"/>
  <c r="AC12" i="65"/>
  <c r="AC9" i="65"/>
  <c r="AC15" i="65"/>
  <c r="M35" i="48"/>
  <c r="P35" i="48"/>
  <c r="AC5" i="68"/>
  <c r="AB2" i="76"/>
  <c r="AB11" i="76"/>
  <c r="AB15" i="76"/>
  <c r="AB8" i="68"/>
  <c r="AC9" i="68"/>
  <c r="AC7" i="68"/>
  <c r="AC10" i="68"/>
  <c r="AC12" i="68"/>
  <c r="M34" i="48"/>
  <c r="P34" i="48"/>
  <c r="AC6" i="63"/>
  <c r="AC14" i="63"/>
  <c r="AC13" i="63"/>
  <c r="AC12" i="63"/>
  <c r="AB6" i="59"/>
  <c r="AB10" i="59"/>
  <c r="AB18" i="59"/>
  <c r="AB14" i="59"/>
  <c r="AB23" i="59"/>
  <c r="AB8" i="63"/>
  <c r="AB17" i="63"/>
  <c r="AC16" i="63"/>
  <c r="AC18" i="63"/>
  <c r="M33" i="48"/>
  <c r="P33" i="48"/>
  <c r="AC5" i="63"/>
  <c r="AC7" i="63"/>
  <c r="AC9" i="63"/>
  <c r="M32" i="48"/>
  <c r="P32" i="48"/>
  <c r="AC31" i="62"/>
  <c r="AC30" i="62"/>
  <c r="AC33" i="62"/>
  <c r="AC34" i="62"/>
  <c r="M29" i="48"/>
  <c r="P29" i="48"/>
  <c r="AC21" i="62"/>
  <c r="M28" i="48"/>
  <c r="P28" i="48"/>
  <c r="AC26" i="62"/>
  <c r="M27" i="48"/>
  <c r="P27" i="48"/>
  <c r="W5" i="69"/>
  <c r="M24" i="48"/>
  <c r="P24" i="48"/>
  <c r="M23" i="48"/>
  <c r="P23" i="48"/>
  <c r="W12" i="72"/>
  <c r="M22" i="48"/>
  <c r="P22" i="48"/>
  <c r="M19" i="48"/>
  <c r="P19" i="48"/>
  <c r="M18" i="48"/>
  <c r="P18" i="48"/>
  <c r="M17" i="48"/>
  <c r="P17" i="48"/>
  <c r="M14" i="48"/>
  <c r="P14" i="48"/>
  <c r="M13" i="48"/>
  <c r="P13" i="48"/>
  <c r="M12" i="48"/>
  <c r="P12" i="48"/>
  <c r="M11" i="48"/>
  <c r="P11" i="48"/>
  <c r="AC6" i="66"/>
  <c r="AC5" i="66"/>
  <c r="AB2" i="66"/>
  <c r="AC10" i="66"/>
  <c r="AC13" i="66"/>
  <c r="M8" i="48"/>
  <c r="P8" i="48"/>
  <c r="AC16" i="67"/>
  <c r="M7" i="48"/>
  <c r="P7" i="48"/>
  <c r="M6" i="48"/>
  <c r="P6" i="48"/>
  <c r="M5" i="48"/>
  <c r="P5" i="48"/>
  <c r="V23" i="54"/>
  <c r="V21" i="54"/>
  <c r="V19" i="54"/>
  <c r="AF5" i="65"/>
  <c r="AD5" i="74"/>
  <c r="AD6" i="74"/>
  <c r="AD7" i="74"/>
  <c r="B14" i="18"/>
  <c r="AD38" i="62"/>
  <c r="AD37" i="62"/>
  <c r="AC41" i="62"/>
  <c r="AC17" i="62"/>
  <c r="B12" i="59"/>
  <c r="AC11" i="59"/>
  <c r="AC15" i="62"/>
  <c r="AC16" i="62"/>
  <c r="AC42" i="62"/>
  <c r="AC40" i="62"/>
  <c r="AD41" i="62"/>
  <c r="AD17" i="62"/>
  <c r="AD11" i="59"/>
  <c r="AD15" i="62"/>
  <c r="AD16" i="62"/>
  <c r="AD42" i="62"/>
  <c r="AD40" i="62"/>
  <c r="AD39" i="62"/>
  <c r="AD43" i="62"/>
  <c r="AD8" i="74"/>
  <c r="AD9" i="74"/>
  <c r="AD10" i="74"/>
  <c r="AD8" i="64"/>
  <c r="AD5" i="64"/>
  <c r="AD7" i="64"/>
  <c r="AD6" i="64"/>
  <c r="AD9" i="64"/>
  <c r="AD11" i="74"/>
  <c r="AD12" i="74"/>
  <c r="AD13" i="74"/>
  <c r="AD14" i="74"/>
  <c r="B21" i="67"/>
  <c r="B22" i="67"/>
  <c r="B23" i="67"/>
  <c r="B24" i="67"/>
  <c r="AD25" i="67"/>
  <c r="AD26" i="67"/>
  <c r="B27" i="67"/>
  <c r="AD20" i="67"/>
  <c r="AD19" i="67"/>
  <c r="AD28" i="67"/>
  <c r="AD31" i="67"/>
  <c r="AD15" i="74"/>
  <c r="AD16" i="74"/>
  <c r="AD17" i="74"/>
  <c r="AD18" i="74"/>
  <c r="I2" i="74"/>
  <c r="I20" i="62"/>
  <c r="I12" i="62"/>
  <c r="I21" i="62"/>
  <c r="I5" i="74"/>
  <c r="I25" i="62"/>
  <c r="I26" i="62"/>
  <c r="I6" i="74"/>
  <c r="I34" i="62"/>
  <c r="I7" i="74"/>
  <c r="I38" i="62"/>
  <c r="I37" i="62"/>
  <c r="H12" i="62"/>
  <c r="H41" i="62"/>
  <c r="H8" i="20"/>
  <c r="H17" i="62"/>
  <c r="Z11" i="59"/>
  <c r="Z15" i="62"/>
  <c r="H15" i="62"/>
  <c r="H16" i="62"/>
  <c r="H42" i="62"/>
  <c r="H40" i="62"/>
  <c r="I41" i="62"/>
  <c r="I17" i="62"/>
  <c r="I15" i="62"/>
  <c r="I16" i="62"/>
  <c r="I42" i="62"/>
  <c r="I40" i="62"/>
  <c r="I39" i="62"/>
  <c r="I43" i="62"/>
  <c r="I8" i="74"/>
  <c r="AA5" i="58"/>
  <c r="AB5" i="58"/>
  <c r="I5" i="58"/>
  <c r="I33" i="58"/>
  <c r="I34" i="58"/>
  <c r="I19" i="58"/>
  <c r="I35" i="58"/>
  <c r="I23" i="58"/>
  <c r="I36" i="58"/>
  <c r="I29" i="58"/>
  <c r="I37" i="58"/>
  <c r="I38" i="58"/>
  <c r="I6" i="63"/>
  <c r="I5" i="63"/>
  <c r="AA2" i="59"/>
  <c r="I8" i="63"/>
  <c r="H5" i="20"/>
  <c r="H5" i="59"/>
  <c r="H6" i="20"/>
  <c r="H8" i="59"/>
  <c r="H6" i="59"/>
  <c r="H7" i="20"/>
  <c r="H9" i="59"/>
  <c r="H10" i="59"/>
  <c r="H9" i="20"/>
  <c r="H13" i="59"/>
  <c r="H15" i="59"/>
  <c r="H16" i="59"/>
  <c r="H17" i="59"/>
  <c r="H19" i="59"/>
  <c r="H2" i="59"/>
  <c r="H18" i="59"/>
  <c r="H21" i="59"/>
  <c r="H22" i="59"/>
  <c r="H14" i="59"/>
  <c r="H23" i="59"/>
  <c r="H8" i="63"/>
  <c r="I7" i="63"/>
  <c r="I9" i="63"/>
  <c r="I9" i="74"/>
  <c r="I14" i="63"/>
  <c r="I13" i="63"/>
  <c r="I12" i="63"/>
  <c r="I17" i="63"/>
  <c r="H17" i="63"/>
  <c r="I16" i="63"/>
  <c r="I18" i="63"/>
  <c r="I10" i="74"/>
  <c r="AA2" i="60"/>
  <c r="AB2" i="60"/>
  <c r="I5" i="60"/>
  <c r="I14" i="60"/>
  <c r="I19" i="60"/>
  <c r="I8" i="64"/>
  <c r="I5" i="64"/>
  <c r="I7" i="64"/>
  <c r="I6" i="64"/>
  <c r="I9" i="64"/>
  <c r="I11" i="74"/>
  <c r="I19" i="65"/>
  <c r="I20" i="65"/>
  <c r="I21" i="65"/>
  <c r="I18" i="65"/>
  <c r="I5" i="65"/>
  <c r="I23" i="65"/>
  <c r="I10" i="65"/>
  <c r="I24" i="65"/>
  <c r="I11" i="65"/>
  <c r="I25" i="65"/>
  <c r="I13" i="65"/>
  <c r="I12" i="65"/>
  <c r="I9" i="65"/>
  <c r="I15" i="65"/>
  <c r="I12" i="74"/>
  <c r="I6" i="66"/>
  <c r="I5" i="66"/>
  <c r="H11" i="66"/>
  <c r="AA2" i="66"/>
  <c r="I10" i="66"/>
  <c r="I13" i="66"/>
  <c r="I13" i="74"/>
  <c r="I7" i="67"/>
  <c r="I18" i="58"/>
  <c r="I8" i="67"/>
  <c r="I9" i="67"/>
  <c r="I10" i="67"/>
  <c r="I11" i="67"/>
  <c r="I12" i="67"/>
  <c r="I6" i="67"/>
  <c r="I5" i="67"/>
  <c r="H2" i="67"/>
  <c r="I15" i="67"/>
  <c r="I13" i="67"/>
  <c r="I16" i="67"/>
  <c r="I14" i="74"/>
  <c r="I25" i="67"/>
  <c r="I26" i="67"/>
  <c r="I20" i="67"/>
  <c r="I19" i="67"/>
  <c r="I28" i="67"/>
  <c r="I31" i="67"/>
  <c r="I15" i="74"/>
  <c r="I5" i="68"/>
  <c r="I15" i="76"/>
  <c r="I8" i="68"/>
  <c r="H15" i="76"/>
  <c r="H8" i="68"/>
  <c r="I9" i="68"/>
  <c r="I7" i="68"/>
  <c r="I10" i="68"/>
  <c r="I12" i="68"/>
  <c r="I16" i="74"/>
  <c r="I13" i="78"/>
  <c r="I12" i="78"/>
  <c r="H32" i="20"/>
  <c r="H15" i="78"/>
  <c r="I32" i="20"/>
  <c r="I15" i="78"/>
  <c r="I14" i="78"/>
  <c r="I16" i="78"/>
  <c r="I18" i="74"/>
  <c r="Y23" i="54"/>
  <c r="Y22" i="54"/>
  <c r="Y21" i="54"/>
  <c r="Y20" i="54"/>
  <c r="Y19" i="54"/>
  <c r="Y18" i="54"/>
  <c r="Y11" i="54"/>
  <c r="Y10" i="54"/>
  <c r="Y6" i="54"/>
  <c r="Y5" i="54"/>
  <c r="X23" i="54"/>
  <c r="X22" i="54"/>
  <c r="X21" i="54"/>
  <c r="X20" i="54"/>
  <c r="X19" i="54"/>
  <c r="X18" i="54"/>
  <c r="X11" i="54"/>
  <c r="X10" i="54"/>
  <c r="X6" i="54"/>
  <c r="X5" i="54"/>
  <c r="V2" i="54"/>
  <c r="B10" i="73"/>
  <c r="AA10" i="73"/>
  <c r="B8" i="73"/>
  <c r="X9" i="73"/>
  <c r="T9" i="73"/>
  <c r="AA9" i="73"/>
  <c r="AA8" i="73"/>
  <c r="B7" i="73"/>
  <c r="AA7" i="73"/>
  <c r="AA6" i="73"/>
  <c r="AA5" i="73"/>
  <c r="Z10" i="73"/>
  <c r="W9" i="73"/>
  <c r="Z9" i="73"/>
  <c r="Z8" i="73"/>
  <c r="Z7" i="73"/>
  <c r="Z6" i="73"/>
  <c r="Z5" i="73"/>
  <c r="B5" i="72"/>
  <c r="Z5" i="72"/>
  <c r="AA12" i="72"/>
  <c r="AA11" i="72"/>
  <c r="AA9" i="72"/>
  <c r="B6" i="72"/>
  <c r="AA6" i="72"/>
  <c r="AA5" i="72"/>
  <c r="Z12" i="72"/>
  <c r="Z11" i="72"/>
  <c r="Z10" i="72"/>
  <c r="Z9" i="72"/>
  <c r="Z6" i="72"/>
  <c r="B11" i="71"/>
  <c r="Y11" i="71"/>
  <c r="B10" i="71"/>
  <c r="Y10" i="71"/>
  <c r="B9" i="71"/>
  <c r="Y9" i="71"/>
  <c r="B8" i="71"/>
  <c r="Y8" i="71"/>
  <c r="B7" i="71"/>
  <c r="Y7" i="71"/>
  <c r="B6" i="71"/>
  <c r="Y6" i="71"/>
  <c r="Y5" i="71"/>
  <c r="Z11" i="71"/>
  <c r="Z10" i="71"/>
  <c r="Z9" i="71"/>
  <c r="Z8" i="71"/>
  <c r="Z7" i="71"/>
  <c r="Z6" i="71"/>
  <c r="Z5" i="71"/>
  <c r="B13" i="70"/>
  <c r="X2" i="70"/>
  <c r="T2" i="70"/>
  <c r="AA13" i="70"/>
  <c r="B12" i="70"/>
  <c r="AA12" i="70"/>
  <c r="AA11" i="70"/>
  <c r="B7" i="70"/>
  <c r="B8" i="70"/>
  <c r="X9" i="70"/>
  <c r="X10" i="70"/>
  <c r="T9" i="70"/>
  <c r="T10" i="70"/>
  <c r="AA10" i="70"/>
  <c r="AA9" i="70"/>
  <c r="AA8" i="70"/>
  <c r="AA7" i="70"/>
  <c r="X6" i="70"/>
  <c r="T6" i="70"/>
  <c r="AA6" i="70"/>
  <c r="B5" i="70"/>
  <c r="AA5" i="70"/>
  <c r="Z13" i="70"/>
  <c r="Z12" i="70"/>
  <c r="Z11" i="70"/>
  <c r="Z10" i="70"/>
  <c r="Z9" i="70"/>
  <c r="Z8" i="70"/>
  <c r="Z7" i="70"/>
  <c r="Z6" i="70"/>
  <c r="Z5" i="70"/>
  <c r="B11" i="69"/>
  <c r="AA11" i="69"/>
  <c r="B10" i="69"/>
  <c r="AA10" i="69"/>
  <c r="B9" i="69"/>
  <c r="AA9" i="69"/>
  <c r="AA8" i="69"/>
  <c r="AA7" i="69"/>
  <c r="AA6" i="69"/>
  <c r="AA5" i="69"/>
  <c r="Z11" i="69"/>
  <c r="Z10" i="69"/>
  <c r="Z9" i="69"/>
  <c r="Z8" i="69"/>
  <c r="Z7" i="69"/>
  <c r="Z6" i="69"/>
  <c r="Z5" i="69"/>
  <c r="B25" i="18"/>
  <c r="AD6" i="79"/>
  <c r="AD14" i="79"/>
  <c r="AD9" i="79"/>
  <c r="AD15" i="79"/>
  <c r="AD16" i="79"/>
  <c r="Z6" i="79"/>
  <c r="Z14" i="79"/>
  <c r="AG14" i="79"/>
  <c r="AD7" i="79"/>
  <c r="AD5" i="79"/>
  <c r="AD10" i="79"/>
  <c r="AD8" i="79"/>
  <c r="AD11" i="79"/>
  <c r="Z7" i="79"/>
  <c r="Z5" i="79"/>
  <c r="Z10" i="79"/>
  <c r="AG10" i="79"/>
  <c r="AG7" i="79"/>
  <c r="AG6" i="79"/>
  <c r="AG5" i="79"/>
  <c r="AC6" i="79"/>
  <c r="AC14" i="79"/>
  <c r="AC9" i="79"/>
  <c r="AC15" i="79"/>
  <c r="AC16" i="79"/>
  <c r="AF16" i="79"/>
  <c r="AF15" i="79"/>
  <c r="AF14" i="79"/>
  <c r="AC7" i="79"/>
  <c r="AC5" i="79"/>
  <c r="AC10" i="79"/>
  <c r="AC8" i="79"/>
  <c r="AC11" i="79"/>
  <c r="AF11" i="79"/>
  <c r="AF10" i="79"/>
  <c r="AF9" i="79"/>
  <c r="AF8" i="79"/>
  <c r="AF7" i="79"/>
  <c r="AF6" i="79"/>
  <c r="AF5" i="79"/>
  <c r="I2" i="79"/>
  <c r="I6" i="79"/>
  <c r="I7" i="79"/>
  <c r="I5" i="79"/>
  <c r="I9" i="79"/>
  <c r="I10" i="79"/>
  <c r="I8" i="79"/>
  <c r="I11" i="79"/>
  <c r="I14" i="79"/>
  <c r="I15" i="79"/>
  <c r="I16" i="79"/>
  <c r="AG23" i="75"/>
  <c r="AG22" i="75"/>
  <c r="AG21" i="75"/>
  <c r="AG20" i="75"/>
  <c r="AG19" i="75"/>
  <c r="AG17" i="75"/>
  <c r="AG16" i="75"/>
  <c r="AG15" i="75"/>
  <c r="AG13" i="75"/>
  <c r="AG12" i="75"/>
  <c r="AG11" i="75"/>
  <c r="AG10" i="75"/>
  <c r="AG9" i="75"/>
  <c r="AG7" i="75"/>
  <c r="AG6" i="75"/>
  <c r="AG5" i="75"/>
  <c r="AF23" i="75"/>
  <c r="AF22" i="75"/>
  <c r="AF21" i="75"/>
  <c r="AF20" i="75"/>
  <c r="AF19" i="75"/>
  <c r="AF17" i="75"/>
  <c r="AF16" i="75"/>
  <c r="AF15" i="75"/>
  <c r="AF13" i="75"/>
  <c r="AF12" i="75"/>
  <c r="AF11" i="75"/>
  <c r="AF10" i="75"/>
  <c r="AF9" i="75"/>
  <c r="AF7" i="75"/>
  <c r="AF6" i="75"/>
  <c r="AF5" i="75"/>
  <c r="I23" i="75"/>
  <c r="I22" i="75"/>
  <c r="I21" i="75"/>
  <c r="I20" i="75"/>
  <c r="I19" i="75"/>
  <c r="I17" i="75"/>
  <c r="I16" i="75"/>
  <c r="I15" i="75"/>
  <c r="I13" i="75"/>
  <c r="I12" i="75"/>
  <c r="I11" i="75"/>
  <c r="I10" i="75"/>
  <c r="I9" i="75"/>
  <c r="I7" i="75"/>
  <c r="I6" i="75"/>
  <c r="I5" i="75"/>
  <c r="I2" i="75"/>
  <c r="AG16" i="78"/>
  <c r="AG15" i="78"/>
  <c r="AG14" i="78"/>
  <c r="AG13" i="78"/>
  <c r="AG12" i="78"/>
  <c r="B28" i="18"/>
  <c r="AD6" i="78"/>
  <c r="AD5" i="78"/>
  <c r="AC8" i="78"/>
  <c r="AD8" i="78"/>
  <c r="AD7" i="78"/>
  <c r="AD9" i="78"/>
  <c r="Z6" i="78"/>
  <c r="Z5" i="78"/>
  <c r="Y8" i="78"/>
  <c r="Z8" i="78"/>
  <c r="Z7" i="78"/>
  <c r="Z9" i="78"/>
  <c r="AG9" i="78"/>
  <c r="AG8" i="78"/>
  <c r="AG7" i="78"/>
  <c r="AG6" i="78"/>
  <c r="AG5" i="78"/>
  <c r="AF16" i="78"/>
  <c r="AF15" i="78"/>
  <c r="AF14" i="78"/>
  <c r="AF13" i="78"/>
  <c r="AF12" i="78"/>
  <c r="AC6" i="78"/>
  <c r="AC5" i="78"/>
  <c r="AB8" i="78"/>
  <c r="AC7" i="78"/>
  <c r="AC9" i="78"/>
  <c r="AF9" i="78"/>
  <c r="AF8" i="78"/>
  <c r="AF7" i="78"/>
  <c r="AF6" i="78"/>
  <c r="AF5" i="78"/>
  <c r="I2" i="78"/>
  <c r="I6" i="78"/>
  <c r="I5" i="78"/>
  <c r="I38" i="20"/>
  <c r="I8" i="78"/>
  <c r="H38" i="20"/>
  <c r="H8" i="78"/>
  <c r="I7" i="78"/>
  <c r="I9" i="78"/>
  <c r="AD15" i="68"/>
  <c r="AD21" i="68"/>
  <c r="AD19" i="68"/>
  <c r="AD20" i="68"/>
  <c r="AD18" i="68"/>
  <c r="AD22" i="68"/>
  <c r="Z21" i="68"/>
  <c r="Z19" i="68"/>
  <c r="Z20" i="68"/>
  <c r="Z18" i="68"/>
  <c r="AG21" i="68"/>
  <c r="AG20" i="68"/>
  <c r="AG19" i="68"/>
  <c r="AG18" i="68"/>
  <c r="AG17" i="68"/>
  <c r="AG11" i="68"/>
  <c r="AG9" i="68"/>
  <c r="AG8" i="68"/>
  <c r="AG7" i="68"/>
  <c r="AC15" i="68"/>
  <c r="AC21" i="68"/>
  <c r="AC19" i="68"/>
  <c r="AC20" i="68"/>
  <c r="AC18" i="68"/>
  <c r="AC22" i="68"/>
  <c r="AF22" i="68"/>
  <c r="AF21" i="68"/>
  <c r="AF20" i="68"/>
  <c r="AF19" i="68"/>
  <c r="AF18" i="68"/>
  <c r="AF17" i="68"/>
  <c r="AF16" i="68"/>
  <c r="AF15" i="68"/>
  <c r="AF12" i="68"/>
  <c r="AF11" i="68"/>
  <c r="AF10" i="68"/>
  <c r="AF9" i="68"/>
  <c r="AF8" i="68"/>
  <c r="AF7" i="68"/>
  <c r="AF6" i="68"/>
  <c r="AF5" i="68"/>
  <c r="I2" i="68"/>
  <c r="I15" i="68"/>
  <c r="I19" i="68"/>
  <c r="I20" i="68"/>
  <c r="I18" i="68"/>
  <c r="I21" i="68"/>
  <c r="I22" i="68"/>
  <c r="Z25" i="67"/>
  <c r="Z26" i="67"/>
  <c r="Z28" i="67"/>
  <c r="AD30" i="67"/>
  <c r="Z30" i="67"/>
  <c r="AG30" i="67"/>
  <c r="AD29" i="67"/>
  <c r="Z29" i="67"/>
  <c r="AG29" i="67"/>
  <c r="AG28" i="67"/>
  <c r="AG26" i="67"/>
  <c r="AG25" i="67"/>
  <c r="AG24" i="67"/>
  <c r="AG23" i="67"/>
  <c r="AG22" i="67"/>
  <c r="AG21" i="67"/>
  <c r="AG16" i="67"/>
  <c r="AG15" i="67"/>
  <c r="AG14" i="67"/>
  <c r="AG13" i="67"/>
  <c r="AG12" i="67"/>
  <c r="AG11" i="67"/>
  <c r="AG10" i="67"/>
  <c r="AG9" i="67"/>
  <c r="AG8" i="67"/>
  <c r="AG7" i="67"/>
  <c r="AG6" i="67"/>
  <c r="AG5" i="67"/>
  <c r="AC25" i="67"/>
  <c r="AC26" i="67"/>
  <c r="AC20" i="67"/>
  <c r="AC19" i="67"/>
  <c r="AC28" i="67"/>
  <c r="AC31" i="67"/>
  <c r="AF31" i="67"/>
  <c r="AC30" i="67"/>
  <c r="AF30" i="67"/>
  <c r="AC29" i="67"/>
  <c r="AF29" i="67"/>
  <c r="AF28" i="67"/>
  <c r="AF27" i="67"/>
  <c r="AF26" i="67"/>
  <c r="AF25" i="67"/>
  <c r="AF24" i="67"/>
  <c r="AF23" i="67"/>
  <c r="AF22" i="67"/>
  <c r="AF21" i="67"/>
  <c r="AF20" i="67"/>
  <c r="AF19" i="67"/>
  <c r="AF16" i="67"/>
  <c r="AF15" i="67"/>
  <c r="AF14" i="67"/>
  <c r="AF13" i="67"/>
  <c r="AF12" i="67"/>
  <c r="AF11" i="67"/>
  <c r="AF10" i="67"/>
  <c r="AF9" i="67"/>
  <c r="AF8" i="67"/>
  <c r="AF7" i="67"/>
  <c r="AF6" i="67"/>
  <c r="AF5" i="67"/>
  <c r="I2" i="67"/>
  <c r="I29" i="67"/>
  <c r="I30" i="67"/>
  <c r="AG13" i="66"/>
  <c r="AD12" i="66"/>
  <c r="Z12" i="66"/>
  <c r="AG12" i="66"/>
  <c r="AG11" i="66"/>
  <c r="AG10" i="66"/>
  <c r="AG9" i="66"/>
  <c r="AG8" i="66"/>
  <c r="AG7" i="66"/>
  <c r="AG6" i="66"/>
  <c r="AG5" i="66"/>
  <c r="AF13" i="66"/>
  <c r="AC12" i="66"/>
  <c r="AF12" i="66"/>
  <c r="AF11" i="66"/>
  <c r="AF10" i="66"/>
  <c r="AF9" i="66"/>
  <c r="AF8" i="66"/>
  <c r="AF7" i="66"/>
  <c r="AF6" i="66"/>
  <c r="AF5" i="66"/>
  <c r="I2" i="66"/>
  <c r="I12" i="66"/>
  <c r="AD22" i="65"/>
  <c r="AD26" i="65"/>
  <c r="AG25" i="65"/>
  <c r="AG24" i="65"/>
  <c r="AG21" i="65"/>
  <c r="AG20" i="65"/>
  <c r="AG19" i="65"/>
  <c r="AG18" i="65"/>
  <c r="AG14" i="65"/>
  <c r="AG13" i="65"/>
  <c r="AG12" i="65"/>
  <c r="AG11" i="65"/>
  <c r="AD8" i="65"/>
  <c r="Z8" i="65"/>
  <c r="AG8" i="65"/>
  <c r="AD7" i="65"/>
  <c r="Z7" i="65"/>
  <c r="AG7" i="65"/>
  <c r="AD6" i="65"/>
  <c r="Z6" i="65"/>
  <c r="AG6" i="65"/>
  <c r="AG5" i="65"/>
  <c r="AC22" i="65"/>
  <c r="AC26" i="65"/>
  <c r="AF26" i="65"/>
  <c r="AF25" i="65"/>
  <c r="AF24" i="65"/>
  <c r="AF23" i="65"/>
  <c r="AF22" i="65"/>
  <c r="AF21" i="65"/>
  <c r="AF20" i="65"/>
  <c r="AF19" i="65"/>
  <c r="AF18" i="65"/>
  <c r="AF15" i="65"/>
  <c r="AF14" i="65"/>
  <c r="AF13" i="65"/>
  <c r="AF12" i="65"/>
  <c r="AF11" i="65"/>
  <c r="AF10" i="65"/>
  <c r="AF9" i="65"/>
  <c r="AC8" i="65"/>
  <c r="AF8" i="65"/>
  <c r="AC7" i="65"/>
  <c r="AF7" i="65"/>
  <c r="AC6" i="65"/>
  <c r="AF6" i="65"/>
  <c r="I2" i="65"/>
  <c r="I6" i="65"/>
  <c r="I7" i="65"/>
  <c r="I8" i="65"/>
  <c r="I22" i="65"/>
  <c r="I26" i="65"/>
  <c r="Z8" i="64"/>
  <c r="Z5" i="64"/>
  <c r="AG8" i="64"/>
  <c r="AG5" i="64"/>
  <c r="AC8" i="64"/>
  <c r="AC5" i="64"/>
  <c r="AC7" i="64"/>
  <c r="AC6" i="64"/>
  <c r="AC9" i="64"/>
  <c r="AF9" i="64"/>
  <c r="AF8" i="64"/>
  <c r="AF7" i="64"/>
  <c r="AF6" i="64"/>
  <c r="AF5" i="64"/>
  <c r="I2" i="64"/>
  <c r="B80" i="63"/>
  <c r="I80" i="63"/>
  <c r="I69" i="63"/>
  <c r="B68" i="63"/>
  <c r="I68" i="63"/>
  <c r="AD53" i="63"/>
  <c r="AD42" i="63"/>
  <c r="AD54" i="63"/>
  <c r="AD45" i="63"/>
  <c r="AD55" i="63"/>
  <c r="AD52" i="63"/>
  <c r="AD56" i="63"/>
  <c r="AD57" i="63"/>
  <c r="AD51" i="63"/>
  <c r="AD73" i="63"/>
  <c r="AD74" i="63"/>
  <c r="AD72" i="63"/>
  <c r="AD75" i="63"/>
  <c r="AD76" i="63"/>
  <c r="AD77" i="63"/>
  <c r="AD71" i="63"/>
  <c r="AD92" i="63"/>
  <c r="Z53" i="63"/>
  <c r="Z42" i="63"/>
  <c r="Z54" i="63"/>
  <c r="Z45" i="63"/>
  <c r="Z55" i="63"/>
  <c r="Z52" i="63"/>
  <c r="Z56" i="63"/>
  <c r="Z57" i="63"/>
  <c r="Z51" i="63"/>
  <c r="Y73" i="63"/>
  <c r="Y2" i="63"/>
  <c r="Y74" i="63"/>
  <c r="Y72" i="63"/>
  <c r="Y75" i="63"/>
  <c r="Y76" i="63"/>
  <c r="Y77" i="63"/>
  <c r="Y71" i="63"/>
  <c r="Z73" i="63"/>
  <c r="Z74" i="63"/>
  <c r="Z72" i="63"/>
  <c r="Z75" i="63"/>
  <c r="Z76" i="63"/>
  <c r="Z77" i="63"/>
  <c r="Z71" i="63"/>
  <c r="Z92" i="63"/>
  <c r="AG92" i="63"/>
  <c r="AD50" i="63"/>
  <c r="AC70" i="63"/>
  <c r="AD70" i="63"/>
  <c r="AD91" i="63"/>
  <c r="Z50" i="63"/>
  <c r="Y70" i="63"/>
  <c r="Z70" i="63"/>
  <c r="Z91" i="63"/>
  <c r="AG91" i="63"/>
  <c r="AD49" i="63"/>
  <c r="AC67" i="63"/>
  <c r="AD67" i="63"/>
  <c r="AD90" i="63"/>
  <c r="Z49" i="63"/>
  <c r="Y67" i="63"/>
  <c r="Z67" i="63"/>
  <c r="Z90" i="63"/>
  <c r="AG90" i="63"/>
  <c r="AD66" i="63"/>
  <c r="AD48" i="63"/>
  <c r="AD89" i="63"/>
  <c r="Y2" i="62"/>
  <c r="Y66" i="63"/>
  <c r="Z66" i="63"/>
  <c r="Z48" i="63"/>
  <c r="Z89" i="63"/>
  <c r="AG89" i="63"/>
  <c r="AD65" i="63"/>
  <c r="AD47" i="63"/>
  <c r="AD88" i="63"/>
  <c r="Y65" i="63"/>
  <c r="Z65" i="63"/>
  <c r="Z47" i="63"/>
  <c r="Z88" i="63"/>
  <c r="AG88" i="63"/>
  <c r="AD46" i="63"/>
  <c r="AD64" i="63"/>
  <c r="AD87" i="63"/>
  <c r="Z46" i="63"/>
  <c r="Y64" i="63"/>
  <c r="Z64" i="63"/>
  <c r="Z87" i="63"/>
  <c r="AG87" i="63"/>
  <c r="AD44" i="63"/>
  <c r="AD43" i="63"/>
  <c r="AD63" i="63"/>
  <c r="AD86" i="63"/>
  <c r="Z44" i="63"/>
  <c r="Z43" i="63"/>
  <c r="Y63" i="63"/>
  <c r="Z63" i="63"/>
  <c r="Z86" i="63"/>
  <c r="AG86" i="63"/>
  <c r="AD41" i="63"/>
  <c r="AD40" i="63"/>
  <c r="AD62" i="63"/>
  <c r="AD85" i="63"/>
  <c r="Z41" i="63"/>
  <c r="Z40" i="63"/>
  <c r="Y62" i="63"/>
  <c r="Z62" i="63"/>
  <c r="Z85" i="63"/>
  <c r="AG85" i="63"/>
  <c r="AD61" i="63"/>
  <c r="AD39" i="63"/>
  <c r="AD84" i="63"/>
  <c r="Y61" i="63"/>
  <c r="Z61" i="63"/>
  <c r="Z39" i="63"/>
  <c r="Z84" i="63"/>
  <c r="AG84" i="63"/>
  <c r="AD78" i="63"/>
  <c r="AD79" i="63"/>
  <c r="AD81" i="63"/>
  <c r="Z78" i="63"/>
  <c r="Z79" i="63"/>
  <c r="Z81" i="63"/>
  <c r="AG81" i="63"/>
  <c r="AG80" i="63"/>
  <c r="AG79" i="63"/>
  <c r="AG78" i="63"/>
  <c r="AG77" i="63"/>
  <c r="AG76" i="63"/>
  <c r="AG75" i="63"/>
  <c r="AG74" i="63"/>
  <c r="AG73" i="63"/>
  <c r="AG72" i="63"/>
  <c r="AG71" i="63"/>
  <c r="AG70" i="63"/>
  <c r="AG69" i="63"/>
  <c r="AG68" i="63"/>
  <c r="AG67" i="63"/>
  <c r="AG66" i="63"/>
  <c r="AG65" i="63"/>
  <c r="AG64" i="63"/>
  <c r="AG63" i="63"/>
  <c r="AG62" i="63"/>
  <c r="AG61" i="63"/>
  <c r="AD58" i="63"/>
  <c r="Z58" i="63"/>
  <c r="AG58" i="63"/>
  <c r="AG57" i="63"/>
  <c r="AG56" i="63"/>
  <c r="AG55" i="63"/>
  <c r="AG54" i="63"/>
  <c r="AG53" i="63"/>
  <c r="AG52" i="63"/>
  <c r="AG51" i="63"/>
  <c r="AG50" i="63"/>
  <c r="AG49" i="63"/>
  <c r="AG48" i="63"/>
  <c r="AG47" i="63"/>
  <c r="AG46" i="63"/>
  <c r="AG45" i="63"/>
  <c r="AG44" i="63"/>
  <c r="AG43" i="63"/>
  <c r="AG42" i="63"/>
  <c r="AG41" i="63"/>
  <c r="AG40" i="63"/>
  <c r="AG39" i="63"/>
  <c r="AC24" i="63"/>
  <c r="AC25" i="63"/>
  <c r="AD24" i="63"/>
  <c r="AD25" i="63"/>
  <c r="AD23" i="63"/>
  <c r="AD33" i="63"/>
  <c r="AD29" i="63"/>
  <c r="AD36" i="63"/>
  <c r="Y24" i="63"/>
  <c r="Y25" i="63"/>
  <c r="Z24" i="63"/>
  <c r="Z25" i="63"/>
  <c r="Z23" i="63"/>
  <c r="Z33" i="63"/>
  <c r="AD35" i="63"/>
  <c r="Z35" i="63"/>
  <c r="AG35" i="63"/>
  <c r="AD34" i="63"/>
  <c r="Z34" i="63"/>
  <c r="AG34" i="63"/>
  <c r="AG33" i="63"/>
  <c r="AD32" i="63"/>
  <c r="Z32" i="63"/>
  <c r="AG32" i="63"/>
  <c r="AD31" i="63"/>
  <c r="AD30" i="63"/>
  <c r="AD21" i="63"/>
  <c r="AD26" i="63"/>
  <c r="AG25" i="63"/>
  <c r="AG24" i="63"/>
  <c r="AG23" i="63"/>
  <c r="AD22" i="63"/>
  <c r="AG17" i="63"/>
  <c r="AG16" i="63"/>
  <c r="AG15" i="63"/>
  <c r="AG8" i="63"/>
  <c r="AG7" i="63"/>
  <c r="AF92" i="63"/>
  <c r="AC50" i="63"/>
  <c r="AB70" i="63"/>
  <c r="AC91" i="63"/>
  <c r="AF91" i="63"/>
  <c r="AC49" i="63"/>
  <c r="AB67" i="63"/>
  <c r="AC90" i="63"/>
  <c r="AF90" i="63"/>
  <c r="AB2" i="62"/>
  <c r="AB66" i="63"/>
  <c r="AC48" i="63"/>
  <c r="AC89" i="63"/>
  <c r="AF89" i="63"/>
  <c r="AB65" i="63"/>
  <c r="AC47" i="63"/>
  <c r="AC88" i="63"/>
  <c r="AF88" i="63"/>
  <c r="AC46" i="63"/>
  <c r="AB64" i="63"/>
  <c r="AC87" i="63"/>
  <c r="AF87" i="63"/>
  <c r="AC44" i="63"/>
  <c r="AC43" i="63"/>
  <c r="AB63" i="63"/>
  <c r="AC86" i="63"/>
  <c r="AF86" i="63"/>
  <c r="AF85" i="63"/>
  <c r="AB61" i="63"/>
  <c r="AC39" i="63"/>
  <c r="AC84" i="63"/>
  <c r="AF84" i="63"/>
  <c r="AC78" i="63"/>
  <c r="AC79" i="63"/>
  <c r="AC81" i="63"/>
  <c r="AF81" i="63"/>
  <c r="AF80" i="63"/>
  <c r="AF79" i="63"/>
  <c r="AF78" i="63"/>
  <c r="AF77" i="63"/>
  <c r="AF76" i="63"/>
  <c r="AF75" i="63"/>
  <c r="AF74" i="63"/>
  <c r="AF73" i="63"/>
  <c r="AF72" i="63"/>
  <c r="AF71" i="63"/>
  <c r="AF70" i="63"/>
  <c r="AF69" i="63"/>
  <c r="AF68" i="63"/>
  <c r="AF67" i="63"/>
  <c r="AF66" i="63"/>
  <c r="AF65" i="63"/>
  <c r="AF64" i="63"/>
  <c r="AF63" i="63"/>
  <c r="AF62" i="63"/>
  <c r="AF61" i="63"/>
  <c r="AC58" i="63"/>
  <c r="AF58" i="63"/>
  <c r="AF57" i="63"/>
  <c r="AF56" i="63"/>
  <c r="AF55" i="63"/>
  <c r="AF54" i="63"/>
  <c r="AF53" i="63"/>
  <c r="AF52" i="63"/>
  <c r="AF51" i="63"/>
  <c r="AF50" i="63"/>
  <c r="AF49" i="63"/>
  <c r="AF48" i="63"/>
  <c r="AF47" i="63"/>
  <c r="AF46" i="63"/>
  <c r="AF45" i="63"/>
  <c r="AF44" i="63"/>
  <c r="AF43" i="63"/>
  <c r="AF42" i="63"/>
  <c r="AF41" i="63"/>
  <c r="AF40" i="63"/>
  <c r="AF39" i="63"/>
  <c r="AB24" i="63"/>
  <c r="AB25" i="63"/>
  <c r="AC23" i="63"/>
  <c r="AC33" i="63"/>
  <c r="AC29" i="63"/>
  <c r="AC36" i="63"/>
  <c r="AF36" i="63"/>
  <c r="AC35" i="63"/>
  <c r="AF35" i="63"/>
  <c r="AC34" i="63"/>
  <c r="AF34" i="63"/>
  <c r="AF33" i="63"/>
  <c r="AC32" i="63"/>
  <c r="AF32" i="63"/>
  <c r="AC31" i="63"/>
  <c r="AF31" i="63"/>
  <c r="AC30" i="63"/>
  <c r="AF30" i="63"/>
  <c r="AF29" i="63"/>
  <c r="AC21" i="63"/>
  <c r="AC26" i="63"/>
  <c r="AF26" i="63"/>
  <c r="AF25" i="63"/>
  <c r="AF24" i="63"/>
  <c r="AF23" i="63"/>
  <c r="AC22" i="63"/>
  <c r="AF22" i="63"/>
  <c r="AF21" i="63"/>
  <c r="AF18" i="63"/>
  <c r="AF17" i="63"/>
  <c r="AF16" i="63"/>
  <c r="AF15" i="63"/>
  <c r="AF14" i="63"/>
  <c r="AF13" i="63"/>
  <c r="AF12" i="63"/>
  <c r="AF9" i="63"/>
  <c r="AF8" i="63"/>
  <c r="AF7" i="63"/>
  <c r="AF6" i="63"/>
  <c r="AF5" i="63"/>
  <c r="I2" i="63"/>
  <c r="I21" i="63"/>
  <c r="I22" i="63"/>
  <c r="I24" i="63"/>
  <c r="I25" i="63"/>
  <c r="H24" i="63"/>
  <c r="H25" i="63"/>
  <c r="I23" i="63"/>
  <c r="I26" i="63"/>
  <c r="I29" i="63"/>
  <c r="I30" i="63"/>
  <c r="I31" i="63"/>
  <c r="I32" i="63"/>
  <c r="I33" i="63"/>
  <c r="I34" i="63"/>
  <c r="I35" i="63"/>
  <c r="I36" i="63"/>
  <c r="I7" i="58"/>
  <c r="I41" i="63"/>
  <c r="I26" i="58"/>
  <c r="I42" i="63"/>
  <c r="I40" i="63"/>
  <c r="I8" i="58"/>
  <c r="I44" i="63"/>
  <c r="I27" i="58"/>
  <c r="I45" i="63"/>
  <c r="I43" i="63"/>
  <c r="I9" i="58"/>
  <c r="I46" i="63"/>
  <c r="I10" i="58"/>
  <c r="I47" i="63"/>
  <c r="I11" i="58"/>
  <c r="I48" i="63"/>
  <c r="I39" i="63"/>
  <c r="I12" i="58"/>
  <c r="I49" i="63"/>
  <c r="I50" i="63"/>
  <c r="I53" i="63"/>
  <c r="I54" i="63"/>
  <c r="I55" i="63"/>
  <c r="I52" i="63"/>
  <c r="I56" i="63"/>
  <c r="I57" i="63"/>
  <c r="I51" i="63"/>
  <c r="I58" i="63"/>
  <c r="I62" i="63"/>
  <c r="I63" i="63"/>
  <c r="I64" i="63"/>
  <c r="I65" i="63"/>
  <c r="I11" i="62"/>
  <c r="I66" i="63"/>
  <c r="I61" i="63"/>
  <c r="AA2" i="63"/>
  <c r="I67" i="63"/>
  <c r="I70" i="63"/>
  <c r="I73" i="63"/>
  <c r="I74" i="63"/>
  <c r="I72" i="63"/>
  <c r="I75" i="63"/>
  <c r="I76" i="63"/>
  <c r="I77" i="63"/>
  <c r="I71" i="63"/>
  <c r="I78" i="63"/>
  <c r="I79" i="63"/>
  <c r="I81" i="63"/>
  <c r="H62" i="63"/>
  <c r="H63" i="63"/>
  <c r="H64" i="63"/>
  <c r="H65" i="63"/>
  <c r="H11" i="62"/>
  <c r="H66" i="63"/>
  <c r="H61" i="63"/>
  <c r="I84" i="63"/>
  <c r="I85" i="63"/>
  <c r="I86" i="63"/>
  <c r="I87" i="63"/>
  <c r="I88" i="63"/>
  <c r="I89" i="63"/>
  <c r="H68" i="63"/>
  <c r="H69" i="63"/>
  <c r="H67" i="63"/>
  <c r="I90" i="63"/>
  <c r="H70" i="63"/>
  <c r="I91" i="63"/>
  <c r="H73" i="63"/>
  <c r="H74" i="63"/>
  <c r="H72" i="63"/>
  <c r="H75" i="63"/>
  <c r="H76" i="63"/>
  <c r="H77" i="63"/>
  <c r="H71" i="63"/>
  <c r="I92" i="63"/>
  <c r="U17" i="74"/>
  <c r="I46" i="62"/>
  <c r="I33" i="62"/>
  <c r="I32" i="62"/>
  <c r="I10" i="62"/>
  <c r="I9" i="62"/>
  <c r="I8" i="62"/>
  <c r="I7" i="62"/>
  <c r="I6" i="62"/>
  <c r="Y5" i="62"/>
  <c r="Y12" i="62"/>
  <c r="Y41" i="62"/>
  <c r="Y11" i="59"/>
  <c r="Y15" i="62"/>
  <c r="Y17" i="62"/>
  <c r="Y16" i="62"/>
  <c r="Y42" i="62"/>
  <c r="Y40" i="62"/>
  <c r="Z41" i="62"/>
  <c r="Z17" i="62"/>
  <c r="Z16" i="62"/>
  <c r="Z42" i="62"/>
  <c r="Z40" i="62"/>
  <c r="Z39" i="62"/>
  <c r="Z38" i="62"/>
  <c r="Z37" i="62"/>
  <c r="Z43" i="62"/>
  <c r="AG43" i="62"/>
  <c r="AG42" i="62"/>
  <c r="AG41" i="62"/>
  <c r="AG40" i="62"/>
  <c r="AG39" i="62"/>
  <c r="AG38" i="62"/>
  <c r="AG37" i="62"/>
  <c r="AG34" i="62"/>
  <c r="AG33" i="62"/>
  <c r="AG31" i="62"/>
  <c r="AG30" i="62"/>
  <c r="AG26" i="62"/>
  <c r="AG25" i="62"/>
  <c r="AD22" i="62"/>
  <c r="Z22" i="62"/>
  <c r="AG22" i="62"/>
  <c r="AG21" i="62"/>
  <c r="AG20" i="62"/>
  <c r="AG17" i="62"/>
  <c r="AG16" i="62"/>
  <c r="AG15" i="62"/>
  <c r="AG12" i="62"/>
  <c r="AG11" i="62"/>
  <c r="AG10" i="62"/>
  <c r="AG9" i="62"/>
  <c r="AG8" i="62"/>
  <c r="AG7" i="62"/>
  <c r="AG6" i="62"/>
  <c r="AG5" i="62"/>
  <c r="AC47" i="62"/>
  <c r="AF47" i="62"/>
  <c r="AF46" i="62"/>
  <c r="AB5" i="62"/>
  <c r="AB12" i="62"/>
  <c r="AB41" i="62"/>
  <c r="AB11" i="59"/>
  <c r="AB15" i="62"/>
  <c r="AB17" i="62"/>
  <c r="AB16" i="62"/>
  <c r="AB42" i="62"/>
  <c r="AB40" i="62"/>
  <c r="AC39" i="62"/>
  <c r="AC38" i="62"/>
  <c r="AC37" i="62"/>
  <c r="AC43" i="62"/>
  <c r="AF43" i="62"/>
  <c r="AF42" i="62"/>
  <c r="AF41" i="62"/>
  <c r="AF40" i="62"/>
  <c r="AF39" i="62"/>
  <c r="AF38" i="62"/>
  <c r="AF37" i="62"/>
  <c r="AF34" i="62"/>
  <c r="AF33" i="62"/>
  <c r="AF32" i="62"/>
  <c r="AF31" i="62"/>
  <c r="AF30" i="62"/>
  <c r="AF26" i="62"/>
  <c r="AF25" i="62"/>
  <c r="AC22" i="62"/>
  <c r="AF22" i="62"/>
  <c r="AF21" i="62"/>
  <c r="AF20" i="62"/>
  <c r="AF17" i="62"/>
  <c r="AF16" i="62"/>
  <c r="AF15" i="62"/>
  <c r="AF12" i="62"/>
  <c r="AF11" i="62"/>
  <c r="AF10" i="62"/>
  <c r="AF9" i="62"/>
  <c r="AF8" i="62"/>
  <c r="AF7" i="62"/>
  <c r="AF6" i="62"/>
  <c r="AF5" i="62"/>
  <c r="I2" i="62"/>
  <c r="AA2" i="62"/>
  <c r="AA5" i="62"/>
  <c r="AA12" i="62"/>
  <c r="AA2" i="20"/>
  <c r="AA10" i="59"/>
  <c r="AA11" i="59"/>
  <c r="AA15" i="62"/>
  <c r="I22" i="62"/>
  <c r="I27" i="62"/>
  <c r="I31" i="62"/>
  <c r="I30" i="62"/>
  <c r="AA33" i="62"/>
  <c r="AA31" i="62"/>
  <c r="AA30" i="62"/>
  <c r="AA34" i="62"/>
  <c r="Z18" i="74"/>
  <c r="AG18" i="74"/>
  <c r="Z17" i="74"/>
  <c r="AG17" i="74"/>
  <c r="Z14" i="74"/>
  <c r="AG14" i="74"/>
  <c r="Z13" i="74"/>
  <c r="AG13" i="74"/>
  <c r="Z8" i="74"/>
  <c r="AG8" i="74"/>
  <c r="Z7" i="74"/>
  <c r="AG7" i="74"/>
  <c r="Z6" i="74"/>
  <c r="AG6" i="74"/>
  <c r="Z5" i="74"/>
  <c r="AG5" i="74"/>
  <c r="AC18" i="74"/>
  <c r="AF18" i="74"/>
  <c r="AC17" i="74"/>
  <c r="AF17" i="74"/>
  <c r="AC16" i="74"/>
  <c r="AF16" i="74"/>
  <c r="AC15" i="74"/>
  <c r="AF15" i="74"/>
  <c r="AC14" i="74"/>
  <c r="AF14" i="74"/>
  <c r="AC13" i="74"/>
  <c r="AF13" i="74"/>
  <c r="AC12" i="74"/>
  <c r="AF12" i="74"/>
  <c r="AC11" i="74"/>
  <c r="AF11" i="74"/>
  <c r="AC10" i="74"/>
  <c r="AF10" i="74"/>
  <c r="AC9" i="74"/>
  <c r="AF9" i="74"/>
  <c r="AC8" i="74"/>
  <c r="AF8" i="74"/>
  <c r="AC7" i="74"/>
  <c r="AF7" i="74"/>
  <c r="AC6" i="74"/>
  <c r="AF6" i="74"/>
  <c r="AC5" i="74"/>
  <c r="AF5" i="74"/>
  <c r="AD5" i="61"/>
  <c r="AD6" i="61"/>
  <c r="B10" i="61"/>
  <c r="B22" i="18"/>
  <c r="AD11" i="61"/>
  <c r="AD12" i="61"/>
  <c r="AD13" i="61"/>
  <c r="Z5" i="61"/>
  <c r="Z6" i="61"/>
  <c r="Z12" i="61"/>
  <c r="Z13" i="61"/>
  <c r="AG13" i="61"/>
  <c r="AG12" i="61"/>
  <c r="AG10" i="61"/>
  <c r="AG9" i="61"/>
  <c r="AG8" i="61"/>
  <c r="AG7" i="61"/>
  <c r="AG6" i="61"/>
  <c r="AG5" i="61"/>
  <c r="AC5" i="61"/>
  <c r="AC6" i="61"/>
  <c r="AC11" i="61"/>
  <c r="AC12" i="61"/>
  <c r="AC13" i="61"/>
  <c r="AF13" i="61"/>
  <c r="AF12" i="61"/>
  <c r="AF10" i="61"/>
  <c r="AF9" i="61"/>
  <c r="AF8" i="61"/>
  <c r="AF7" i="61"/>
  <c r="AF6" i="61"/>
  <c r="AF5" i="61"/>
  <c r="I2" i="61"/>
  <c r="I5" i="61"/>
  <c r="I6" i="61"/>
  <c r="I11" i="61"/>
  <c r="I12" i="61"/>
  <c r="I13" i="61"/>
  <c r="AG5" i="60"/>
  <c r="AF5" i="60"/>
  <c r="AG19" i="60"/>
  <c r="AG18" i="60"/>
  <c r="AG17" i="60"/>
  <c r="AG16" i="60"/>
  <c r="AG15" i="60"/>
  <c r="AG14" i="60"/>
  <c r="B13" i="60"/>
  <c r="AG13" i="60"/>
  <c r="AG12" i="60"/>
  <c r="AG11" i="60"/>
  <c r="B10" i="60"/>
  <c r="AG10" i="60"/>
  <c r="AG9" i="60"/>
  <c r="B8" i="60"/>
  <c r="AG8" i="60"/>
  <c r="B7" i="60"/>
  <c r="AG7" i="60"/>
  <c r="B6" i="60"/>
  <c r="AG6" i="60"/>
  <c r="AF19" i="60"/>
  <c r="AF18" i="60"/>
  <c r="AF17" i="60"/>
  <c r="AF16" i="60"/>
  <c r="AF15" i="60"/>
  <c r="AF14" i="60"/>
  <c r="AF13" i="60"/>
  <c r="AF12" i="60"/>
  <c r="AF11" i="60"/>
  <c r="AF10" i="60"/>
  <c r="AF8" i="60"/>
  <c r="AF7" i="60"/>
  <c r="AF6" i="60"/>
  <c r="AG37" i="58"/>
  <c r="AG36" i="58"/>
  <c r="AG35" i="58"/>
  <c r="AG33" i="58"/>
  <c r="B28" i="58"/>
  <c r="AG29" i="58"/>
  <c r="AG28" i="58"/>
  <c r="AG27" i="58"/>
  <c r="AG26" i="58"/>
  <c r="B25" i="58"/>
  <c r="AG25" i="58"/>
  <c r="B24" i="58"/>
  <c r="AG24" i="58"/>
  <c r="AG23" i="58"/>
  <c r="B22" i="58"/>
  <c r="AG22" i="58"/>
  <c r="B21" i="58"/>
  <c r="AG21" i="58"/>
  <c r="B20" i="58"/>
  <c r="AG20" i="58"/>
  <c r="AG19" i="58"/>
  <c r="AG18" i="58"/>
  <c r="AG17" i="58"/>
  <c r="B16" i="58"/>
  <c r="AG16" i="58"/>
  <c r="B15" i="58"/>
  <c r="AG15" i="58"/>
  <c r="AG13" i="58"/>
  <c r="AG12" i="58"/>
  <c r="AG11" i="58"/>
  <c r="AG10" i="58"/>
  <c r="AG9" i="58"/>
  <c r="AG8" i="58"/>
  <c r="AG7" i="58"/>
  <c r="AG6" i="58"/>
  <c r="AG5" i="58"/>
  <c r="AF38" i="58"/>
  <c r="AF37" i="58"/>
  <c r="AF36" i="58"/>
  <c r="AF35" i="58"/>
  <c r="AF34" i="58"/>
  <c r="AF33" i="58"/>
  <c r="AF29" i="58"/>
  <c r="AF28" i="58"/>
  <c r="AF27" i="58"/>
  <c r="AF26" i="58"/>
  <c r="AF25" i="58"/>
  <c r="AF24" i="58"/>
  <c r="AF23" i="58"/>
  <c r="AF22" i="58"/>
  <c r="AF21" i="58"/>
  <c r="AF20" i="58"/>
  <c r="AF19" i="58"/>
  <c r="AF18" i="58"/>
  <c r="AF17" i="58"/>
  <c r="AF16" i="58"/>
  <c r="AF15" i="58"/>
  <c r="AF14" i="58"/>
  <c r="AF13" i="58"/>
  <c r="AF12" i="58"/>
  <c r="AF11" i="58"/>
  <c r="AF10" i="58"/>
  <c r="AF9" i="58"/>
  <c r="AF8" i="58"/>
  <c r="AF7" i="58"/>
  <c r="AF6" i="58"/>
  <c r="AF5" i="58"/>
  <c r="I2" i="60"/>
  <c r="X2" i="60"/>
  <c r="Y2" i="60"/>
  <c r="I28" i="58"/>
  <c r="I25" i="58"/>
  <c r="I24" i="58"/>
  <c r="I22" i="58"/>
  <c r="I21" i="58"/>
  <c r="I20" i="58"/>
  <c r="I2" i="58"/>
  <c r="I13" i="58"/>
  <c r="I6" i="58"/>
  <c r="B5" i="58"/>
  <c r="AG23" i="59"/>
  <c r="AG22" i="59"/>
  <c r="AG21" i="59"/>
  <c r="AG20" i="59"/>
  <c r="AG19" i="59"/>
  <c r="AG18" i="59"/>
  <c r="AG17" i="59"/>
  <c r="AG16" i="59"/>
  <c r="AG15" i="59"/>
  <c r="AG14" i="59"/>
  <c r="AG13" i="59"/>
  <c r="AG12" i="59"/>
  <c r="AG11" i="59"/>
  <c r="AG10" i="59"/>
  <c r="AG9" i="59"/>
  <c r="AG8" i="59"/>
  <c r="AD7" i="59"/>
  <c r="Z7" i="59"/>
  <c r="AG7" i="59"/>
  <c r="AG6" i="59"/>
  <c r="AG5" i="59"/>
  <c r="AF23" i="59"/>
  <c r="AF22" i="59"/>
  <c r="AF21" i="59"/>
  <c r="AF20" i="59"/>
  <c r="AF19" i="59"/>
  <c r="AF18" i="59"/>
  <c r="AF17" i="59"/>
  <c r="AF16" i="59"/>
  <c r="AF15" i="59"/>
  <c r="AF14" i="59"/>
  <c r="AF13" i="59"/>
  <c r="AF12" i="59"/>
  <c r="AF11" i="59"/>
  <c r="AF10" i="59"/>
  <c r="AF9" i="59"/>
  <c r="AF8" i="59"/>
  <c r="AC7" i="59"/>
  <c r="AF7" i="59"/>
  <c r="AF6" i="59"/>
  <c r="AF5" i="59"/>
  <c r="I2" i="59"/>
  <c r="B8" i="59"/>
  <c r="I7" i="59"/>
  <c r="I11" i="59"/>
  <c r="AG15" i="76"/>
  <c r="AG14" i="76"/>
  <c r="AG13" i="76"/>
  <c r="AG12" i="76"/>
  <c r="AG11" i="76"/>
  <c r="AG10" i="76"/>
  <c r="B9" i="76"/>
  <c r="AG9" i="76"/>
  <c r="B8" i="76"/>
  <c r="AG8" i="76"/>
  <c r="B7" i="76"/>
  <c r="AG7" i="76"/>
  <c r="AG6" i="76"/>
  <c r="AF15" i="76"/>
  <c r="AF14" i="76"/>
  <c r="AF13" i="76"/>
  <c r="AF12" i="76"/>
  <c r="AF11" i="76"/>
  <c r="AF10" i="76"/>
  <c r="AF9" i="76"/>
  <c r="AF8" i="76"/>
  <c r="AF7" i="76"/>
  <c r="AF5" i="76"/>
  <c r="I14" i="76"/>
  <c r="I13" i="76"/>
  <c r="I12" i="76"/>
  <c r="I11" i="76"/>
  <c r="I10" i="76"/>
  <c r="I9" i="76"/>
  <c r="I8" i="76"/>
  <c r="I7" i="76"/>
  <c r="I6" i="76"/>
  <c r="I5" i="76"/>
  <c r="I2" i="76"/>
  <c r="AA2" i="76"/>
  <c r="AA11" i="76"/>
  <c r="AA15" i="76"/>
  <c r="AG29" i="18"/>
  <c r="AG28" i="18"/>
  <c r="AD26" i="18"/>
  <c r="AG25" i="18"/>
  <c r="B21" i="18"/>
  <c r="AG21" i="18"/>
  <c r="AG20" i="18"/>
  <c r="B19" i="18"/>
  <c r="AG19" i="18"/>
  <c r="B18" i="18"/>
  <c r="AG18" i="18"/>
  <c r="B15" i="18"/>
  <c r="AG14" i="18"/>
  <c r="AG11" i="18"/>
  <c r="B10" i="18"/>
  <c r="AG10" i="18"/>
  <c r="AG9" i="18"/>
  <c r="B7" i="18"/>
  <c r="B6" i="18"/>
  <c r="AG6" i="18"/>
  <c r="B5" i="18"/>
  <c r="B4" i="18"/>
  <c r="AG4" i="18"/>
  <c r="AF29" i="18"/>
  <c r="AF28" i="18"/>
  <c r="AC26" i="18"/>
  <c r="AF26" i="18"/>
  <c r="AF25" i="18"/>
  <c r="AF23" i="18"/>
  <c r="AF21" i="18"/>
  <c r="AF20" i="18"/>
  <c r="AF19" i="18"/>
  <c r="AF18" i="18"/>
  <c r="AF15" i="18"/>
  <c r="AF14" i="18"/>
  <c r="AF12" i="18"/>
  <c r="AF11" i="18"/>
  <c r="AF10" i="18"/>
  <c r="AF9" i="18"/>
  <c r="AF7" i="18"/>
  <c r="AF6" i="18"/>
  <c r="AF5" i="18"/>
  <c r="AF4" i="18"/>
  <c r="B17" i="18"/>
  <c r="I2" i="18"/>
  <c r="I26" i="18"/>
  <c r="AG2" i="20"/>
  <c r="B41" i="20"/>
  <c r="AG41" i="20"/>
  <c r="AG38" i="20"/>
  <c r="B37" i="20"/>
  <c r="AG37" i="20"/>
  <c r="AG35" i="20"/>
  <c r="AG34" i="20"/>
  <c r="AG33" i="20"/>
  <c r="AG32" i="20"/>
  <c r="B29" i="20"/>
  <c r="AG29" i="20"/>
  <c r="B28" i="20"/>
  <c r="AG28" i="20"/>
  <c r="B27" i="20"/>
  <c r="AG27" i="20"/>
  <c r="B26" i="20"/>
  <c r="AG26" i="20"/>
  <c r="B25" i="20"/>
  <c r="AG25" i="20"/>
  <c r="B24" i="20"/>
  <c r="AG24" i="20"/>
  <c r="B23" i="20"/>
  <c r="AG23" i="20"/>
  <c r="B22" i="20"/>
  <c r="AG22" i="20"/>
  <c r="B21" i="20"/>
  <c r="AG21" i="20"/>
  <c r="B20" i="20"/>
  <c r="AG20" i="20"/>
  <c r="B17" i="20"/>
  <c r="AG17" i="20"/>
  <c r="B16" i="20"/>
  <c r="AG16" i="20"/>
  <c r="B15" i="20"/>
  <c r="AG15" i="20"/>
  <c r="B14" i="20"/>
  <c r="AG14" i="20"/>
  <c r="B13" i="20"/>
  <c r="AG13" i="20"/>
  <c r="B12" i="20"/>
  <c r="AG12" i="20"/>
  <c r="B11" i="20"/>
  <c r="AG11" i="20"/>
  <c r="B10" i="20"/>
  <c r="AG10" i="20"/>
  <c r="AG9" i="20"/>
  <c r="AG8" i="20"/>
  <c r="AG7" i="20"/>
  <c r="AG6" i="20"/>
  <c r="AG5" i="20"/>
  <c r="AF41" i="20"/>
  <c r="AF38" i="20"/>
  <c r="AF37" i="20"/>
  <c r="AF35" i="20"/>
  <c r="AF34" i="20"/>
  <c r="AF33" i="20"/>
  <c r="AF32" i="20"/>
  <c r="AF29" i="20"/>
  <c r="AF28" i="20"/>
  <c r="AF27" i="20"/>
  <c r="AF26" i="20"/>
  <c r="AF25" i="20"/>
  <c r="AF24" i="20"/>
  <c r="AF23" i="20"/>
  <c r="AF22" i="20"/>
  <c r="AF21" i="20"/>
  <c r="AF20" i="20"/>
  <c r="AF17" i="20"/>
  <c r="AF16" i="20"/>
  <c r="AF15" i="20"/>
  <c r="AF14" i="20"/>
  <c r="AF13" i="20"/>
  <c r="AF12" i="20"/>
  <c r="AF11" i="20"/>
  <c r="AF10" i="20"/>
  <c r="AF9" i="20"/>
  <c r="AF8" i="20"/>
  <c r="AF7" i="20"/>
  <c r="AF6" i="20"/>
  <c r="AF5" i="20"/>
  <c r="I41" i="20"/>
  <c r="I37" i="20"/>
  <c r="I36" i="20"/>
  <c r="I35" i="20"/>
  <c r="I34" i="20"/>
  <c r="I33" i="20"/>
  <c r="I29" i="20"/>
  <c r="I28" i="20"/>
  <c r="I27" i="20"/>
  <c r="I26" i="20"/>
  <c r="I25" i="20"/>
  <c r="I24" i="20"/>
  <c r="I23" i="20"/>
  <c r="I22" i="20"/>
  <c r="I21" i="20"/>
  <c r="I20" i="20"/>
  <c r="I17" i="20"/>
  <c r="I16" i="20"/>
  <c r="I15" i="20"/>
  <c r="I14" i="20"/>
  <c r="I13" i="20"/>
  <c r="I12" i="20"/>
  <c r="I11" i="20"/>
  <c r="I10" i="20"/>
  <c r="I2" i="20"/>
  <c r="AA32" i="20"/>
  <c r="Y2" i="18"/>
  <c r="H2" i="60"/>
  <c r="G2" i="60"/>
  <c r="F2" i="60"/>
  <c r="E2" i="60"/>
  <c r="D2" i="60"/>
  <c r="C2" i="60"/>
  <c r="L2" i="60"/>
  <c r="M2" i="60"/>
  <c r="N2" i="60"/>
  <c r="O2" i="60"/>
  <c r="P2" i="60"/>
  <c r="Q2" i="60"/>
  <c r="R2" i="60"/>
  <c r="S2" i="60"/>
  <c r="T2" i="60"/>
  <c r="U2" i="60"/>
  <c r="V2" i="60"/>
  <c r="W2" i="60"/>
  <c r="K2" i="60"/>
  <c r="H2" i="58"/>
  <c r="G2" i="58"/>
  <c r="F2" i="58"/>
  <c r="E2" i="58"/>
  <c r="AB2" i="18"/>
  <c r="T2" i="61"/>
  <c r="T19" i="65"/>
  <c r="T20" i="65"/>
  <c r="T21" i="65"/>
  <c r="T18" i="65"/>
  <c r="T5" i="65"/>
  <c r="T33" i="58"/>
  <c r="T34" i="58"/>
  <c r="T35" i="58"/>
  <c r="T36" i="58"/>
  <c r="T37" i="58"/>
  <c r="T38" i="58"/>
  <c r="T23" i="65"/>
  <c r="T10" i="65"/>
  <c r="T14" i="60"/>
  <c r="T19" i="60"/>
  <c r="T24" i="65"/>
  <c r="T11" i="65"/>
  <c r="T2" i="18"/>
  <c r="T25" i="65"/>
  <c r="T13" i="65"/>
  <c r="T12" i="65"/>
  <c r="T9" i="65"/>
  <c r="T15" i="65"/>
  <c r="D35" i="48"/>
  <c r="U2" i="61"/>
  <c r="U19" i="65"/>
  <c r="U20" i="65"/>
  <c r="U21" i="65"/>
  <c r="U18" i="65"/>
  <c r="U5" i="65"/>
  <c r="U33" i="58"/>
  <c r="U35" i="58"/>
  <c r="U36" i="58"/>
  <c r="U37" i="58"/>
  <c r="U14" i="60"/>
  <c r="U19" i="60"/>
  <c r="U24" i="65"/>
  <c r="U11" i="65"/>
  <c r="U2" i="18"/>
  <c r="U25" i="65"/>
  <c r="U13" i="65"/>
  <c r="U12" i="65"/>
  <c r="V2" i="61"/>
  <c r="V19" i="65"/>
  <c r="V20" i="65"/>
  <c r="V21" i="65"/>
  <c r="V18" i="65"/>
  <c r="V5" i="65"/>
  <c r="V33" i="58"/>
  <c r="V35" i="58"/>
  <c r="V36" i="58"/>
  <c r="V37" i="58"/>
  <c r="V14" i="60"/>
  <c r="V19" i="60"/>
  <c r="V24" i="65"/>
  <c r="V11" i="65"/>
  <c r="V2" i="18"/>
  <c r="V25" i="65"/>
  <c r="V13" i="65"/>
  <c r="V12" i="65"/>
  <c r="W2" i="61"/>
  <c r="W19" i="65"/>
  <c r="W20" i="65"/>
  <c r="W21" i="65"/>
  <c r="W18" i="65"/>
  <c r="W5" i="65"/>
  <c r="W33" i="58"/>
  <c r="W35" i="58"/>
  <c r="W36" i="58"/>
  <c r="W37" i="58"/>
  <c r="W14" i="60"/>
  <c r="W19" i="60"/>
  <c r="W24" i="65"/>
  <c r="W11" i="65"/>
  <c r="W2" i="18"/>
  <c r="W25" i="65"/>
  <c r="W13" i="65"/>
  <c r="W12" i="65"/>
  <c r="X2" i="61"/>
  <c r="X19" i="65"/>
  <c r="X20" i="65"/>
  <c r="X21" i="65"/>
  <c r="X18" i="65"/>
  <c r="X5" i="65"/>
  <c r="X33" i="58"/>
  <c r="X34" i="58"/>
  <c r="X35" i="58"/>
  <c r="X36" i="58"/>
  <c r="X37" i="58"/>
  <c r="X38" i="58"/>
  <c r="X23" i="65"/>
  <c r="X10" i="65"/>
  <c r="X14" i="60"/>
  <c r="X19" i="60"/>
  <c r="X24" i="65"/>
  <c r="X11" i="65"/>
  <c r="X2" i="18"/>
  <c r="X25" i="65"/>
  <c r="X13" i="65"/>
  <c r="X12" i="65"/>
  <c r="X9" i="65"/>
  <c r="X15" i="65"/>
  <c r="H35" i="48"/>
  <c r="Y2" i="61"/>
  <c r="Y19" i="65"/>
  <c r="Y20" i="65"/>
  <c r="Y21" i="65"/>
  <c r="Y18" i="65"/>
  <c r="Y5" i="65"/>
  <c r="Y33" i="58"/>
  <c r="Y34" i="58"/>
  <c r="Y35" i="58"/>
  <c r="Y36" i="58"/>
  <c r="Y37" i="58"/>
  <c r="Y38" i="58"/>
  <c r="Y23" i="65"/>
  <c r="Y10" i="65"/>
  <c r="Y14" i="60"/>
  <c r="Y19" i="60"/>
  <c r="Y24" i="65"/>
  <c r="Y11" i="65"/>
  <c r="Y25" i="65"/>
  <c r="Y13" i="65"/>
  <c r="Y12" i="65"/>
  <c r="Y9" i="65"/>
  <c r="Y15" i="65"/>
  <c r="I35" i="48"/>
  <c r="AA2" i="61"/>
  <c r="AA19" i="65"/>
  <c r="AA20" i="65"/>
  <c r="AA21" i="65"/>
  <c r="AA18" i="65"/>
  <c r="AA5" i="65"/>
  <c r="AA33" i="58"/>
  <c r="AA34" i="58"/>
  <c r="AA35" i="58"/>
  <c r="AA36" i="58"/>
  <c r="AA37" i="58"/>
  <c r="AA38" i="58"/>
  <c r="AA23" i="65"/>
  <c r="AA10" i="65"/>
  <c r="AA14" i="60"/>
  <c r="AA19" i="60"/>
  <c r="AA24" i="65"/>
  <c r="AA11" i="65"/>
  <c r="AA2" i="18"/>
  <c r="AA25" i="65"/>
  <c r="AA13" i="65"/>
  <c r="AA12" i="65"/>
  <c r="AA9" i="65"/>
  <c r="AA15" i="65"/>
  <c r="K35" i="48"/>
  <c r="AB2" i="61"/>
  <c r="AB19" i="65"/>
  <c r="AB20" i="65"/>
  <c r="AB21" i="65"/>
  <c r="AB18" i="65"/>
  <c r="AB5" i="65"/>
  <c r="AB33" i="58"/>
  <c r="AB34" i="58"/>
  <c r="AB35" i="58"/>
  <c r="AB36" i="58"/>
  <c r="AB37" i="58"/>
  <c r="AB38" i="58"/>
  <c r="AB23" i="65"/>
  <c r="AB10" i="65"/>
  <c r="AB14" i="60"/>
  <c r="AB19" i="60"/>
  <c r="AB24" i="65"/>
  <c r="AB11" i="65"/>
  <c r="AB25" i="65"/>
  <c r="AB13" i="65"/>
  <c r="AB12" i="65"/>
  <c r="AB9" i="65"/>
  <c r="AB15" i="65"/>
  <c r="L35" i="48"/>
  <c r="S2" i="61"/>
  <c r="S19" i="65"/>
  <c r="S20" i="65"/>
  <c r="S21" i="65"/>
  <c r="S18" i="65"/>
  <c r="S5" i="65"/>
  <c r="S33" i="58"/>
  <c r="S34" i="58"/>
  <c r="S35" i="58"/>
  <c r="S36" i="58"/>
  <c r="S37" i="58"/>
  <c r="S38" i="58"/>
  <c r="S23" i="65"/>
  <c r="S10" i="65"/>
  <c r="S14" i="60"/>
  <c r="S19" i="60"/>
  <c r="S24" i="65"/>
  <c r="S11" i="65"/>
  <c r="S2" i="18"/>
  <c r="S25" i="65"/>
  <c r="S13" i="65"/>
  <c r="S12" i="65"/>
  <c r="S9" i="65"/>
  <c r="S15" i="65"/>
  <c r="C35" i="48"/>
  <c r="B26" i="65"/>
  <c r="B17" i="65"/>
  <c r="B15" i="65"/>
  <c r="B4" i="65"/>
  <c r="R2" i="18"/>
  <c r="Q2" i="18"/>
  <c r="P2" i="18"/>
  <c r="O2" i="18"/>
  <c r="N2" i="18"/>
  <c r="M2" i="18"/>
  <c r="L2" i="18"/>
  <c r="K2" i="18"/>
  <c r="H2" i="18"/>
  <c r="G2" i="18"/>
  <c r="F2" i="18"/>
  <c r="E2" i="18"/>
  <c r="D2" i="18"/>
  <c r="C2" i="18"/>
  <c r="B52" i="62"/>
  <c r="G13" i="78"/>
  <c r="G12" i="78"/>
  <c r="B26" i="18"/>
  <c r="B12" i="78"/>
  <c r="M2" i="48"/>
  <c r="T22" i="54"/>
  <c r="P22" i="54"/>
  <c r="Q22" i="54"/>
  <c r="R22" i="54"/>
  <c r="U22" i="54"/>
  <c r="T21" i="54"/>
  <c r="U21" i="54"/>
  <c r="U19" i="54"/>
  <c r="T19" i="54"/>
  <c r="AA18" i="54"/>
  <c r="T13" i="54"/>
  <c r="U11" i="54"/>
  <c r="U10" i="54"/>
  <c r="V2" i="72"/>
  <c r="W2" i="69"/>
  <c r="AC2" i="79"/>
  <c r="AC2" i="78"/>
  <c r="AB2" i="68"/>
  <c r="AC2" i="74"/>
  <c r="U23" i="54"/>
  <c r="H46" i="13"/>
  <c r="B4" i="79"/>
  <c r="B13" i="79"/>
  <c r="B15" i="79"/>
  <c r="B8" i="79"/>
  <c r="B16" i="79"/>
  <c r="B11" i="79"/>
  <c r="B2" i="79"/>
  <c r="B10" i="79"/>
  <c r="B5" i="79"/>
  <c r="B7" i="79"/>
  <c r="AG2" i="79"/>
  <c r="AF2" i="79"/>
  <c r="AB2" i="79"/>
  <c r="AA2" i="79"/>
  <c r="Z2" i="79"/>
  <c r="Y2" i="79"/>
  <c r="X2" i="79"/>
  <c r="W2" i="79"/>
  <c r="V2" i="79"/>
  <c r="U2" i="79"/>
  <c r="T2" i="79"/>
  <c r="S2" i="79"/>
  <c r="R2" i="79"/>
  <c r="Q2" i="79"/>
  <c r="P2" i="79"/>
  <c r="O2" i="79"/>
  <c r="N2" i="79"/>
  <c r="M2" i="79"/>
  <c r="L2" i="79"/>
  <c r="K2" i="79"/>
  <c r="H2" i="79"/>
  <c r="G2" i="79"/>
  <c r="F2" i="79"/>
  <c r="E2" i="79"/>
  <c r="D2" i="79"/>
  <c r="C2" i="79"/>
  <c r="G7" i="79"/>
  <c r="G10" i="79"/>
  <c r="H7" i="79"/>
  <c r="H10" i="79"/>
  <c r="AA7" i="79"/>
  <c r="AA10" i="79"/>
  <c r="X7" i="79"/>
  <c r="X10" i="79"/>
  <c r="W7" i="79"/>
  <c r="W10" i="79"/>
  <c r="V7" i="79"/>
  <c r="V10" i="79"/>
  <c r="U7" i="79"/>
  <c r="T7" i="79"/>
  <c r="T10" i="79"/>
  <c r="S7" i="79"/>
  <c r="R7" i="79"/>
  <c r="R10" i="79"/>
  <c r="Q7" i="79"/>
  <c r="Q10" i="79"/>
  <c r="P7" i="79"/>
  <c r="P10" i="79"/>
  <c r="O7" i="79"/>
  <c r="O10" i="79"/>
  <c r="N7" i="79"/>
  <c r="N10" i="79"/>
  <c r="M7" i="79"/>
  <c r="M10" i="79"/>
  <c r="L7" i="79"/>
  <c r="K7" i="79"/>
  <c r="K10" i="79"/>
  <c r="AB7" i="79"/>
  <c r="AB10" i="79"/>
  <c r="B2" i="48"/>
  <c r="C5" i="52"/>
  <c r="C3" i="52"/>
  <c r="T6" i="54"/>
  <c r="T5" i="54"/>
  <c r="B12" i="74"/>
  <c r="D7" i="79"/>
  <c r="D10" i="79"/>
  <c r="E7" i="79"/>
  <c r="E10" i="79"/>
  <c r="F7" i="79"/>
  <c r="F10" i="79"/>
  <c r="C7" i="79"/>
  <c r="C10" i="79"/>
  <c r="Y7" i="79"/>
  <c r="B12" i="65"/>
  <c r="B14" i="65"/>
  <c r="B13" i="65"/>
  <c r="B11" i="65"/>
  <c r="B10" i="65"/>
  <c r="B9" i="65"/>
  <c r="B8" i="65"/>
  <c r="B7" i="65"/>
  <c r="B6" i="65"/>
  <c r="B5" i="65"/>
  <c r="B27" i="62"/>
  <c r="B22" i="62"/>
  <c r="B21" i="62"/>
  <c r="B8" i="75"/>
  <c r="B6" i="75"/>
  <c r="Y10" i="79"/>
  <c r="L2" i="48"/>
  <c r="AB17" i="74"/>
  <c r="E24" i="52"/>
  <c r="O9" i="52"/>
  <c r="O32" i="52"/>
  <c r="N9" i="52"/>
  <c r="N32" i="52"/>
  <c r="T11" i="54"/>
  <c r="T10" i="54"/>
  <c r="S13" i="54"/>
  <c r="V2" i="73"/>
  <c r="S22" i="54"/>
  <c r="S21" i="54"/>
  <c r="U2" i="69"/>
  <c r="V2" i="69"/>
  <c r="S19" i="54"/>
  <c r="AB2" i="75"/>
  <c r="T2" i="54"/>
  <c r="AB2" i="78"/>
  <c r="AB2" i="65"/>
  <c r="AB2" i="64"/>
  <c r="X2" i="67"/>
  <c r="W2" i="67"/>
  <c r="AA2" i="67"/>
  <c r="X2" i="66"/>
  <c r="W2" i="66"/>
  <c r="X17" i="74"/>
  <c r="AA17" i="74"/>
  <c r="X2" i="68"/>
  <c r="X15" i="68"/>
  <c r="AA2" i="68"/>
  <c r="X2" i="63"/>
  <c r="AB2" i="74"/>
  <c r="B36" i="63"/>
  <c r="B28" i="63"/>
  <c r="B26" i="63"/>
  <c r="B23" i="63"/>
  <c r="B33" i="63"/>
  <c r="B25" i="63"/>
  <c r="B35" i="63"/>
  <c r="B20" i="63"/>
  <c r="B4" i="63"/>
  <c r="B37" i="58"/>
  <c r="B11" i="70"/>
  <c r="B10" i="70"/>
  <c r="B6" i="70"/>
  <c r="B36" i="48"/>
  <c r="B14" i="48"/>
  <c r="O13" i="54"/>
  <c r="R13" i="54"/>
  <c r="B6" i="74"/>
  <c r="B5" i="74"/>
  <c r="B26" i="62"/>
  <c r="I35" i="52"/>
  <c r="C12" i="52"/>
  <c r="J9" i="52"/>
  <c r="K9" i="52"/>
  <c r="L9" i="52"/>
  <c r="M9" i="52"/>
  <c r="B18" i="74"/>
  <c r="B15" i="78"/>
  <c r="B16" i="78"/>
  <c r="B14" i="78"/>
  <c r="B13" i="78"/>
  <c r="B11" i="78"/>
  <c r="B9" i="78"/>
  <c r="B8" i="78"/>
  <c r="B7" i="78"/>
  <c r="B6" i="78"/>
  <c r="B5" i="78"/>
  <c r="B4" i="78"/>
  <c r="B2" i="78"/>
  <c r="T17" i="74"/>
  <c r="V17" i="74"/>
  <c r="W17" i="74"/>
  <c r="Y17" i="74"/>
  <c r="AG2" i="78"/>
  <c r="AF2" i="78"/>
  <c r="AA2" i="78"/>
  <c r="Z2" i="78"/>
  <c r="Y2" i="78"/>
  <c r="X2" i="78"/>
  <c r="W2" i="78"/>
  <c r="V2" i="78"/>
  <c r="U2" i="78"/>
  <c r="T2" i="78"/>
  <c r="S2" i="78"/>
  <c r="R2" i="78"/>
  <c r="Q2" i="78"/>
  <c r="P2" i="78"/>
  <c r="O2" i="78"/>
  <c r="N2" i="78"/>
  <c r="M2" i="78"/>
  <c r="L2" i="78"/>
  <c r="K2" i="78"/>
  <c r="H2" i="78"/>
  <c r="G2" i="78"/>
  <c r="F2" i="78"/>
  <c r="E2" i="78"/>
  <c r="D2" i="78"/>
  <c r="C2" i="78"/>
  <c r="B16" i="74"/>
  <c r="B15" i="74"/>
  <c r="B14" i="74"/>
  <c r="B13" i="74"/>
  <c r="B13" i="66"/>
  <c r="B11" i="74"/>
  <c r="B9" i="74"/>
  <c r="B10" i="74"/>
  <c r="B8" i="74"/>
  <c r="B7" i="74"/>
  <c r="B33" i="48"/>
  <c r="B34" i="48"/>
  <c r="B32" i="48"/>
  <c r="B9" i="70"/>
  <c r="I53" i="40"/>
  <c r="I52" i="40"/>
  <c r="I51" i="40"/>
  <c r="H44" i="13"/>
  <c r="H40" i="13"/>
  <c r="H38" i="13"/>
  <c r="H36" i="13"/>
  <c r="H34" i="13"/>
  <c r="H32" i="13"/>
  <c r="H30" i="13"/>
  <c r="H28" i="13"/>
  <c r="H12" i="13"/>
  <c r="H26" i="13"/>
  <c r="H24" i="13"/>
  <c r="H22" i="13"/>
  <c r="H20" i="13"/>
  <c r="H18" i="13"/>
  <c r="H16" i="13"/>
  <c r="H14" i="13"/>
  <c r="H10" i="13"/>
  <c r="B15" i="76"/>
  <c r="B11" i="76"/>
  <c r="B4" i="76"/>
  <c r="AG2" i="76"/>
  <c r="AF2" i="76"/>
  <c r="X2" i="76"/>
  <c r="W2" i="76"/>
  <c r="V2" i="76"/>
  <c r="U2" i="76"/>
  <c r="T2" i="76"/>
  <c r="S2" i="76"/>
  <c r="R2" i="76"/>
  <c r="F6" i="76"/>
  <c r="Q2" i="76"/>
  <c r="P2" i="76"/>
  <c r="O2" i="76"/>
  <c r="N2" i="76"/>
  <c r="E5" i="76"/>
  <c r="M2" i="76"/>
  <c r="L2" i="76"/>
  <c r="K2" i="76"/>
  <c r="H2" i="76"/>
  <c r="G2" i="76"/>
  <c r="F2" i="76"/>
  <c r="E2" i="76"/>
  <c r="D2" i="76"/>
  <c r="C2" i="76"/>
  <c r="B2" i="76"/>
  <c r="H23" i="75"/>
  <c r="G23" i="75"/>
  <c r="F23" i="75"/>
  <c r="E23" i="75"/>
  <c r="B23" i="75"/>
  <c r="H22" i="75"/>
  <c r="G22" i="75"/>
  <c r="F22" i="75"/>
  <c r="E22" i="75"/>
  <c r="B22" i="75"/>
  <c r="H21" i="75"/>
  <c r="G21" i="75"/>
  <c r="F21" i="75"/>
  <c r="E21" i="75"/>
  <c r="B21" i="75"/>
  <c r="H20" i="75"/>
  <c r="G20" i="75"/>
  <c r="B20" i="75"/>
  <c r="H19" i="75"/>
  <c r="G19" i="75"/>
  <c r="B19" i="75"/>
  <c r="B18" i="75"/>
  <c r="H17" i="75"/>
  <c r="G17" i="75"/>
  <c r="B17" i="75"/>
  <c r="H16" i="75"/>
  <c r="G16" i="75"/>
  <c r="B16" i="75"/>
  <c r="H15" i="75"/>
  <c r="G15" i="75"/>
  <c r="B15" i="75"/>
  <c r="B14" i="75"/>
  <c r="H13" i="75"/>
  <c r="B13" i="75"/>
  <c r="H12" i="75"/>
  <c r="G12" i="75"/>
  <c r="B12" i="75"/>
  <c r="H11" i="75"/>
  <c r="G11" i="75"/>
  <c r="B11" i="75"/>
  <c r="H10" i="75"/>
  <c r="G10" i="75"/>
  <c r="B10" i="75"/>
  <c r="H9" i="75"/>
  <c r="G9" i="75"/>
  <c r="E9" i="75"/>
  <c r="B9" i="75"/>
  <c r="H7" i="75"/>
  <c r="G7" i="75"/>
  <c r="F7" i="75"/>
  <c r="E7" i="75"/>
  <c r="B7" i="75"/>
  <c r="H6" i="75"/>
  <c r="G6" i="75"/>
  <c r="F6" i="75"/>
  <c r="E6" i="75"/>
  <c r="H5" i="75"/>
  <c r="G5" i="75"/>
  <c r="F5" i="75"/>
  <c r="E5" i="75"/>
  <c r="B5" i="75"/>
  <c r="B4" i="75"/>
  <c r="AG2" i="75"/>
  <c r="AF2" i="75"/>
  <c r="AA2" i="75"/>
  <c r="Z2" i="75"/>
  <c r="Y2" i="75"/>
  <c r="X2" i="75"/>
  <c r="W2" i="75"/>
  <c r="V2" i="75"/>
  <c r="U2" i="75"/>
  <c r="T2" i="75"/>
  <c r="S2" i="75"/>
  <c r="R2" i="75"/>
  <c r="Q2" i="75"/>
  <c r="P2" i="75"/>
  <c r="O2" i="75"/>
  <c r="N2" i="75"/>
  <c r="M2" i="75"/>
  <c r="L2" i="75"/>
  <c r="K2" i="75"/>
  <c r="H2" i="75"/>
  <c r="G2" i="75"/>
  <c r="F2" i="75"/>
  <c r="E2" i="75"/>
  <c r="D2" i="75"/>
  <c r="C2" i="75"/>
  <c r="B2" i="75"/>
  <c r="E17" i="74"/>
  <c r="B17" i="74"/>
  <c r="B4" i="74"/>
  <c r="AG2" i="74"/>
  <c r="AF2" i="74"/>
  <c r="AA2" i="74"/>
  <c r="Z2" i="74"/>
  <c r="Y2" i="74"/>
  <c r="X2" i="74"/>
  <c r="W2" i="74"/>
  <c r="V2" i="74"/>
  <c r="U2" i="74"/>
  <c r="T2" i="74"/>
  <c r="S2" i="74"/>
  <c r="R2" i="74"/>
  <c r="Q2" i="74"/>
  <c r="P2" i="74"/>
  <c r="O2" i="74"/>
  <c r="N2" i="74"/>
  <c r="M2" i="74"/>
  <c r="L2" i="74"/>
  <c r="K2" i="74"/>
  <c r="H2" i="74"/>
  <c r="G2" i="74"/>
  <c r="F2" i="74"/>
  <c r="E2" i="74"/>
  <c r="D2" i="74"/>
  <c r="C2" i="74"/>
  <c r="B2" i="74"/>
  <c r="B9" i="73"/>
  <c r="B4" i="73"/>
  <c r="AA2" i="73"/>
  <c r="Z2" i="73"/>
  <c r="U2" i="73"/>
  <c r="S2" i="73"/>
  <c r="R2" i="73"/>
  <c r="Q2" i="73"/>
  <c r="P2" i="73"/>
  <c r="O2" i="73"/>
  <c r="N2" i="73"/>
  <c r="M2" i="73"/>
  <c r="L2" i="73"/>
  <c r="K2" i="73"/>
  <c r="J2" i="73"/>
  <c r="I2" i="73"/>
  <c r="H2" i="73"/>
  <c r="G2" i="73"/>
  <c r="F2" i="73"/>
  <c r="E2" i="73"/>
  <c r="D2" i="73"/>
  <c r="C2" i="73"/>
  <c r="B2" i="73"/>
  <c r="B12" i="72"/>
  <c r="B8" i="72"/>
  <c r="B4" i="72"/>
  <c r="AA2" i="72"/>
  <c r="Z2" i="72"/>
  <c r="S2" i="72"/>
  <c r="R2" i="72"/>
  <c r="Q2" i="72"/>
  <c r="P2" i="72"/>
  <c r="O2" i="72"/>
  <c r="N2" i="72"/>
  <c r="M2" i="72"/>
  <c r="L2" i="72"/>
  <c r="K2" i="72"/>
  <c r="J2" i="72"/>
  <c r="I2" i="72"/>
  <c r="H2" i="72"/>
  <c r="G2" i="72"/>
  <c r="F2" i="72"/>
  <c r="E2" i="72"/>
  <c r="D2" i="72"/>
  <c r="C2" i="72"/>
  <c r="B2" i="72"/>
  <c r="B4" i="71"/>
  <c r="Z2" i="71"/>
  <c r="Y2" i="71"/>
  <c r="B2" i="71"/>
  <c r="B15" i="70"/>
  <c r="P2" i="70"/>
  <c r="B4" i="70"/>
  <c r="AA2" i="70"/>
  <c r="Z2" i="70"/>
  <c r="U2" i="70"/>
  <c r="S2" i="70"/>
  <c r="R2" i="70"/>
  <c r="Q2" i="70"/>
  <c r="Q6" i="70"/>
  <c r="O2" i="70"/>
  <c r="N2" i="70"/>
  <c r="M2" i="70"/>
  <c r="L2" i="70"/>
  <c r="K2" i="70"/>
  <c r="J2" i="70"/>
  <c r="I2" i="70"/>
  <c r="H2" i="70"/>
  <c r="G2" i="70"/>
  <c r="F2" i="70"/>
  <c r="E2" i="70"/>
  <c r="D2" i="70"/>
  <c r="C2" i="70"/>
  <c r="B2" i="70"/>
  <c r="B5" i="69"/>
  <c r="B4" i="69"/>
  <c r="AA2" i="69"/>
  <c r="Z2" i="69"/>
  <c r="S2" i="69"/>
  <c r="R2" i="69"/>
  <c r="Q2" i="69"/>
  <c r="P2" i="69"/>
  <c r="O2" i="69"/>
  <c r="N2" i="69"/>
  <c r="M2" i="69"/>
  <c r="L2" i="69"/>
  <c r="K2" i="69"/>
  <c r="J2" i="69"/>
  <c r="I2" i="69"/>
  <c r="H2" i="69"/>
  <c r="G2" i="69"/>
  <c r="F2" i="69"/>
  <c r="E2" i="69"/>
  <c r="D2" i="69"/>
  <c r="C2" i="69"/>
  <c r="B2" i="69"/>
  <c r="B12" i="68"/>
  <c r="B10" i="68"/>
  <c r="B9" i="68"/>
  <c r="B8" i="68"/>
  <c r="B7" i="68"/>
  <c r="B5" i="68"/>
  <c r="B4" i="68"/>
  <c r="AG2" i="68"/>
  <c r="AF2" i="68"/>
  <c r="Y2" i="68"/>
  <c r="Y15" i="68"/>
  <c r="W2" i="68"/>
  <c r="V2" i="68"/>
  <c r="U2" i="68"/>
  <c r="T2" i="68"/>
  <c r="T15" i="68"/>
  <c r="S2" i="68"/>
  <c r="S15" i="68"/>
  <c r="R2" i="68"/>
  <c r="R15" i="68"/>
  <c r="Q2" i="68"/>
  <c r="Q5" i="68"/>
  <c r="P2" i="68"/>
  <c r="P15" i="68"/>
  <c r="O2" i="68"/>
  <c r="O15" i="68"/>
  <c r="N2" i="68"/>
  <c r="N15" i="68"/>
  <c r="M2" i="68"/>
  <c r="L2" i="68"/>
  <c r="L15" i="68"/>
  <c r="K2" i="68"/>
  <c r="K21" i="68"/>
  <c r="H2" i="68"/>
  <c r="G2" i="68"/>
  <c r="G15" i="68"/>
  <c r="F2" i="68"/>
  <c r="F15" i="68"/>
  <c r="E2" i="68"/>
  <c r="E15" i="68"/>
  <c r="E5" i="68"/>
  <c r="D2" i="68"/>
  <c r="D15" i="68"/>
  <c r="C2" i="68"/>
  <c r="C15" i="68"/>
  <c r="B2" i="68"/>
  <c r="B31" i="67"/>
  <c r="B30" i="67"/>
  <c r="B29" i="67"/>
  <c r="B28" i="67"/>
  <c r="B26" i="67"/>
  <c r="B25" i="67"/>
  <c r="B20" i="67"/>
  <c r="B19" i="67"/>
  <c r="B18" i="67"/>
  <c r="B16" i="67"/>
  <c r="B15" i="67"/>
  <c r="B13" i="67"/>
  <c r="B12" i="67"/>
  <c r="B11" i="67"/>
  <c r="B10" i="67"/>
  <c r="B9" i="67"/>
  <c r="B8" i="67"/>
  <c r="A8" i="67"/>
  <c r="B7" i="67"/>
  <c r="B6" i="67"/>
  <c r="B5" i="67"/>
  <c r="B4" i="67"/>
  <c r="AG2" i="67"/>
  <c r="AF2" i="67"/>
  <c r="V2" i="67"/>
  <c r="U2" i="67"/>
  <c r="T2" i="67"/>
  <c r="S2" i="67"/>
  <c r="R2" i="67"/>
  <c r="Q2" i="67"/>
  <c r="P2" i="67"/>
  <c r="O2" i="67"/>
  <c r="N2" i="67"/>
  <c r="M2" i="67"/>
  <c r="L2" i="67"/>
  <c r="K2" i="67"/>
  <c r="G2" i="67"/>
  <c r="F2" i="67"/>
  <c r="E2" i="67"/>
  <c r="D2" i="67"/>
  <c r="C2" i="67"/>
  <c r="C29" i="67"/>
  <c r="B2" i="67"/>
  <c r="B12" i="66"/>
  <c r="B10" i="66"/>
  <c r="B6" i="66"/>
  <c r="B5" i="66"/>
  <c r="B4" i="66"/>
  <c r="AG2" i="66"/>
  <c r="AF2" i="66"/>
  <c r="V2" i="66"/>
  <c r="U2" i="66"/>
  <c r="T2" i="66"/>
  <c r="S2" i="66"/>
  <c r="R2" i="66"/>
  <c r="Q2" i="66"/>
  <c r="P2" i="66"/>
  <c r="O2" i="66"/>
  <c r="N2" i="66"/>
  <c r="M2" i="66"/>
  <c r="L2" i="66"/>
  <c r="K2" i="66"/>
  <c r="H2" i="66"/>
  <c r="G2" i="66"/>
  <c r="F2" i="66"/>
  <c r="G12" i="66"/>
  <c r="E2" i="66"/>
  <c r="D2" i="66"/>
  <c r="C2" i="66"/>
  <c r="B2" i="66"/>
  <c r="B25" i="65"/>
  <c r="B23" i="65"/>
  <c r="B24" i="65"/>
  <c r="B22" i="65"/>
  <c r="B21" i="65"/>
  <c r="B20" i="65"/>
  <c r="B19" i="65"/>
  <c r="B18" i="65"/>
  <c r="AG2" i="65"/>
  <c r="AF2" i="65"/>
  <c r="AA2" i="65"/>
  <c r="Z2" i="65"/>
  <c r="Y2" i="65"/>
  <c r="X2" i="65"/>
  <c r="W2" i="65"/>
  <c r="V2" i="65"/>
  <c r="U2" i="65"/>
  <c r="T2" i="65"/>
  <c r="S2" i="65"/>
  <c r="R2" i="65"/>
  <c r="Q2" i="65"/>
  <c r="P2" i="65"/>
  <c r="O2" i="65"/>
  <c r="N2" i="65"/>
  <c r="M2" i="65"/>
  <c r="L2" i="65"/>
  <c r="K2" i="65"/>
  <c r="H2" i="65"/>
  <c r="G2" i="65"/>
  <c r="F2" i="65"/>
  <c r="E2" i="65"/>
  <c r="D2" i="65"/>
  <c r="C2" i="65"/>
  <c r="B2" i="65"/>
  <c r="B9" i="64"/>
  <c r="B8" i="64"/>
  <c r="B7" i="64"/>
  <c r="B6" i="64"/>
  <c r="B5" i="64"/>
  <c r="B4" i="64"/>
  <c r="AG2" i="64"/>
  <c r="AF2" i="64"/>
  <c r="AA2" i="64"/>
  <c r="Z2" i="64"/>
  <c r="Y2" i="64"/>
  <c r="X2" i="64"/>
  <c r="W2" i="64"/>
  <c r="V2" i="64"/>
  <c r="U2" i="64"/>
  <c r="T2" i="64"/>
  <c r="S2" i="64"/>
  <c r="R2" i="64"/>
  <c r="Q2" i="64"/>
  <c r="P2" i="64"/>
  <c r="O2" i="64"/>
  <c r="N2" i="64"/>
  <c r="M2" i="64"/>
  <c r="L2" i="64"/>
  <c r="K2" i="64"/>
  <c r="H2" i="64"/>
  <c r="G2" i="64"/>
  <c r="F2" i="64"/>
  <c r="E2" i="64"/>
  <c r="D2" i="64"/>
  <c r="C2" i="64"/>
  <c r="B2" i="64"/>
  <c r="B18" i="63"/>
  <c r="B11" i="63"/>
  <c r="B9" i="63"/>
  <c r="B81" i="63"/>
  <c r="B79" i="63"/>
  <c r="B78" i="63"/>
  <c r="B71" i="63"/>
  <c r="B61" i="63"/>
  <c r="B77" i="63"/>
  <c r="B76" i="63"/>
  <c r="B75" i="63"/>
  <c r="B72" i="63"/>
  <c r="B74" i="63"/>
  <c r="B73" i="63"/>
  <c r="B70" i="63"/>
  <c r="B67" i="63"/>
  <c r="R2" i="63"/>
  <c r="B62" i="63"/>
  <c r="B66" i="63"/>
  <c r="B60" i="63"/>
  <c r="B65" i="63"/>
  <c r="B64" i="63"/>
  <c r="B63" i="63"/>
  <c r="B7" i="59"/>
  <c r="B6" i="59"/>
  <c r="B92" i="63"/>
  <c r="B51" i="63"/>
  <c r="B58" i="63"/>
  <c r="B52" i="63"/>
  <c r="B55" i="63"/>
  <c r="B54" i="63"/>
  <c r="B2" i="63"/>
  <c r="B56" i="63"/>
  <c r="B57" i="63"/>
  <c r="B53" i="63"/>
  <c r="B50" i="63"/>
  <c r="F12" i="76"/>
  <c r="E12" i="76"/>
  <c r="F14" i="76"/>
  <c r="E10" i="76"/>
  <c r="F17" i="74"/>
  <c r="H6" i="70"/>
  <c r="G6" i="48"/>
  <c r="C21" i="68"/>
  <c r="M12" i="66"/>
  <c r="B91" i="63"/>
  <c r="B90" i="63"/>
  <c r="B89" i="63"/>
  <c r="B88" i="63"/>
  <c r="B87" i="63"/>
  <c r="B86" i="63"/>
  <c r="B85" i="63"/>
  <c r="B84" i="63"/>
  <c r="B83" i="63"/>
  <c r="C42" i="63"/>
  <c r="C54" i="63"/>
  <c r="B49" i="63"/>
  <c r="B48" i="63"/>
  <c r="B47" i="63"/>
  <c r="B46" i="63"/>
  <c r="B45" i="63"/>
  <c r="B44" i="63"/>
  <c r="B43" i="63"/>
  <c r="B42" i="63"/>
  <c r="B41" i="63"/>
  <c r="B40" i="63"/>
  <c r="B39" i="63"/>
  <c r="B38" i="63"/>
  <c r="B17" i="63"/>
  <c r="B16" i="63"/>
  <c r="B14" i="63"/>
  <c r="B13" i="63"/>
  <c r="B30" i="63"/>
  <c r="B12" i="63"/>
  <c r="B29" i="63"/>
  <c r="B8" i="63"/>
  <c r="B24" i="63"/>
  <c r="B34" i="63"/>
  <c r="B7" i="63"/>
  <c r="B6" i="63"/>
  <c r="B22" i="63"/>
  <c r="B31" i="63"/>
  <c r="B5" i="63"/>
  <c r="B21" i="63"/>
  <c r="AG2" i="63"/>
  <c r="AF2" i="63"/>
  <c r="W2" i="63"/>
  <c r="V2" i="63"/>
  <c r="U2" i="63"/>
  <c r="T2" i="63"/>
  <c r="S2" i="63"/>
  <c r="Q2" i="63"/>
  <c r="P2" i="63"/>
  <c r="P74" i="63"/>
  <c r="O2" i="63"/>
  <c r="N2" i="63"/>
  <c r="M2" i="63"/>
  <c r="L2" i="63"/>
  <c r="K2" i="63"/>
  <c r="H2" i="63"/>
  <c r="G2" i="63"/>
  <c r="F2" i="63"/>
  <c r="E2" i="63"/>
  <c r="D2" i="63"/>
  <c r="C2" i="63"/>
  <c r="C74" i="63"/>
  <c r="B43" i="62"/>
  <c r="B36" i="62"/>
  <c r="B42" i="62"/>
  <c r="B41" i="62"/>
  <c r="B39" i="62"/>
  <c r="B40" i="62"/>
  <c r="B38" i="62"/>
  <c r="B37" i="62"/>
  <c r="B17" i="62"/>
  <c r="B16" i="62"/>
  <c r="B15" i="62"/>
  <c r="B14" i="62"/>
  <c r="B2" i="62"/>
  <c r="B4" i="62"/>
  <c r="B5" i="62"/>
  <c r="B12" i="62"/>
  <c r="B47" i="62"/>
  <c r="B46" i="62"/>
  <c r="B45" i="62"/>
  <c r="B19" i="62"/>
  <c r="B34" i="62"/>
  <c r="B33" i="62"/>
  <c r="B31" i="62"/>
  <c r="B30" i="62"/>
  <c r="B29" i="62"/>
  <c r="B24" i="62"/>
  <c r="AG2" i="62"/>
  <c r="AF2" i="62"/>
  <c r="X2" i="62"/>
  <c r="W2" i="62"/>
  <c r="V2" i="62"/>
  <c r="U2" i="62"/>
  <c r="T2" i="62"/>
  <c r="S2" i="62"/>
  <c r="R2" i="62"/>
  <c r="Q2" i="62"/>
  <c r="P2" i="62"/>
  <c r="O2" i="62"/>
  <c r="N2" i="62"/>
  <c r="M2" i="62"/>
  <c r="L2" i="62"/>
  <c r="K2" i="62"/>
  <c r="H2" i="62"/>
  <c r="G2" i="62"/>
  <c r="F2" i="62"/>
  <c r="E2" i="62"/>
  <c r="D2" i="62"/>
  <c r="C2" i="62"/>
  <c r="B13" i="61"/>
  <c r="B4" i="61"/>
  <c r="B2" i="61"/>
  <c r="B12" i="61"/>
  <c r="B11" i="61"/>
  <c r="B5" i="61"/>
  <c r="B2" i="59"/>
  <c r="B6" i="61"/>
  <c r="AG2" i="61"/>
  <c r="AF2" i="61"/>
  <c r="R2" i="61"/>
  <c r="Q2" i="61"/>
  <c r="P2" i="61"/>
  <c r="O2" i="61"/>
  <c r="N2" i="61"/>
  <c r="M2" i="61"/>
  <c r="L2" i="61"/>
  <c r="K2" i="61"/>
  <c r="H2" i="61"/>
  <c r="G2" i="61"/>
  <c r="F2" i="61"/>
  <c r="E2" i="61"/>
  <c r="D2" i="61"/>
  <c r="C2" i="61"/>
  <c r="B14" i="60"/>
  <c r="B19" i="60"/>
  <c r="B4" i="60"/>
  <c r="AG2" i="60"/>
  <c r="AF2" i="60"/>
  <c r="B2" i="60"/>
  <c r="B23" i="59"/>
  <c r="B14" i="59"/>
  <c r="B18" i="59"/>
  <c r="B13" i="59"/>
  <c r="B11" i="59"/>
  <c r="B10" i="59"/>
  <c r="B9" i="59"/>
  <c r="B4" i="59"/>
  <c r="B5" i="59"/>
  <c r="AG2" i="59"/>
  <c r="AF2" i="59"/>
  <c r="X2" i="59"/>
  <c r="W2" i="59"/>
  <c r="V2" i="59"/>
  <c r="U2" i="59"/>
  <c r="T2" i="59"/>
  <c r="S2" i="59"/>
  <c r="R2" i="59"/>
  <c r="Q2" i="59"/>
  <c r="P2" i="59"/>
  <c r="O2" i="59"/>
  <c r="N2" i="59"/>
  <c r="M2" i="59"/>
  <c r="L2" i="59"/>
  <c r="K2" i="59"/>
  <c r="G2" i="59"/>
  <c r="F2" i="59"/>
  <c r="E2" i="59"/>
  <c r="D2" i="59"/>
  <c r="C2" i="59"/>
  <c r="B2" i="58"/>
  <c r="B38" i="58"/>
  <c r="B36" i="58"/>
  <c r="B35" i="58"/>
  <c r="B34" i="58"/>
  <c r="B33" i="58"/>
  <c r="L45" i="63"/>
  <c r="L55" i="63"/>
  <c r="B4" i="58"/>
  <c r="AG2" i="58"/>
  <c r="AF2" i="58"/>
  <c r="S46" i="63"/>
  <c r="K2" i="48"/>
  <c r="O22" i="54"/>
  <c r="O21" i="54"/>
  <c r="P21" i="54"/>
  <c r="Q21" i="54"/>
  <c r="R21" i="54"/>
  <c r="O19" i="54"/>
  <c r="P19" i="54"/>
  <c r="Q19" i="54"/>
  <c r="R19" i="54"/>
  <c r="S11" i="54"/>
  <c r="S10" i="54"/>
  <c r="Q21" i="65"/>
  <c r="Q23" i="54"/>
  <c r="S23" i="54"/>
  <c r="S2" i="54"/>
  <c r="B36" i="18"/>
  <c r="AA22" i="54"/>
  <c r="Q13" i="54"/>
  <c r="B15" i="54"/>
  <c r="H2" i="20"/>
  <c r="R2" i="54"/>
  <c r="J2" i="48"/>
  <c r="AA19" i="54"/>
  <c r="P13" i="54"/>
  <c r="Q10" i="54"/>
  <c r="Q11" i="54"/>
  <c r="M32" i="52"/>
  <c r="Q2" i="54"/>
  <c r="I2" i="48"/>
  <c r="K24" i="13"/>
  <c r="B27" i="54"/>
  <c r="B26" i="54"/>
  <c r="D13" i="54"/>
  <c r="E13" i="54"/>
  <c r="F13" i="54"/>
  <c r="G13" i="54"/>
  <c r="H13" i="54"/>
  <c r="I13" i="54"/>
  <c r="J13" i="54"/>
  <c r="K13" i="54"/>
  <c r="L13" i="54"/>
  <c r="M13" i="54"/>
  <c r="N13" i="54"/>
  <c r="C13" i="54"/>
  <c r="AA4" i="54"/>
  <c r="AA5" i="54"/>
  <c r="AA6" i="54"/>
  <c r="AA9" i="54"/>
  <c r="AA13" i="54"/>
  <c r="AA20" i="54"/>
  <c r="AA21" i="54"/>
  <c r="B23" i="54"/>
  <c r="B22" i="54"/>
  <c r="B21" i="54"/>
  <c r="B20" i="54"/>
  <c r="B19" i="54"/>
  <c r="B18" i="54"/>
  <c r="B17" i="54"/>
  <c r="B14" i="54"/>
  <c r="B13" i="54"/>
  <c r="B11" i="54"/>
  <c r="B10" i="54"/>
  <c r="B9" i="54"/>
  <c r="B8" i="54"/>
  <c r="B6" i="54"/>
  <c r="B5" i="54"/>
  <c r="B4" i="54"/>
  <c r="B2" i="54"/>
  <c r="Y2" i="54"/>
  <c r="X2" i="54"/>
  <c r="AG2" i="18"/>
  <c r="AF2" i="18"/>
  <c r="AF2" i="20"/>
  <c r="P2" i="48"/>
  <c r="Q2" i="48"/>
  <c r="P2" i="54"/>
  <c r="O2" i="54"/>
  <c r="N2" i="54"/>
  <c r="M2" i="54"/>
  <c r="L2" i="54"/>
  <c r="K2" i="54"/>
  <c r="J2" i="54"/>
  <c r="I2" i="54"/>
  <c r="H2" i="54"/>
  <c r="G2" i="54"/>
  <c r="F2" i="54"/>
  <c r="E2" i="54"/>
  <c r="D2" i="54"/>
  <c r="C2" i="54"/>
  <c r="I22" i="52"/>
  <c r="X2" i="20"/>
  <c r="H2" i="48"/>
  <c r="W2" i="20"/>
  <c r="G2" i="48"/>
  <c r="L32" i="52"/>
  <c r="E9" i="52"/>
  <c r="G2" i="20"/>
  <c r="F2" i="20"/>
  <c r="V2" i="20"/>
  <c r="F2" i="48"/>
  <c r="C18" i="52"/>
  <c r="C13" i="52"/>
  <c r="B23" i="48"/>
  <c r="U2" i="20"/>
  <c r="E2" i="48"/>
  <c r="B12" i="48"/>
  <c r="B35" i="48"/>
  <c r="B31" i="48"/>
  <c r="B29" i="48"/>
  <c r="B28" i="48"/>
  <c r="B27" i="48"/>
  <c r="B26" i="48"/>
  <c r="B24" i="48"/>
  <c r="B22" i="48"/>
  <c r="B21" i="48"/>
  <c r="B19" i="48"/>
  <c r="B18" i="48"/>
  <c r="B17" i="48"/>
  <c r="B16" i="48"/>
  <c r="B13" i="48"/>
  <c r="B11" i="48"/>
  <c r="B10" i="48"/>
  <c r="B8" i="48"/>
  <c r="B7" i="48"/>
  <c r="B6" i="48"/>
  <c r="B5" i="48"/>
  <c r="B4" i="48"/>
  <c r="D2" i="48"/>
  <c r="C2" i="48"/>
  <c r="K18" i="13"/>
  <c r="D9" i="52"/>
  <c r="C47" i="52"/>
  <c r="T9" i="52"/>
  <c r="T32" i="52"/>
  <c r="S9" i="52"/>
  <c r="S32" i="52"/>
  <c r="R9" i="52"/>
  <c r="R32" i="52"/>
  <c r="Q9" i="52"/>
  <c r="Q32" i="52"/>
  <c r="Q8" i="52"/>
  <c r="Q31" i="52"/>
  <c r="I33" i="52"/>
  <c r="I34" i="52"/>
  <c r="I36" i="52"/>
  <c r="I37" i="52"/>
  <c r="I39" i="52"/>
  <c r="I40" i="52"/>
  <c r="I41" i="52"/>
  <c r="I42" i="52"/>
  <c r="I43" i="52"/>
  <c r="I32" i="52"/>
  <c r="I12" i="52"/>
  <c r="I14" i="52"/>
  <c r="I15" i="52"/>
  <c r="I17" i="52"/>
  <c r="I18" i="52"/>
  <c r="I20" i="52"/>
  <c r="I21" i="52"/>
  <c r="I23" i="52"/>
  <c r="I25" i="52"/>
  <c r="I26" i="52"/>
  <c r="I10" i="52"/>
  <c r="I11" i="52"/>
  <c r="I9" i="52"/>
  <c r="D24" i="52"/>
  <c r="C24" i="52"/>
  <c r="C25" i="52"/>
  <c r="C26" i="52"/>
  <c r="C27" i="52"/>
  <c r="C9" i="52"/>
  <c r="C10" i="52"/>
  <c r="C11" i="52"/>
  <c r="C14" i="52"/>
  <c r="C15" i="52"/>
  <c r="C16" i="52"/>
  <c r="C17" i="52"/>
  <c r="C19" i="52"/>
  <c r="K32" i="52"/>
  <c r="J32" i="52"/>
  <c r="K26" i="13"/>
  <c r="K28" i="13"/>
  <c r="BS2" i="40"/>
  <c r="BS1" i="40"/>
  <c r="BQ1" i="40"/>
  <c r="BQ2" i="40"/>
  <c r="W5" i="61"/>
  <c r="L10" i="67"/>
  <c r="T2" i="20"/>
  <c r="S2" i="20"/>
  <c r="F6" i="13"/>
  <c r="F11" i="61"/>
  <c r="B2" i="18"/>
  <c r="K2" i="20"/>
  <c r="B40" i="20"/>
  <c r="D2" i="20"/>
  <c r="B32" i="20"/>
  <c r="B31" i="20"/>
  <c r="L2" i="20"/>
  <c r="B19" i="20"/>
  <c r="K37" i="52"/>
  <c r="K43" i="52"/>
  <c r="Q2" i="20"/>
  <c r="G10" i="20"/>
  <c r="Q9" i="59"/>
  <c r="Q75" i="63"/>
  <c r="C2" i="20"/>
  <c r="Q5" i="59"/>
  <c r="Q73" i="63"/>
  <c r="B4" i="20"/>
  <c r="B2" i="20"/>
  <c r="R2" i="20"/>
  <c r="P2" i="20"/>
  <c r="O2" i="20"/>
  <c r="N2" i="20"/>
  <c r="M2" i="20"/>
  <c r="E2" i="20"/>
  <c r="K16" i="13"/>
  <c r="K14" i="13"/>
  <c r="K12" i="13"/>
  <c r="K10" i="13"/>
  <c r="U10" i="67"/>
  <c r="G11" i="61"/>
  <c r="P10" i="67"/>
  <c r="G9" i="67"/>
  <c r="E10" i="67"/>
  <c r="V11" i="61"/>
  <c r="W11" i="61"/>
  <c r="T10" i="67"/>
  <c r="G10" i="67"/>
  <c r="K17" i="52"/>
  <c r="V10" i="67"/>
  <c r="N9" i="67"/>
  <c r="M11" i="61"/>
  <c r="N25" i="65"/>
  <c r="N13" i="65"/>
  <c r="N12" i="65"/>
  <c r="K10" i="67"/>
  <c r="T9" i="59"/>
  <c r="T75" i="63"/>
  <c r="N8" i="78"/>
  <c r="M8" i="78"/>
  <c r="D10" i="59"/>
  <c r="D70" i="63"/>
  <c r="M17" i="62"/>
  <c r="G13" i="20"/>
  <c r="G29" i="20"/>
  <c r="O8" i="78"/>
  <c r="F12" i="20"/>
  <c r="V5" i="59"/>
  <c r="V73" i="63"/>
  <c r="C13" i="59"/>
  <c r="C76" i="63"/>
  <c r="G16" i="20"/>
  <c r="E19" i="48"/>
  <c r="D8" i="78"/>
  <c r="T8" i="78"/>
  <c r="G33" i="20"/>
  <c r="E24" i="20"/>
  <c r="G28" i="20"/>
  <c r="G35" i="20"/>
  <c r="P13" i="59"/>
  <c r="P76" i="63"/>
  <c r="G34" i="20"/>
  <c r="V9" i="59"/>
  <c r="V75" i="63"/>
  <c r="U13" i="59"/>
  <c r="U76" i="63"/>
  <c r="G14" i="20"/>
  <c r="C5" i="59"/>
  <c r="C73" i="63"/>
  <c r="C72" i="63"/>
  <c r="O17" i="62"/>
  <c r="E11" i="20"/>
  <c r="E17" i="20"/>
  <c r="G12" i="20"/>
  <c r="G21" i="20"/>
  <c r="G11" i="20"/>
  <c r="G27" i="20"/>
  <c r="G17" i="20"/>
  <c r="T13" i="59"/>
  <c r="T76" i="63"/>
  <c r="F10" i="67"/>
  <c r="S13" i="59"/>
  <c r="S76" i="63"/>
  <c r="V17" i="62"/>
  <c r="E15" i="20"/>
  <c r="E37" i="20"/>
  <c r="D13" i="59"/>
  <c r="D76" i="63"/>
  <c r="Y8" i="65"/>
  <c r="N15" i="67"/>
  <c r="P6" i="70"/>
  <c r="O41" i="63"/>
  <c r="F80" i="63"/>
  <c r="L13" i="59"/>
  <c r="L76" i="63"/>
  <c r="Y47" i="63"/>
  <c r="T8" i="65"/>
  <c r="S74" i="63"/>
  <c r="E15" i="67"/>
  <c r="E30" i="67"/>
  <c r="M13" i="59"/>
  <c r="M76" i="63"/>
  <c r="N57" i="63"/>
  <c r="Y11" i="67"/>
  <c r="Y25" i="67"/>
  <c r="W48" i="63"/>
  <c r="T79" i="63"/>
  <c r="M62" i="63"/>
  <c r="P21" i="65"/>
  <c r="P8" i="65"/>
  <c r="D21" i="65"/>
  <c r="D8" i="65"/>
  <c r="D9" i="59"/>
  <c r="D75" i="63"/>
  <c r="E22" i="20"/>
  <c r="O57" i="63"/>
  <c r="O49" i="63"/>
  <c r="W57" i="63"/>
  <c r="D7" i="67"/>
  <c r="W7" i="67"/>
  <c r="M7" i="67"/>
  <c r="U50" i="63"/>
  <c r="M5" i="59"/>
  <c r="M73" i="63"/>
  <c r="O9" i="67"/>
  <c r="G15" i="20"/>
  <c r="S9" i="59"/>
  <c r="S75" i="63"/>
  <c r="O10" i="67"/>
  <c r="O35" i="58"/>
  <c r="W47" i="63"/>
  <c r="R41" i="63"/>
  <c r="V44" i="63"/>
  <c r="Q44" i="63"/>
  <c r="S44" i="63"/>
  <c r="P37" i="58"/>
  <c r="G37" i="58"/>
  <c r="Q37" i="58"/>
  <c r="K8" i="78"/>
  <c r="R23" i="54"/>
  <c r="K47" i="63"/>
  <c r="S47" i="63"/>
  <c r="L46" i="63"/>
  <c r="K46" i="63"/>
  <c r="N46" i="63"/>
  <c r="L36" i="58"/>
  <c r="N53" i="63"/>
  <c r="K20" i="65"/>
  <c r="K7" i="65"/>
  <c r="D20" i="65"/>
  <c r="D7" i="65"/>
  <c r="P9" i="59"/>
  <c r="P75" i="63"/>
  <c r="W41" i="63"/>
  <c r="K50" i="63"/>
  <c r="O47" i="63"/>
  <c r="M42" i="63"/>
  <c r="M54" i="63"/>
  <c r="O63" i="63"/>
  <c r="T11" i="76"/>
  <c r="E16" i="20"/>
  <c r="G41" i="20"/>
  <c r="L47" i="63"/>
  <c r="U49" i="63"/>
  <c r="L48" i="63"/>
  <c r="L63" i="63"/>
  <c r="D77" i="63"/>
  <c r="O23" i="54"/>
  <c r="N12" i="66"/>
  <c r="X74" i="63"/>
  <c r="D6" i="48"/>
  <c r="X32" i="63"/>
  <c r="F15" i="67"/>
  <c r="L23" i="48"/>
  <c r="V57" i="63"/>
  <c r="C57" i="63"/>
  <c r="C51" i="63"/>
  <c r="M48" i="63"/>
  <c r="D63" i="63"/>
  <c r="P33" i="58"/>
  <c r="K45" i="63"/>
  <c r="K55" i="63"/>
  <c r="L11" i="67"/>
  <c r="L25" i="67"/>
  <c r="C21" i="65"/>
  <c r="C8" i="65"/>
  <c r="AB15" i="67"/>
  <c r="AB30" i="67"/>
  <c r="G26" i="20"/>
  <c r="D42" i="63"/>
  <c r="D54" i="63"/>
  <c r="M57" i="63"/>
  <c r="U57" i="63"/>
  <c r="N48" i="63"/>
  <c r="U48" i="63"/>
  <c r="N77" i="63"/>
  <c r="G19" i="59"/>
  <c r="P23" i="54"/>
  <c r="T41" i="63"/>
  <c r="R79" i="63"/>
  <c r="C12" i="67"/>
  <c r="C26" i="67"/>
  <c r="L11" i="76"/>
  <c r="R15" i="67"/>
  <c r="D47" i="63"/>
  <c r="N62" i="63"/>
  <c r="V8" i="65"/>
  <c r="M6" i="70"/>
  <c r="F23" i="48"/>
  <c r="W15" i="67"/>
  <c r="W30" i="67"/>
  <c r="P9" i="79"/>
  <c r="P15" i="79"/>
  <c r="D5" i="61"/>
  <c r="F25" i="65"/>
  <c r="F13" i="65"/>
  <c r="F12" i="65"/>
  <c r="K11" i="52"/>
  <c r="F9" i="79"/>
  <c r="F15" i="79"/>
  <c r="P11" i="61"/>
  <c r="P9" i="67"/>
  <c r="P25" i="65"/>
  <c r="P13" i="65"/>
  <c r="P12" i="65"/>
  <c r="K9" i="79"/>
  <c r="W9" i="67"/>
  <c r="I12" i="48"/>
  <c r="L5" i="61"/>
  <c r="C10" i="67"/>
  <c r="C25" i="65"/>
  <c r="C13" i="65"/>
  <c r="C12" i="65"/>
  <c r="Y11" i="61"/>
  <c r="U9" i="67"/>
  <c r="C12" i="48"/>
  <c r="E25" i="65"/>
  <c r="E13" i="65"/>
  <c r="E12" i="65"/>
  <c r="G25" i="65"/>
  <c r="G13" i="65"/>
  <c r="G12" i="65"/>
  <c r="W10" i="67"/>
  <c r="M25" i="65"/>
  <c r="M13" i="65"/>
  <c r="M12" i="65"/>
  <c r="Y9" i="67"/>
  <c r="S9" i="73"/>
  <c r="E6" i="48"/>
  <c r="K5" i="48"/>
  <c r="D23" i="48"/>
  <c r="G23" i="48"/>
  <c r="I23" i="48"/>
  <c r="C23" i="48"/>
  <c r="K6" i="70"/>
  <c r="I6" i="70"/>
  <c r="L6" i="70"/>
  <c r="G5" i="68"/>
  <c r="T5" i="68"/>
  <c r="X5" i="68"/>
  <c r="M15" i="67"/>
  <c r="M30" i="67"/>
  <c r="O15" i="67"/>
  <c r="O30" i="67"/>
  <c r="AB12" i="66"/>
  <c r="Q12" i="66"/>
  <c r="V12" i="66"/>
  <c r="W12" i="66"/>
  <c r="V32" i="63"/>
  <c r="B32" i="63"/>
  <c r="F32" i="63"/>
  <c r="K32" i="63"/>
  <c r="E32" i="63"/>
  <c r="W32" i="63"/>
  <c r="K74" i="63"/>
  <c r="G32" i="63"/>
  <c r="G7" i="62"/>
  <c r="L21" i="65"/>
  <c r="L8" i="65"/>
  <c r="O19" i="65"/>
  <c r="O6" i="65"/>
  <c r="Y7" i="65"/>
  <c r="G21" i="65"/>
  <c r="G8" i="65"/>
  <c r="U8" i="65"/>
  <c r="S8" i="65"/>
  <c r="L12" i="67"/>
  <c r="L26" i="67"/>
  <c r="T12" i="67"/>
  <c r="T26" i="67"/>
  <c r="L34" i="58"/>
  <c r="Q34" i="58"/>
  <c r="Y44" i="63"/>
  <c r="R34" i="58"/>
  <c r="N45" i="63"/>
  <c r="N55" i="63"/>
  <c r="Y41" i="63"/>
  <c r="P48" i="63"/>
  <c r="R46" i="63"/>
  <c r="D53" i="63"/>
  <c r="M37" i="58"/>
  <c r="V53" i="63"/>
  <c r="R44" i="63"/>
  <c r="K36" i="58"/>
  <c r="T44" i="63"/>
  <c r="K34" i="58"/>
  <c r="T46" i="63"/>
  <c r="W46" i="63"/>
  <c r="C44" i="63"/>
  <c r="V41" i="63"/>
  <c r="M45" i="63"/>
  <c r="M55" i="63"/>
  <c r="O34" i="58"/>
  <c r="R57" i="63"/>
  <c r="P35" i="58"/>
  <c r="M44" i="63"/>
  <c r="L44" i="63"/>
  <c r="L41" i="63"/>
  <c r="T64" i="63"/>
  <c r="M77" i="63"/>
  <c r="M64" i="63"/>
  <c r="K79" i="63"/>
  <c r="F16" i="59"/>
  <c r="F63" i="63"/>
  <c r="V77" i="63"/>
  <c r="C64" i="63"/>
  <c r="E25" i="63"/>
  <c r="E35" i="63"/>
  <c r="Q31" i="62"/>
  <c r="D31" i="62"/>
  <c r="D30" i="62"/>
  <c r="F19" i="59"/>
  <c r="V62" i="63"/>
  <c r="S63" i="63"/>
  <c r="G7" i="76"/>
  <c r="E7" i="76"/>
  <c r="F7" i="76"/>
  <c r="E8" i="76"/>
  <c r="E14" i="76"/>
  <c r="F5" i="76"/>
  <c r="R10" i="67"/>
  <c r="S38" i="62"/>
  <c r="S37" i="62"/>
  <c r="E38" i="62"/>
  <c r="E37" i="62"/>
  <c r="M10" i="67"/>
  <c r="K5" i="61"/>
  <c r="N11" i="61"/>
  <c r="O5" i="61"/>
  <c r="G5" i="61"/>
  <c r="L11" i="61"/>
  <c r="P38" i="62"/>
  <c r="P37" i="62"/>
  <c r="Q5" i="61"/>
  <c r="E10" i="20"/>
  <c r="F26" i="20"/>
  <c r="F20" i="20"/>
  <c r="F10" i="20"/>
  <c r="F14" i="20"/>
  <c r="F16" i="20"/>
  <c r="G22" i="20"/>
  <c r="F9" i="20"/>
  <c r="F13" i="59"/>
  <c r="F76" i="63"/>
  <c r="E12" i="20"/>
  <c r="G38" i="20"/>
  <c r="G8" i="78"/>
  <c r="F28" i="20"/>
  <c r="V13" i="59"/>
  <c r="V76" i="63"/>
  <c r="G25" i="20"/>
  <c r="G36" i="20"/>
  <c r="U10" i="59"/>
  <c r="U70" i="63"/>
  <c r="R8" i="78"/>
  <c r="F27" i="20"/>
  <c r="F36" i="20"/>
  <c r="F23" i="20"/>
  <c r="E36" i="20"/>
  <c r="F5" i="20"/>
  <c r="F5" i="59"/>
  <c r="F73" i="63"/>
  <c r="F24" i="20"/>
  <c r="E14" i="20"/>
  <c r="E20" i="20"/>
  <c r="F11" i="20"/>
  <c r="E9" i="20"/>
  <c r="E13" i="59"/>
  <c r="E76" i="63"/>
  <c r="F13" i="20"/>
  <c r="F15" i="20"/>
  <c r="E27" i="20"/>
  <c r="G37" i="20"/>
  <c r="S8" i="78"/>
  <c r="F17" i="20"/>
  <c r="O9" i="59"/>
  <c r="O75" i="63"/>
  <c r="E8" i="20"/>
  <c r="E10" i="59"/>
  <c r="E70" i="63"/>
  <c r="F34" i="20"/>
  <c r="F21" i="20"/>
  <c r="E34" i="20"/>
  <c r="G23" i="20"/>
  <c r="F22" i="20"/>
  <c r="E13" i="20"/>
  <c r="E21" i="20"/>
  <c r="F37" i="20"/>
  <c r="R10" i="59"/>
  <c r="E28" i="20"/>
  <c r="K17" i="62"/>
  <c r="Q8" i="78"/>
  <c r="K13" i="59"/>
  <c r="K76" i="63"/>
  <c r="E26" i="20"/>
  <c r="B6" i="79"/>
  <c r="B14" i="79"/>
  <c r="F33" i="20"/>
  <c r="R11" i="61"/>
  <c r="C7" i="78"/>
  <c r="R5" i="61"/>
  <c r="E25" i="20"/>
  <c r="N5" i="59"/>
  <c r="N73" i="63"/>
  <c r="L25" i="65"/>
  <c r="L13" i="65"/>
  <c r="L12" i="65"/>
  <c r="D11" i="61"/>
  <c r="D10" i="67"/>
  <c r="E9" i="67"/>
  <c r="L7" i="67"/>
  <c r="M50" i="63"/>
  <c r="N50" i="63"/>
  <c r="L42" i="63"/>
  <c r="L54" i="63"/>
  <c r="S32" i="63"/>
  <c r="K11" i="67"/>
  <c r="K25" i="67"/>
  <c r="Q11" i="67"/>
  <c r="Q25" i="67"/>
  <c r="L74" i="63"/>
  <c r="Q77" i="63"/>
  <c r="R11" i="67"/>
  <c r="R25" i="67"/>
  <c r="K48" i="63"/>
  <c r="X46" i="63"/>
  <c r="P46" i="63"/>
  <c r="M46" i="63"/>
  <c r="C77" i="63"/>
  <c r="C79" i="63"/>
  <c r="U77" i="63"/>
  <c r="Q12" i="67"/>
  <c r="Q26" i="67"/>
  <c r="F21" i="65"/>
  <c r="F8" i="65"/>
  <c r="M20" i="65"/>
  <c r="M7" i="65"/>
  <c r="F20" i="65"/>
  <c r="F7" i="65"/>
  <c r="U7" i="65"/>
  <c r="C20" i="65"/>
  <c r="C7" i="65"/>
  <c r="O32" i="63"/>
  <c r="O74" i="63"/>
  <c r="D12" i="48"/>
  <c r="V11" i="67"/>
  <c r="V25" i="67"/>
  <c r="C25" i="63"/>
  <c r="C35" i="63"/>
  <c r="T48" i="63"/>
  <c r="P47" i="63"/>
  <c r="C47" i="63"/>
  <c r="M47" i="63"/>
  <c r="Q62" i="63"/>
  <c r="U62" i="63"/>
  <c r="F15" i="59"/>
  <c r="F62" i="63"/>
  <c r="Y32" i="63"/>
  <c r="S11" i="67"/>
  <c r="S25" i="67"/>
  <c r="L32" i="63"/>
  <c r="M34" i="58"/>
  <c r="P34" i="58"/>
  <c r="P8" i="67"/>
  <c r="C34" i="58"/>
  <c r="S77" i="63"/>
  <c r="G11" i="67"/>
  <c r="G25" i="67"/>
  <c r="T32" i="63"/>
  <c r="W8" i="67"/>
  <c r="U8" i="67"/>
  <c r="P77" i="63"/>
  <c r="Q64" i="63"/>
  <c r="U64" i="63"/>
  <c r="P64" i="63"/>
  <c r="J6" i="70"/>
  <c r="O44" i="63"/>
  <c r="C35" i="58"/>
  <c r="U47" i="63"/>
  <c r="Q48" i="63"/>
  <c r="S57" i="63"/>
  <c r="O77" i="63"/>
  <c r="K63" i="63"/>
  <c r="E6" i="62"/>
  <c r="G8" i="62"/>
  <c r="F6" i="70"/>
  <c r="R29" i="67"/>
  <c r="O6" i="70"/>
  <c r="S62" i="63"/>
  <c r="M31" i="62"/>
  <c r="E11" i="67"/>
  <c r="E25" i="67"/>
  <c r="W11" i="67"/>
  <c r="W25" i="67"/>
  <c r="G12" i="67"/>
  <c r="G26" i="67"/>
  <c r="N21" i="65"/>
  <c r="N8" i="65"/>
  <c r="N6" i="70"/>
  <c r="R35" i="58"/>
  <c r="X44" i="63"/>
  <c r="X56" i="63"/>
  <c r="L62" i="63"/>
  <c r="E21" i="65"/>
  <c r="E8" i="65"/>
  <c r="O21" i="65"/>
  <c r="O8" i="65"/>
  <c r="H46" i="62"/>
  <c r="F29" i="20"/>
  <c r="Q25" i="65"/>
  <c r="Q13" i="65"/>
  <c r="Q12" i="65"/>
  <c r="S10" i="67"/>
  <c r="E33" i="20"/>
  <c r="Q10" i="67"/>
  <c r="F9" i="67"/>
  <c r="V9" i="67"/>
  <c r="D9" i="67"/>
  <c r="L9" i="67"/>
  <c r="B9" i="79"/>
  <c r="E13" i="48"/>
  <c r="U9" i="79"/>
  <c r="U15" i="79"/>
  <c r="E29" i="20"/>
  <c r="P12" i="61"/>
  <c r="P6" i="79"/>
  <c r="P5" i="79"/>
  <c r="P8" i="78"/>
  <c r="S9" i="67"/>
  <c r="E41" i="20"/>
  <c r="K9" i="67"/>
  <c r="K11" i="61"/>
  <c r="L9" i="59"/>
  <c r="L75" i="63"/>
  <c r="C38" i="62"/>
  <c r="C37" i="62"/>
  <c r="O25" i="65"/>
  <c r="O13" i="65"/>
  <c r="O12" i="65"/>
  <c r="F41" i="20"/>
  <c r="N34" i="58"/>
  <c r="N42" i="63"/>
  <c r="N54" i="63"/>
  <c r="V47" i="63"/>
  <c r="V50" i="63"/>
  <c r="X49" i="63"/>
  <c r="S49" i="63"/>
  <c r="W49" i="63"/>
  <c r="P49" i="63"/>
  <c r="K49" i="63"/>
  <c r="N49" i="63"/>
  <c r="Q49" i="63"/>
  <c r="D49" i="63"/>
  <c r="Q11" i="61"/>
  <c r="N41" i="63"/>
  <c r="D45" i="63"/>
  <c r="D55" i="63"/>
  <c r="D48" i="63"/>
  <c r="L49" i="63"/>
  <c r="X7" i="65"/>
  <c r="T7" i="65"/>
  <c r="D66" i="63"/>
  <c r="U74" i="63"/>
  <c r="U32" i="63"/>
  <c r="G15" i="67"/>
  <c r="C45" i="63"/>
  <c r="W56" i="63"/>
  <c r="C46" i="63"/>
  <c r="L57" i="63"/>
  <c r="R56" i="63"/>
  <c r="Q47" i="63"/>
  <c r="Q57" i="63"/>
  <c r="N37" i="58"/>
  <c r="U41" i="63"/>
  <c r="Q7" i="67"/>
  <c r="D41" i="63"/>
  <c r="P41" i="63"/>
  <c r="D44" i="63"/>
  <c r="K41" i="63"/>
  <c r="C8" i="67"/>
  <c r="S41" i="63"/>
  <c r="M41" i="63"/>
  <c r="K62" i="63"/>
  <c r="Y31" i="62"/>
  <c r="U79" i="63"/>
  <c r="R12" i="67"/>
  <c r="R26" i="67"/>
  <c r="N20" i="65"/>
  <c r="N19" i="65"/>
  <c r="N6" i="65"/>
  <c r="G6" i="62"/>
  <c r="T11" i="67"/>
  <c r="G80" i="63"/>
  <c r="G69" i="63"/>
  <c r="G74" i="63"/>
  <c r="L5" i="68"/>
  <c r="E37" i="58"/>
  <c r="R47" i="63"/>
  <c r="S56" i="63"/>
  <c r="S7" i="67"/>
  <c r="Y57" i="63"/>
  <c r="Q41" i="63"/>
  <c r="N44" i="63"/>
  <c r="K44" i="63"/>
  <c r="Q8" i="67"/>
  <c r="C62" i="63"/>
  <c r="N79" i="63"/>
  <c r="Q20" i="65"/>
  <c r="Q7" i="65"/>
  <c r="L20" i="65"/>
  <c r="D12" i="67"/>
  <c r="D26" i="67"/>
  <c r="R20" i="65"/>
  <c r="R7" i="65"/>
  <c r="Q32" i="63"/>
  <c r="Q74" i="63"/>
  <c r="T12" i="66"/>
  <c r="P29" i="67"/>
  <c r="M36" i="58"/>
  <c r="T53" i="63"/>
  <c r="D37" i="58"/>
  <c r="C37" i="58"/>
  <c r="K57" i="63"/>
  <c r="Q46" i="63"/>
  <c r="U46" i="63"/>
  <c r="W44" i="63"/>
  <c r="L37" i="58"/>
  <c r="K42" i="63"/>
  <c r="L8" i="67"/>
  <c r="P36" i="58"/>
  <c r="Q36" i="58"/>
  <c r="Y12" i="67"/>
  <c r="P20" i="65"/>
  <c r="P7" i="65"/>
  <c r="W12" i="67"/>
  <c r="N11" i="67"/>
  <c r="N25" i="67"/>
  <c r="D11" i="67"/>
  <c r="N12" i="67"/>
  <c r="O12" i="67"/>
  <c r="O26" i="67"/>
  <c r="E12" i="67"/>
  <c r="E26" i="67"/>
  <c r="R36" i="58"/>
  <c r="F12" i="67"/>
  <c r="F26" i="67"/>
  <c r="W7" i="65"/>
  <c r="K12" i="66"/>
  <c r="L15" i="67"/>
  <c r="L30" i="67"/>
  <c r="G20" i="65"/>
  <c r="G7" i="65"/>
  <c r="G68" i="63"/>
  <c r="F12" i="66"/>
  <c r="E5" i="48"/>
  <c r="C12" i="66"/>
  <c r="D12" i="66"/>
  <c r="K23" i="48"/>
  <c r="AA15" i="67"/>
  <c r="F68" i="63"/>
  <c r="G5" i="48"/>
  <c r="D5" i="48"/>
  <c r="U15" i="67"/>
  <c r="U30" i="67"/>
  <c r="F8" i="76"/>
  <c r="P15" i="67"/>
  <c r="Y12" i="66"/>
  <c r="T23" i="54"/>
  <c r="Q9" i="73"/>
  <c r="H5" i="48"/>
  <c r="K6" i="48"/>
  <c r="AA12" i="66"/>
  <c r="J17" i="52"/>
  <c r="U38" i="62"/>
  <c r="U37" i="62"/>
  <c r="T5" i="61"/>
  <c r="V38" i="62"/>
  <c r="V37" i="62"/>
  <c r="F25" i="20"/>
  <c r="O11" i="61"/>
  <c r="S11" i="61"/>
  <c r="W13" i="59"/>
  <c r="W76" i="63"/>
  <c r="X13" i="59"/>
  <c r="X76" i="63"/>
  <c r="J37" i="52"/>
  <c r="J43" i="52"/>
  <c r="J11" i="52"/>
  <c r="J21" i="52"/>
  <c r="R25" i="65"/>
  <c r="R13" i="65"/>
  <c r="R12" i="65"/>
  <c r="K25" i="65"/>
  <c r="K13" i="65"/>
  <c r="K12" i="65"/>
  <c r="D25" i="65"/>
  <c r="D13" i="65"/>
  <c r="D12" i="65"/>
  <c r="M22" i="52"/>
  <c r="N22" i="52"/>
  <c r="J22" i="52"/>
  <c r="T11" i="61"/>
  <c r="X9" i="67"/>
  <c r="T9" i="67"/>
  <c r="Q9" i="67"/>
  <c r="C9" i="67"/>
  <c r="M9" i="67"/>
  <c r="X10" i="67"/>
  <c r="N10" i="67"/>
  <c r="C11" i="61"/>
  <c r="M38" i="62"/>
  <c r="M37" i="62"/>
  <c r="R9" i="67"/>
  <c r="U11" i="61"/>
  <c r="X17" i="62"/>
  <c r="W17" i="62"/>
  <c r="H12" i="48"/>
  <c r="T62" i="63"/>
  <c r="S6" i="65"/>
  <c r="C19" i="65"/>
  <c r="O20" i="65"/>
  <c r="O7" i="65"/>
  <c r="L31" i="62"/>
  <c r="O79" i="63"/>
  <c r="W6" i="65"/>
  <c r="M32" i="63"/>
  <c r="N25" i="63"/>
  <c r="N35" i="63"/>
  <c r="D25" i="63"/>
  <c r="D35" i="63"/>
  <c r="K25" i="63"/>
  <c r="K35" i="63"/>
  <c r="X6" i="65"/>
  <c r="F19" i="65"/>
  <c r="F6" i="65"/>
  <c r="M19" i="65"/>
  <c r="M6" i="65"/>
  <c r="D19" i="65"/>
  <c r="D6" i="65"/>
  <c r="P19" i="65"/>
  <c r="P6" i="65"/>
  <c r="L19" i="65"/>
  <c r="L6" i="65"/>
  <c r="K19" i="65"/>
  <c r="K6" i="65"/>
  <c r="F8" i="62"/>
  <c r="F10" i="62"/>
  <c r="H32" i="62"/>
  <c r="E69" i="63"/>
  <c r="E74" i="63"/>
  <c r="E68" i="63"/>
  <c r="N32" i="63"/>
  <c r="U6" i="65"/>
  <c r="M25" i="63"/>
  <c r="M35" i="63"/>
  <c r="E19" i="65"/>
  <c r="E6" i="65"/>
  <c r="E80" i="63"/>
  <c r="Q8" i="65"/>
  <c r="F11" i="67"/>
  <c r="F25" i="67"/>
  <c r="D74" i="63"/>
  <c r="X48" i="63"/>
  <c r="C48" i="63"/>
  <c r="R48" i="63"/>
  <c r="X57" i="63"/>
  <c r="P57" i="63"/>
  <c r="T57" i="63"/>
  <c r="G8" i="59"/>
  <c r="E8" i="59"/>
  <c r="F8" i="59"/>
  <c r="W63" i="63"/>
  <c r="X63" i="63"/>
  <c r="G16" i="59"/>
  <c r="G63" i="63"/>
  <c r="F9" i="62"/>
  <c r="W5" i="59"/>
  <c r="W73" i="63"/>
  <c r="P44" i="63"/>
  <c r="V48" i="63"/>
  <c r="F37" i="58"/>
  <c r="C63" i="63"/>
  <c r="Q63" i="63"/>
  <c r="L77" i="63"/>
  <c r="O62" i="63"/>
  <c r="N63" i="63"/>
  <c r="K12" i="67"/>
  <c r="K26" i="67"/>
  <c r="G19" i="65"/>
  <c r="L25" i="63"/>
  <c r="L35" i="63"/>
  <c r="P12" i="67"/>
  <c r="P26" i="67"/>
  <c r="D34" i="58"/>
  <c r="D46" i="63"/>
  <c r="X8" i="67"/>
  <c r="S8" i="67"/>
  <c r="M8" i="67"/>
  <c r="W64" i="63"/>
  <c r="X64" i="63"/>
  <c r="E17" i="59"/>
  <c r="E64" i="63"/>
  <c r="L64" i="63"/>
  <c r="K64" i="63"/>
  <c r="D64" i="63"/>
  <c r="O64" i="63"/>
  <c r="F17" i="59"/>
  <c r="F64" i="63"/>
  <c r="X8" i="78"/>
  <c r="G19" i="48"/>
  <c r="X12" i="61"/>
  <c r="O37" i="58"/>
  <c r="T77" i="63"/>
  <c r="P63" i="63"/>
  <c r="S12" i="67"/>
  <c r="S26" i="67"/>
  <c r="P32" i="63"/>
  <c r="E19" i="59"/>
  <c r="C11" i="67"/>
  <c r="C25" i="67"/>
  <c r="M12" i="67"/>
  <c r="M26" i="67"/>
  <c r="U12" i="67"/>
  <c r="U26" i="67"/>
  <c r="U11" i="67"/>
  <c r="U25" i="67"/>
  <c r="E7" i="62"/>
  <c r="Y56" i="63"/>
  <c r="O48" i="63"/>
  <c r="R49" i="63"/>
  <c r="R8" i="67"/>
  <c r="D57" i="63"/>
  <c r="T63" i="63"/>
  <c r="M63" i="63"/>
  <c r="P11" i="67"/>
  <c r="P25" i="67"/>
  <c r="E20" i="65"/>
  <c r="E7" i="65"/>
  <c r="D32" i="63"/>
  <c r="M74" i="63"/>
  <c r="G10" i="62"/>
  <c r="W62" i="63"/>
  <c r="X62" i="63"/>
  <c r="W8" i="65"/>
  <c r="M21" i="65"/>
  <c r="R21" i="65"/>
  <c r="R8" i="65"/>
  <c r="K21" i="65"/>
  <c r="X8" i="65"/>
  <c r="D33" i="62"/>
  <c r="X77" i="63"/>
  <c r="M11" i="67"/>
  <c r="R32" i="63"/>
  <c r="X41" i="63"/>
  <c r="X79" i="63"/>
  <c r="W31" i="62"/>
  <c r="V79" i="63"/>
  <c r="S79" i="63"/>
  <c r="V12" i="67"/>
  <c r="V26" i="67"/>
  <c r="X12" i="67"/>
  <c r="X26" i="67"/>
  <c r="C32" i="63"/>
  <c r="H6" i="48"/>
  <c r="O12" i="66"/>
  <c r="W74" i="63"/>
  <c r="X11" i="67"/>
  <c r="L5" i="48"/>
  <c r="S29" i="67"/>
  <c r="H29" i="67"/>
  <c r="H23" i="48"/>
  <c r="W77" i="63"/>
  <c r="Y15" i="67"/>
  <c r="G32" i="62"/>
  <c r="C66" i="63"/>
  <c r="C33" i="62"/>
  <c r="E9" i="62"/>
  <c r="F6" i="62"/>
  <c r="H10" i="62"/>
  <c r="G9" i="62"/>
  <c r="H8" i="62"/>
  <c r="F32" i="62"/>
  <c r="F7" i="62"/>
  <c r="E10" i="62"/>
  <c r="E32" i="62"/>
  <c r="E8" i="62"/>
  <c r="W38" i="62"/>
  <c r="W37" i="62"/>
  <c r="F9" i="73"/>
  <c r="K37" i="58"/>
  <c r="K56" i="63"/>
  <c r="I6" i="48"/>
  <c r="J25" i="52"/>
  <c r="X6" i="79"/>
  <c r="X5" i="79"/>
  <c r="F13" i="48"/>
  <c r="V9" i="79"/>
  <c r="V15" i="79"/>
  <c r="AA77" i="63"/>
  <c r="AA64" i="63"/>
  <c r="Y38" i="62"/>
  <c r="Y37" i="62"/>
  <c r="E35" i="20"/>
  <c r="F35" i="20"/>
  <c r="P32" i="20"/>
  <c r="P15" i="78"/>
  <c r="G24" i="20"/>
  <c r="G20" i="20"/>
  <c r="E38" i="20"/>
  <c r="E8" i="78"/>
  <c r="E7" i="78"/>
  <c r="F22" i="59"/>
  <c r="F31" i="62"/>
  <c r="D17" i="62"/>
  <c r="L17" i="62"/>
  <c r="T10" i="59"/>
  <c r="T70" i="63"/>
  <c r="O10" i="59"/>
  <c r="O70" i="63"/>
  <c r="E7" i="20"/>
  <c r="E9" i="59"/>
  <c r="E75" i="63"/>
  <c r="U9" i="59"/>
  <c r="U75" i="63"/>
  <c r="K9" i="59"/>
  <c r="K75" i="63"/>
  <c r="M9" i="59"/>
  <c r="M75" i="63"/>
  <c r="W9" i="59"/>
  <c r="W75" i="63"/>
  <c r="C9" i="59"/>
  <c r="C75" i="63"/>
  <c r="C71" i="63"/>
  <c r="X9" i="59"/>
  <c r="X75" i="63"/>
  <c r="R9" i="59"/>
  <c r="R75" i="63"/>
  <c r="M33" i="58"/>
  <c r="D32" i="20"/>
  <c r="D15" i="78"/>
  <c r="C17" i="62"/>
  <c r="Y5" i="61"/>
  <c r="O7" i="78"/>
  <c r="T7" i="67"/>
  <c r="D19" i="48"/>
  <c r="R31" i="62"/>
  <c r="G6" i="20"/>
  <c r="F6" i="20"/>
  <c r="F6" i="59"/>
  <c r="F7" i="59"/>
  <c r="E6" i="20"/>
  <c r="Y7" i="59"/>
  <c r="G8" i="20"/>
  <c r="G10" i="59"/>
  <c r="S17" i="62"/>
  <c r="T7" i="78"/>
  <c r="C10" i="59"/>
  <c r="C70" i="63"/>
  <c r="L6" i="59"/>
  <c r="L7" i="59"/>
  <c r="E5" i="20"/>
  <c r="E5" i="59"/>
  <c r="E73" i="63"/>
  <c r="K5" i="59"/>
  <c r="K73" i="63"/>
  <c r="U5" i="59"/>
  <c r="U73" i="63"/>
  <c r="T5" i="59"/>
  <c r="T73" i="63"/>
  <c r="O5" i="59"/>
  <c r="O73" i="63"/>
  <c r="O72" i="63"/>
  <c r="P5" i="59"/>
  <c r="P73" i="63"/>
  <c r="G5" i="20"/>
  <c r="G5" i="59"/>
  <c r="G73" i="63"/>
  <c r="D5" i="59"/>
  <c r="D73" i="63"/>
  <c r="X5" i="59"/>
  <c r="X73" i="63"/>
  <c r="S5" i="59"/>
  <c r="S73" i="63"/>
  <c r="S72" i="63"/>
  <c r="S71" i="63"/>
  <c r="Y50" i="63"/>
  <c r="G7" i="20"/>
  <c r="G9" i="59"/>
  <c r="G75" i="63"/>
  <c r="N36" i="58"/>
  <c r="D33" i="58"/>
  <c r="P17" i="62"/>
  <c r="L53" i="63"/>
  <c r="M72" i="63"/>
  <c r="F69" i="63"/>
  <c r="F74" i="63"/>
  <c r="F72" i="63"/>
  <c r="R74" i="63"/>
  <c r="X9" i="79"/>
  <c r="X8" i="79"/>
  <c r="H13" i="48"/>
  <c r="C6" i="48"/>
  <c r="J9" i="73"/>
  <c r="L8" i="78"/>
  <c r="M7" i="78"/>
  <c r="V13" i="78"/>
  <c r="V12" i="78"/>
  <c r="F5" i="48"/>
  <c r="V15" i="67"/>
  <c r="V30" i="67"/>
  <c r="N9" i="79"/>
  <c r="N15" i="79"/>
  <c r="S64" i="63"/>
  <c r="Q13" i="59"/>
  <c r="Q76" i="63"/>
  <c r="G17" i="59"/>
  <c r="G64" i="63"/>
  <c r="Q5" i="69"/>
  <c r="G24" i="48"/>
  <c r="M12" i="72"/>
  <c r="C22" i="48"/>
  <c r="L5" i="59"/>
  <c r="L73" i="63"/>
  <c r="L72" i="63"/>
  <c r="L71" i="63"/>
  <c r="P67" i="63"/>
  <c r="V46" i="63"/>
  <c r="P62" i="63"/>
  <c r="G6" i="66"/>
  <c r="G5" i="66"/>
  <c r="E9" i="73"/>
  <c r="K22" i="52"/>
  <c r="P10" i="59"/>
  <c r="P70" i="63"/>
  <c r="U67" i="63"/>
  <c r="L6" i="66"/>
  <c r="L5" i="66"/>
  <c r="S48" i="63"/>
  <c r="T6" i="66"/>
  <c r="T5" i="66"/>
  <c r="U12" i="66"/>
  <c r="E6" i="70"/>
  <c r="H14" i="48"/>
  <c r="R13" i="78"/>
  <c r="R12" i="78"/>
  <c r="K6" i="59"/>
  <c r="K7" i="59"/>
  <c r="P13" i="78"/>
  <c r="P12" i="78"/>
  <c r="D13" i="78"/>
  <c r="D12" i="78"/>
  <c r="F10" i="76"/>
  <c r="C13" i="78"/>
  <c r="C12" i="78"/>
  <c r="O11" i="67"/>
  <c r="O25" i="67"/>
  <c r="G6" i="70"/>
  <c r="Y8" i="67"/>
  <c r="T8" i="67"/>
  <c r="V8" i="67"/>
  <c r="D8" i="67"/>
  <c r="N8" i="67"/>
  <c r="O13" i="59"/>
  <c r="O76" i="63"/>
  <c r="E23" i="20"/>
  <c r="E11" i="61"/>
  <c r="P12" i="66"/>
  <c r="O6" i="66"/>
  <c r="O5" i="66"/>
  <c r="K77" i="63"/>
  <c r="T74" i="63"/>
  <c r="E23" i="48"/>
  <c r="E14" i="60"/>
  <c r="T15" i="76"/>
  <c r="T8" i="68"/>
  <c r="T19" i="68"/>
  <c r="E9" i="76"/>
  <c r="D14" i="60"/>
  <c r="D19" i="60"/>
  <c r="K11" i="76"/>
  <c r="P6" i="66"/>
  <c r="P5" i="66"/>
  <c r="C12" i="72"/>
  <c r="Q13" i="78"/>
  <c r="Q12" i="78"/>
  <c r="G14" i="48"/>
  <c r="H15" i="67"/>
  <c r="H30" i="67"/>
  <c r="E9" i="79"/>
  <c r="M9" i="79"/>
  <c r="M15" i="79"/>
  <c r="U26" i="18"/>
  <c r="D62" i="63"/>
  <c r="K9" i="73"/>
  <c r="R9" i="79"/>
  <c r="R15" i="79"/>
  <c r="M11" i="76"/>
  <c r="G14" i="76"/>
  <c r="O13" i="78"/>
  <c r="O12" i="78"/>
  <c r="E14" i="48"/>
  <c r="I14" i="48"/>
  <c r="C14" i="48"/>
  <c r="F13" i="78"/>
  <c r="F12" i="78"/>
  <c r="E5" i="58"/>
  <c r="E7" i="67"/>
  <c r="K9" i="70"/>
  <c r="K10" i="70"/>
  <c r="M15" i="68"/>
  <c r="M5" i="68"/>
  <c r="L12" i="66"/>
  <c r="T47" i="63"/>
  <c r="N47" i="63"/>
  <c r="G8" i="76"/>
  <c r="U63" i="63"/>
  <c r="G5" i="76"/>
  <c r="D11" i="76"/>
  <c r="K13" i="78"/>
  <c r="K12" i="78"/>
  <c r="C9" i="79"/>
  <c r="C15" i="79"/>
  <c r="Y5" i="68"/>
  <c r="K8" i="67"/>
  <c r="C36" i="58"/>
  <c r="H12" i="72"/>
  <c r="K5" i="69"/>
  <c r="M9" i="73"/>
  <c r="C5" i="48"/>
  <c r="G13" i="76"/>
  <c r="O11" i="76"/>
  <c r="S11" i="76"/>
  <c r="G10" i="76"/>
  <c r="F9" i="76"/>
  <c r="S12" i="66"/>
  <c r="N12" i="72"/>
  <c r="D22" i="48"/>
  <c r="Q9" i="79"/>
  <c r="Q15" i="79"/>
  <c r="G6" i="76"/>
  <c r="C11" i="76"/>
  <c r="C15" i="76"/>
  <c r="C8" i="68"/>
  <c r="D9" i="79"/>
  <c r="D8" i="79"/>
  <c r="L9" i="79"/>
  <c r="L15" i="79"/>
  <c r="M13" i="78"/>
  <c r="M12" i="78"/>
  <c r="G9" i="79"/>
  <c r="G8" i="79"/>
  <c r="K15" i="68"/>
  <c r="T49" i="63"/>
  <c r="F13" i="58"/>
  <c r="C14" i="60"/>
  <c r="C19" i="60"/>
  <c r="C8" i="64"/>
  <c r="C5" i="64"/>
  <c r="E6" i="76"/>
  <c r="G9" i="76"/>
  <c r="V49" i="63"/>
  <c r="M49" i="63"/>
  <c r="C41" i="63"/>
  <c r="C40" i="63"/>
  <c r="E13" i="78"/>
  <c r="E12" i="78"/>
  <c r="M21" i="68"/>
  <c r="Q15" i="68"/>
  <c r="Q6" i="66"/>
  <c r="Q5" i="66"/>
  <c r="L43" i="63"/>
  <c r="L86" i="63"/>
  <c r="N7" i="78"/>
  <c r="Y46" i="63"/>
  <c r="N17" i="62"/>
  <c r="V8" i="78"/>
  <c r="D79" i="63"/>
  <c r="S10" i="59"/>
  <c r="S70" i="63"/>
  <c r="P7" i="78"/>
  <c r="D11" i="59"/>
  <c r="D15" i="62"/>
  <c r="D16" i="62"/>
  <c r="D42" i="62"/>
  <c r="V10" i="59"/>
  <c r="V70" i="63"/>
  <c r="V91" i="63"/>
  <c r="S67" i="63"/>
  <c r="O67" i="63"/>
  <c r="Y49" i="63"/>
  <c r="P12" i="72"/>
  <c r="F22" i="48"/>
  <c r="S53" i="63"/>
  <c r="Q17" i="62"/>
  <c r="K7" i="78"/>
  <c r="U12" i="72"/>
  <c r="K22" i="48"/>
  <c r="O5" i="69"/>
  <c r="E24" i="48"/>
  <c r="T6" i="59"/>
  <c r="T7" i="59"/>
  <c r="D38" i="62"/>
  <c r="D37" i="62"/>
  <c r="T50" i="63"/>
  <c r="G56" i="63"/>
  <c r="U7" i="67"/>
  <c r="C67" i="63"/>
  <c r="Q56" i="63"/>
  <c r="M10" i="59"/>
  <c r="M11" i="59"/>
  <c r="M15" i="62"/>
  <c r="M16" i="62"/>
  <c r="M42" i="62"/>
  <c r="X53" i="63"/>
  <c r="Q10" i="59"/>
  <c r="Q11" i="59"/>
  <c r="Q15" i="62"/>
  <c r="P5" i="61"/>
  <c r="N9" i="59"/>
  <c r="N75" i="63"/>
  <c r="E17" i="62"/>
  <c r="U8" i="78"/>
  <c r="V7" i="78"/>
  <c r="T56" i="63"/>
  <c r="P56" i="63"/>
  <c r="C19" i="48"/>
  <c r="I12" i="72"/>
  <c r="N52" i="63"/>
  <c r="L5" i="69"/>
  <c r="L9" i="73"/>
  <c r="U56" i="63"/>
  <c r="O32" i="20"/>
  <c r="O15" i="78"/>
  <c r="R17" i="62"/>
  <c r="G9" i="20"/>
  <c r="G13" i="59"/>
  <c r="G76" i="63"/>
  <c r="K14" i="52"/>
  <c r="D52" i="63"/>
  <c r="U6" i="61"/>
  <c r="K35" i="58"/>
  <c r="M56" i="63"/>
  <c r="Y53" i="63"/>
  <c r="T17" i="62"/>
  <c r="Q79" i="63"/>
  <c r="Q30" i="62"/>
  <c r="Q6" i="59"/>
  <c r="Q7" i="59"/>
  <c r="V6" i="66"/>
  <c r="V5" i="66"/>
  <c r="G22" i="58"/>
  <c r="E21" i="58"/>
  <c r="F19" i="48"/>
  <c r="K10" i="52"/>
  <c r="K12" i="52"/>
  <c r="E5" i="69"/>
  <c r="R63" i="63"/>
  <c r="G9" i="73"/>
  <c r="E6" i="58"/>
  <c r="U72" i="63"/>
  <c r="U71" i="63"/>
  <c r="X67" i="63"/>
  <c r="R62" i="63"/>
  <c r="K31" i="62"/>
  <c r="K30" i="62"/>
  <c r="S5" i="61"/>
  <c r="E12" i="72"/>
  <c r="W8" i="64"/>
  <c r="W5" i="64"/>
  <c r="R50" i="63"/>
  <c r="V32" i="20"/>
  <c r="G32" i="20"/>
  <c r="G15" i="78"/>
  <c r="D40" i="63"/>
  <c r="D85" i="63"/>
  <c r="F34" i="58"/>
  <c r="K21" i="52"/>
  <c r="G21" i="59"/>
  <c r="G77" i="63"/>
  <c r="K67" i="63"/>
  <c r="F6" i="66"/>
  <c r="F5" i="66"/>
  <c r="G20" i="67"/>
  <c r="G19" i="67"/>
  <c r="P14" i="79"/>
  <c r="P16" i="79"/>
  <c r="E24" i="58"/>
  <c r="F6" i="58"/>
  <c r="G15" i="59"/>
  <c r="G62" i="63"/>
  <c r="M53" i="63"/>
  <c r="M52" i="63"/>
  <c r="D6" i="59"/>
  <c r="D7" i="59"/>
  <c r="Q32" i="20"/>
  <c r="Q15" i="78"/>
  <c r="U32" i="20"/>
  <c r="U15" i="78"/>
  <c r="G23" i="58"/>
  <c r="G53" i="63"/>
  <c r="J12" i="72"/>
  <c r="W6" i="66"/>
  <c r="W5" i="66"/>
  <c r="C5" i="61"/>
  <c r="K38" i="62"/>
  <c r="K37" i="62"/>
  <c r="P7" i="67"/>
  <c r="P6" i="67"/>
  <c r="P5" i="67"/>
  <c r="E5" i="61"/>
  <c r="K10" i="59"/>
  <c r="K70" i="63"/>
  <c r="K91" i="63"/>
  <c r="X72" i="63"/>
  <c r="Q72" i="63"/>
  <c r="Q71" i="63"/>
  <c r="C9" i="73"/>
  <c r="D36" i="58"/>
  <c r="M79" i="63"/>
  <c r="C31" i="62"/>
  <c r="C30" i="62"/>
  <c r="D12" i="72"/>
  <c r="O50" i="63"/>
  <c r="N35" i="58"/>
  <c r="P50" i="63"/>
  <c r="V56" i="63"/>
  <c r="E15" i="59"/>
  <c r="E62" i="63"/>
  <c r="N8" i="79"/>
  <c r="F5" i="60"/>
  <c r="P11" i="76"/>
  <c r="K43" i="63"/>
  <c r="K86" i="63"/>
  <c r="I5" i="48"/>
  <c r="I9" i="73"/>
  <c r="M32" i="20"/>
  <c r="M15" i="78"/>
  <c r="Q38" i="62"/>
  <c r="Q37" i="62"/>
  <c r="S32" i="20"/>
  <c r="S15" i="78"/>
  <c r="L38" i="62"/>
  <c r="L37" i="62"/>
  <c r="T32" i="20"/>
  <c r="T15" i="78"/>
  <c r="T6" i="63"/>
  <c r="T14" i="63"/>
  <c r="T31" i="63"/>
  <c r="R38" i="62"/>
  <c r="R37" i="62"/>
  <c r="O12" i="72"/>
  <c r="E22" i="48"/>
  <c r="X10" i="59"/>
  <c r="X11" i="59"/>
  <c r="X15" i="62"/>
  <c r="X16" i="62"/>
  <c r="X42" i="62"/>
  <c r="L32" i="20"/>
  <c r="L15" i="78"/>
  <c r="F12" i="72"/>
  <c r="G21" i="58"/>
  <c r="Y79" i="63"/>
  <c r="O9" i="73"/>
  <c r="Y48" i="63"/>
  <c r="L33" i="58"/>
  <c r="O38" i="62"/>
  <c r="O37" i="62"/>
  <c r="K12" i="72"/>
  <c r="M14" i="60"/>
  <c r="M19" i="60"/>
  <c r="K32" i="20"/>
  <c r="K15" i="78"/>
  <c r="L14" i="78"/>
  <c r="G67" i="63"/>
  <c r="E22" i="59"/>
  <c r="E31" i="62"/>
  <c r="E30" i="62"/>
  <c r="N31" i="62"/>
  <c r="N30" i="62"/>
  <c r="M35" i="58"/>
  <c r="M38" i="58"/>
  <c r="M6" i="63"/>
  <c r="M22" i="63"/>
  <c r="T31" i="62"/>
  <c r="T30" i="62"/>
  <c r="E56" i="63"/>
  <c r="G12" i="72"/>
  <c r="L56" i="63"/>
  <c r="E19" i="58"/>
  <c r="E50" i="63"/>
  <c r="E91" i="63"/>
  <c r="E11" i="58"/>
  <c r="E48" i="63"/>
  <c r="R13" i="59"/>
  <c r="R76" i="63"/>
  <c r="N13" i="59"/>
  <c r="N76" i="63"/>
  <c r="M67" i="63"/>
  <c r="H9" i="73"/>
  <c r="H5" i="69"/>
  <c r="V5" i="61"/>
  <c r="M6" i="59"/>
  <c r="M7" i="59"/>
  <c r="R37" i="58"/>
  <c r="Q11" i="76"/>
  <c r="Q15" i="76"/>
  <c r="Q8" i="68"/>
  <c r="R9" i="68"/>
  <c r="R20" i="68"/>
  <c r="Q12" i="72"/>
  <c r="G22" i="48"/>
  <c r="N6" i="59"/>
  <c r="N7" i="59"/>
  <c r="X5" i="61"/>
  <c r="F20" i="58"/>
  <c r="K6" i="66"/>
  <c r="K5" i="66"/>
  <c r="G7" i="58"/>
  <c r="G41" i="63"/>
  <c r="N10" i="59"/>
  <c r="N70" i="63"/>
  <c r="N9" i="73"/>
  <c r="D15" i="79"/>
  <c r="W10" i="59"/>
  <c r="W11" i="59"/>
  <c r="W15" i="62"/>
  <c r="W16" i="62"/>
  <c r="W42" i="62"/>
  <c r="E16" i="59"/>
  <c r="E63" i="63"/>
  <c r="L79" i="63"/>
  <c r="O6" i="61"/>
  <c r="N74" i="63"/>
  <c r="N72" i="63"/>
  <c r="R32" i="20"/>
  <c r="R15" i="78"/>
  <c r="L15" i="76"/>
  <c r="L8" i="68"/>
  <c r="M9" i="68"/>
  <c r="M20" i="68"/>
  <c r="C6" i="59"/>
  <c r="C7" i="59"/>
  <c r="M5" i="69"/>
  <c r="C24" i="48"/>
  <c r="F8" i="79"/>
  <c r="M40" i="63"/>
  <c r="M85" i="63"/>
  <c r="Y6" i="66"/>
  <c r="Y5" i="66"/>
  <c r="N56" i="63"/>
  <c r="F7" i="58"/>
  <c r="F41" i="63"/>
  <c r="F10" i="58"/>
  <c r="F47" i="63"/>
  <c r="J10" i="52"/>
  <c r="J12" i="52"/>
  <c r="X32" i="20"/>
  <c r="X15" i="78"/>
  <c r="S6" i="66"/>
  <c r="S5" i="66"/>
  <c r="E22" i="58"/>
  <c r="L67" i="63"/>
  <c r="K20" i="52"/>
  <c r="W32" i="20"/>
  <c r="W15" i="78"/>
  <c r="F21" i="58"/>
  <c r="G6" i="58"/>
  <c r="D6" i="66"/>
  <c r="D5" i="66"/>
  <c r="Q67" i="63"/>
  <c r="Q90" i="63"/>
  <c r="S6" i="61"/>
  <c r="L40" i="63"/>
  <c r="L85" i="63"/>
  <c r="G19" i="58"/>
  <c r="G50" i="63"/>
  <c r="P87" i="63"/>
  <c r="V74" i="63"/>
  <c r="V72" i="63"/>
  <c r="V71" i="63"/>
  <c r="K53" i="63"/>
  <c r="E32" i="20"/>
  <c r="E15" i="78"/>
  <c r="E14" i="78"/>
  <c r="U17" i="62"/>
  <c r="C8" i="78"/>
  <c r="D7" i="78"/>
  <c r="T38" i="62"/>
  <c r="T37" i="62"/>
  <c r="D56" i="63"/>
  <c r="E26" i="58"/>
  <c r="E42" i="63"/>
  <c r="E54" i="63"/>
  <c r="L12" i="72"/>
  <c r="G8" i="58"/>
  <c r="G44" i="63"/>
  <c r="P53" i="63"/>
  <c r="V67" i="63"/>
  <c r="O31" i="62"/>
  <c r="O30" i="62"/>
  <c r="E8" i="58"/>
  <c r="E44" i="63"/>
  <c r="X38" i="62"/>
  <c r="X37" i="62"/>
  <c r="Q53" i="63"/>
  <c r="S50" i="63"/>
  <c r="F38" i="20"/>
  <c r="F8" i="78"/>
  <c r="G7" i="78"/>
  <c r="E27" i="58"/>
  <c r="E45" i="63"/>
  <c r="E55" i="63"/>
  <c r="E21" i="59"/>
  <c r="E77" i="63"/>
  <c r="R67" i="63"/>
  <c r="S90" i="63"/>
  <c r="G18" i="65"/>
  <c r="G5" i="65"/>
  <c r="N14" i="60"/>
  <c r="N19" i="60"/>
  <c r="E6" i="66"/>
  <c r="E5" i="66"/>
  <c r="C18" i="65"/>
  <c r="C5" i="65"/>
  <c r="Q8" i="79"/>
  <c r="D67" i="63"/>
  <c r="D90" i="63"/>
  <c r="U11" i="76"/>
  <c r="U15" i="76"/>
  <c r="E18" i="48"/>
  <c r="S7" i="78"/>
  <c r="P5" i="69"/>
  <c r="F24" i="48"/>
  <c r="P6" i="59"/>
  <c r="P7" i="59"/>
  <c r="Q14" i="60"/>
  <c r="Q19" i="60"/>
  <c r="Q8" i="64"/>
  <c r="Q5" i="64"/>
  <c r="F8" i="58"/>
  <c r="F44" i="63"/>
  <c r="E23" i="58"/>
  <c r="E36" i="58"/>
  <c r="N40" i="63"/>
  <c r="N85" i="63"/>
  <c r="N32" i="20"/>
  <c r="N15" i="78"/>
  <c r="E34" i="58"/>
  <c r="L52" i="63"/>
  <c r="R5" i="59"/>
  <c r="R73" i="63"/>
  <c r="R72" i="63"/>
  <c r="F8" i="20"/>
  <c r="J5" i="69"/>
  <c r="M18" i="65"/>
  <c r="M5" i="65"/>
  <c r="U6" i="59"/>
  <c r="U7" i="59"/>
  <c r="U11" i="59"/>
  <c r="U15" i="62"/>
  <c r="F24" i="58"/>
  <c r="G6" i="65"/>
  <c r="M8" i="65"/>
  <c r="L30" i="62"/>
  <c r="Y10" i="67"/>
  <c r="M6" i="61"/>
  <c r="D9" i="73"/>
  <c r="S10" i="79"/>
  <c r="E11" i="59"/>
  <c r="S11" i="59"/>
  <c r="S15" i="62"/>
  <c r="S16" i="62"/>
  <c r="S42" i="62"/>
  <c r="G24" i="58"/>
  <c r="E20" i="58"/>
  <c r="S20" i="67"/>
  <c r="S19" i="67"/>
  <c r="G13" i="58"/>
  <c r="K14" i="60"/>
  <c r="K19" i="60"/>
  <c r="K24" i="65"/>
  <c r="K11" i="65"/>
  <c r="F9" i="58"/>
  <c r="F46" i="63"/>
  <c r="F87" i="63"/>
  <c r="G20" i="58"/>
  <c r="Q6" i="67"/>
  <c r="Q5" i="67"/>
  <c r="Y6" i="61"/>
  <c r="L6" i="61"/>
  <c r="AA11" i="61"/>
  <c r="G5" i="69"/>
  <c r="P8" i="79"/>
  <c r="P11" i="79"/>
  <c r="F22" i="58"/>
  <c r="G6" i="61"/>
  <c r="N29" i="67"/>
  <c r="C6" i="65"/>
  <c r="Q33" i="58"/>
  <c r="U5" i="61"/>
  <c r="F18" i="65"/>
  <c r="F5" i="65"/>
  <c r="M6" i="66"/>
  <c r="M5" i="66"/>
  <c r="E18" i="65"/>
  <c r="E5" i="65"/>
  <c r="N6" i="61"/>
  <c r="G9" i="58"/>
  <c r="G46" i="63"/>
  <c r="M5" i="61"/>
  <c r="X11" i="61"/>
  <c r="G5" i="58"/>
  <c r="G33" i="58"/>
  <c r="O46" i="63"/>
  <c r="M87" i="63"/>
  <c r="E5" i="60"/>
  <c r="X50" i="63"/>
  <c r="R53" i="63"/>
  <c r="G38" i="62"/>
  <c r="G37" i="62"/>
  <c r="G5" i="60"/>
  <c r="E13" i="58"/>
  <c r="Q10" i="66"/>
  <c r="Q9" i="70"/>
  <c r="Q10" i="70"/>
  <c r="Q15" i="67"/>
  <c r="Q13" i="67"/>
  <c r="C18" i="59"/>
  <c r="C65" i="63"/>
  <c r="C61" i="63"/>
  <c r="U29" i="67"/>
  <c r="F10" i="66"/>
  <c r="E9" i="70"/>
  <c r="E10" i="70"/>
  <c r="P10" i="66"/>
  <c r="P9" i="70"/>
  <c r="P10" i="70"/>
  <c r="K29" i="67"/>
  <c r="U10" i="66"/>
  <c r="C15" i="67"/>
  <c r="C13" i="67"/>
  <c r="C28" i="67"/>
  <c r="L9" i="70"/>
  <c r="L10" i="70"/>
  <c r="E12" i="66"/>
  <c r="V13" i="67"/>
  <c r="V28" i="67"/>
  <c r="S15" i="67"/>
  <c r="S30" i="67"/>
  <c r="D15" i="67"/>
  <c r="D30" i="67"/>
  <c r="L10" i="66"/>
  <c r="M29" i="67"/>
  <c r="E18" i="59"/>
  <c r="E65" i="63"/>
  <c r="I9" i="70"/>
  <c r="I10" i="70"/>
  <c r="O29" i="67"/>
  <c r="T29" i="67"/>
  <c r="Q29" i="67"/>
  <c r="D29" i="67"/>
  <c r="R10" i="66"/>
  <c r="M8" i="79"/>
  <c r="C5" i="69"/>
  <c r="V6" i="59"/>
  <c r="V7" i="59"/>
  <c r="F6" i="61"/>
  <c r="P90" i="63"/>
  <c r="F19" i="58"/>
  <c r="L14" i="60"/>
  <c r="L19" i="60"/>
  <c r="L8" i="64"/>
  <c r="L5" i="64"/>
  <c r="P14" i="60"/>
  <c r="P19" i="60"/>
  <c r="P8" i="64"/>
  <c r="P5" i="64"/>
  <c r="E10" i="66"/>
  <c r="G11" i="66"/>
  <c r="H10" i="66"/>
  <c r="L29" i="67"/>
  <c r="M9" i="70"/>
  <c r="M10" i="70"/>
  <c r="K18" i="59"/>
  <c r="K65" i="63"/>
  <c r="K88" i="63"/>
  <c r="F9" i="70"/>
  <c r="F10" i="70"/>
  <c r="J9" i="70"/>
  <c r="J10" i="70"/>
  <c r="N9" i="70"/>
  <c r="N10" i="70"/>
  <c r="V10" i="66"/>
  <c r="C10" i="66"/>
  <c r="M18" i="59"/>
  <c r="M65" i="63"/>
  <c r="M10" i="66"/>
  <c r="Y29" i="67"/>
  <c r="Y13" i="67"/>
  <c r="Y28" i="67"/>
  <c r="W13" i="67"/>
  <c r="W28" i="67"/>
  <c r="D18" i="59"/>
  <c r="D14" i="59"/>
  <c r="Y10" i="66"/>
  <c r="AA10" i="66"/>
  <c r="R12" i="66"/>
  <c r="AA29" i="67"/>
  <c r="G9" i="70"/>
  <c r="G10" i="70"/>
  <c r="M13" i="67"/>
  <c r="M28" i="67"/>
  <c r="V29" i="67"/>
  <c r="H9" i="70"/>
  <c r="H10" i="70"/>
  <c r="E13" i="67"/>
  <c r="E28" i="67"/>
  <c r="E29" i="67"/>
  <c r="L10" i="79"/>
  <c r="U10" i="79"/>
  <c r="U8" i="79"/>
  <c r="K8" i="79"/>
  <c r="R5" i="69"/>
  <c r="H24" i="48"/>
  <c r="S10" i="66"/>
  <c r="F29" i="67"/>
  <c r="K6" i="61"/>
  <c r="O5" i="62"/>
  <c r="D5" i="62"/>
  <c r="D12" i="62"/>
  <c r="D27" i="62"/>
  <c r="AB29" i="67"/>
  <c r="M70" i="63"/>
  <c r="K15" i="79"/>
  <c r="S31" i="62"/>
  <c r="S30" i="62"/>
  <c r="K5" i="62"/>
  <c r="N43" i="63"/>
  <c r="N86" i="63"/>
  <c r="X31" i="62"/>
  <c r="X30" i="62"/>
  <c r="F5" i="58"/>
  <c r="F33" i="58"/>
  <c r="E6" i="61"/>
  <c r="O6" i="59"/>
  <c r="O7" i="59"/>
  <c r="U31" i="62"/>
  <c r="U30" i="62"/>
  <c r="Q6" i="61"/>
  <c r="F30" i="62"/>
  <c r="X6" i="59"/>
  <c r="X7" i="59"/>
  <c r="W67" i="63"/>
  <c r="E57" i="63"/>
  <c r="Q19" i="65"/>
  <c r="Q18" i="65"/>
  <c r="Q5" i="65"/>
  <c r="W29" i="67"/>
  <c r="X15" i="67"/>
  <c r="X30" i="67"/>
  <c r="X29" i="67"/>
  <c r="X6" i="61"/>
  <c r="Q5" i="62"/>
  <c r="W6" i="59"/>
  <c r="W7" i="59"/>
  <c r="V5" i="62"/>
  <c r="F17" i="48"/>
  <c r="Q35" i="58"/>
  <c r="U9" i="73"/>
  <c r="U5" i="62"/>
  <c r="E17" i="48"/>
  <c r="E67" i="63"/>
  <c r="V31" i="62"/>
  <c r="V30" i="62"/>
  <c r="J42" i="52"/>
  <c r="R64" i="63"/>
  <c r="R87" i="63"/>
  <c r="N18" i="59"/>
  <c r="N65" i="63"/>
  <c r="X87" i="63"/>
  <c r="F11" i="58"/>
  <c r="F48" i="63"/>
  <c r="X14" i="79"/>
  <c r="N64" i="63"/>
  <c r="N87" i="63"/>
  <c r="C6" i="61"/>
  <c r="G57" i="63"/>
  <c r="X6" i="66"/>
  <c r="X5" i="66"/>
  <c r="R6" i="66"/>
  <c r="R5" i="66"/>
  <c r="F14" i="60"/>
  <c r="G25" i="58"/>
  <c r="R5" i="62"/>
  <c r="F5" i="62"/>
  <c r="W79" i="63"/>
  <c r="W10" i="66"/>
  <c r="J14" i="52"/>
  <c r="G22" i="59"/>
  <c r="G31" i="62"/>
  <c r="G30" i="62"/>
  <c r="O56" i="63"/>
  <c r="X5" i="62"/>
  <c r="P5" i="62"/>
  <c r="D87" i="63"/>
  <c r="U6" i="66"/>
  <c r="U5" i="66"/>
  <c r="Y26" i="67"/>
  <c r="O13" i="67"/>
  <c r="O28" i="67"/>
  <c r="F79" i="63"/>
  <c r="AB10" i="66"/>
  <c r="Y30" i="62"/>
  <c r="W6" i="61"/>
  <c r="Y30" i="67"/>
  <c r="Y7" i="67"/>
  <c r="L5" i="62"/>
  <c r="N5" i="69"/>
  <c r="D24" i="48"/>
  <c r="U87" i="63"/>
  <c r="L7" i="65"/>
  <c r="L18" i="65"/>
  <c r="L5" i="65"/>
  <c r="L18" i="59"/>
  <c r="L65" i="63"/>
  <c r="R9" i="73"/>
  <c r="W26" i="18"/>
  <c r="E18" i="58"/>
  <c r="E8" i="67"/>
  <c r="U44" i="63"/>
  <c r="X11" i="76"/>
  <c r="X15" i="76"/>
  <c r="X8" i="68"/>
  <c r="D5" i="69"/>
  <c r="X11" i="79"/>
  <c r="J20" i="52"/>
  <c r="Q87" i="63"/>
  <c r="L20" i="67"/>
  <c r="L19" i="67"/>
  <c r="U13" i="67"/>
  <c r="U28" i="67"/>
  <c r="N5" i="62"/>
  <c r="E5" i="62"/>
  <c r="H19" i="48"/>
  <c r="W8" i="78"/>
  <c r="W7" i="78"/>
  <c r="W30" i="62"/>
  <c r="H13" i="67"/>
  <c r="H28" i="67"/>
  <c r="AB13" i="67"/>
  <c r="AB28" i="67"/>
  <c r="Q50" i="63"/>
  <c r="D6" i="61"/>
  <c r="AB11" i="61"/>
  <c r="D10" i="66"/>
  <c r="E9" i="58"/>
  <c r="E46" i="63"/>
  <c r="E87" i="63"/>
  <c r="N6" i="66"/>
  <c r="N5" i="66"/>
  <c r="V8" i="79"/>
  <c r="P11" i="59"/>
  <c r="P15" i="62"/>
  <c r="N6" i="78"/>
  <c r="N5" i="78"/>
  <c r="N9" i="78"/>
  <c r="E25" i="58"/>
  <c r="W5" i="62"/>
  <c r="F32" i="20"/>
  <c r="F15" i="78"/>
  <c r="G14" i="78"/>
  <c r="G16" i="78"/>
  <c r="G18" i="74"/>
  <c r="S7" i="65"/>
  <c r="T11" i="59"/>
  <c r="T15" i="62"/>
  <c r="M5" i="62"/>
  <c r="T15" i="67"/>
  <c r="G11" i="58"/>
  <c r="G48" i="63"/>
  <c r="C5" i="62"/>
  <c r="C12" i="62"/>
  <c r="C22" i="62"/>
  <c r="R12" i="72"/>
  <c r="H22" i="48"/>
  <c r="U7" i="78"/>
  <c r="G17" i="62"/>
  <c r="V12" i="72"/>
  <c r="L22" i="48"/>
  <c r="V63" i="63"/>
  <c r="P6" i="61"/>
  <c r="T87" i="63"/>
  <c r="S26" i="18"/>
  <c r="S12" i="72"/>
  <c r="K18" i="65"/>
  <c r="K5" i="65"/>
  <c r="K8" i="65"/>
  <c r="R70" i="63"/>
  <c r="R11" i="59"/>
  <c r="R15" i="62"/>
  <c r="F15" i="62"/>
  <c r="T5" i="62"/>
  <c r="D17" i="48"/>
  <c r="X6" i="78"/>
  <c r="X5" i="78"/>
  <c r="G26" i="18"/>
  <c r="Q26" i="18"/>
  <c r="N10" i="66"/>
  <c r="O10" i="66"/>
  <c r="R30" i="62"/>
  <c r="F20" i="67"/>
  <c r="F19" i="67"/>
  <c r="P18" i="65"/>
  <c r="P5" i="65"/>
  <c r="K20" i="67"/>
  <c r="K19" i="67"/>
  <c r="R14" i="60"/>
  <c r="R19" i="60"/>
  <c r="M30" i="62"/>
  <c r="L6" i="78"/>
  <c r="L5" i="78"/>
  <c r="L13" i="67"/>
  <c r="L28" i="67"/>
  <c r="S5" i="62"/>
  <c r="C17" i="48"/>
  <c r="Y6" i="78"/>
  <c r="Y5" i="78"/>
  <c r="X12" i="66"/>
  <c r="X10" i="66"/>
  <c r="Y6" i="65"/>
  <c r="K33" i="58"/>
  <c r="K7" i="67"/>
  <c r="K6" i="67"/>
  <c r="K5" i="67"/>
  <c r="R33" i="58"/>
  <c r="R7" i="67"/>
  <c r="R6" i="67"/>
  <c r="R5" i="67"/>
  <c r="X15" i="79"/>
  <c r="V6" i="65"/>
  <c r="V6" i="61"/>
  <c r="X47" i="63"/>
  <c r="X7" i="67"/>
  <c r="X6" i="67"/>
  <c r="R19" i="65"/>
  <c r="R6" i="61"/>
  <c r="O18" i="65"/>
  <c r="O5" i="65"/>
  <c r="T6" i="65"/>
  <c r="T6" i="61"/>
  <c r="L6" i="48"/>
  <c r="V9" i="73"/>
  <c r="E72" i="63"/>
  <c r="N67" i="63"/>
  <c r="F12" i="58"/>
  <c r="F49" i="63"/>
  <c r="P38" i="58"/>
  <c r="G18" i="58"/>
  <c r="G8" i="67"/>
  <c r="E7" i="58"/>
  <c r="E41" i="63"/>
  <c r="F57" i="63"/>
  <c r="O9" i="70"/>
  <c r="O10" i="70"/>
  <c r="F14" i="48"/>
  <c r="F56" i="63"/>
  <c r="G6" i="59"/>
  <c r="G7" i="59"/>
  <c r="D43" i="63"/>
  <c r="P20" i="67"/>
  <c r="P19" i="67"/>
  <c r="F30" i="67"/>
  <c r="F13" i="67"/>
  <c r="F28" i="67"/>
  <c r="R7" i="78"/>
  <c r="Q7" i="78"/>
  <c r="U91" i="63"/>
  <c r="L6" i="67"/>
  <c r="L5" i="67"/>
  <c r="U6" i="67"/>
  <c r="E20" i="67"/>
  <c r="E19" i="67"/>
  <c r="D6" i="78"/>
  <c r="D5" i="78"/>
  <c r="Q20" i="67"/>
  <c r="Q19" i="67"/>
  <c r="D26" i="18"/>
  <c r="W72" i="63"/>
  <c r="W71" i="63"/>
  <c r="O14" i="60"/>
  <c r="O19" i="60"/>
  <c r="V26" i="18"/>
  <c r="K87" i="63"/>
  <c r="L87" i="63"/>
  <c r="R30" i="67"/>
  <c r="R13" i="67"/>
  <c r="R28" i="67"/>
  <c r="N30" i="67"/>
  <c r="N13" i="67"/>
  <c r="N28" i="67"/>
  <c r="M43" i="63"/>
  <c r="S6" i="67"/>
  <c r="W13" i="78"/>
  <c r="W12" i="78"/>
  <c r="R26" i="18"/>
  <c r="G14" i="60"/>
  <c r="G72" i="63"/>
  <c r="G71" i="63"/>
  <c r="R6" i="78"/>
  <c r="R5" i="78"/>
  <c r="D18" i="65"/>
  <c r="D5" i="65"/>
  <c r="K26" i="18"/>
  <c r="R20" i="67"/>
  <c r="R19" i="67"/>
  <c r="C6" i="66"/>
  <c r="C5" i="66"/>
  <c r="P72" i="63"/>
  <c r="P71" i="63"/>
  <c r="N13" i="78"/>
  <c r="N12" i="78"/>
  <c r="M6" i="78"/>
  <c r="M5" i="78"/>
  <c r="M9" i="78"/>
  <c r="V6" i="78"/>
  <c r="V5" i="78"/>
  <c r="N26" i="18"/>
  <c r="G6" i="78"/>
  <c r="G5" i="78"/>
  <c r="C6" i="78"/>
  <c r="C5" i="78"/>
  <c r="C9" i="78"/>
  <c r="K14" i="78"/>
  <c r="K16" i="78"/>
  <c r="K18" i="74"/>
  <c r="E6" i="59"/>
  <c r="K72" i="63"/>
  <c r="K71" i="63"/>
  <c r="Y13" i="78"/>
  <c r="E26" i="18"/>
  <c r="X25" i="67"/>
  <c r="X20" i="67"/>
  <c r="X19" i="67"/>
  <c r="R22" i="52"/>
  <c r="T22" i="52"/>
  <c r="G30" i="67"/>
  <c r="G13" i="67"/>
  <c r="G28" i="67"/>
  <c r="G31" i="67"/>
  <c r="G15" i="74"/>
  <c r="P30" i="67"/>
  <c r="P13" i="67"/>
  <c r="W26" i="67"/>
  <c r="W6" i="67"/>
  <c r="C55" i="63"/>
  <c r="C43" i="63"/>
  <c r="C39" i="63"/>
  <c r="C58" i="63"/>
  <c r="N7" i="65"/>
  <c r="N18" i="65"/>
  <c r="G70" i="63"/>
  <c r="G11" i="59"/>
  <c r="D25" i="67"/>
  <c r="D20" i="67"/>
  <c r="D19" i="67"/>
  <c r="D6" i="67"/>
  <c r="D5" i="67"/>
  <c r="T25" i="67"/>
  <c r="T20" i="67"/>
  <c r="T19" i="67"/>
  <c r="T6" i="67"/>
  <c r="M25" i="67"/>
  <c r="M20" i="67"/>
  <c r="M19" i="67"/>
  <c r="M6" i="67"/>
  <c r="M5" i="67"/>
  <c r="K54" i="63"/>
  <c r="K40" i="63"/>
  <c r="V7" i="65"/>
  <c r="AA30" i="67"/>
  <c r="AA13" i="67"/>
  <c r="AA28" i="67"/>
  <c r="N26" i="67"/>
  <c r="N20" i="67"/>
  <c r="N19" i="67"/>
  <c r="D72" i="63"/>
  <c r="D71" i="63"/>
  <c r="K90" i="63"/>
  <c r="S6" i="59"/>
  <c r="S7" i="59"/>
  <c r="O6" i="78"/>
  <c r="O5" i="78"/>
  <c r="O9" i="78"/>
  <c r="S13" i="78"/>
  <c r="S12" i="78"/>
  <c r="S6" i="78"/>
  <c r="S5" i="78"/>
  <c r="F6" i="78"/>
  <c r="F5" i="78"/>
  <c r="F26" i="18"/>
  <c r="X26" i="18"/>
  <c r="T26" i="18"/>
  <c r="X13" i="78"/>
  <c r="X12" i="78"/>
  <c r="P26" i="18"/>
  <c r="P5" i="68"/>
  <c r="F5" i="68"/>
  <c r="O5" i="68"/>
  <c r="Q21" i="68"/>
  <c r="E21" i="68"/>
  <c r="S5" i="68"/>
  <c r="X21" i="68"/>
  <c r="S21" i="68"/>
  <c r="AB21" i="68"/>
  <c r="U21" i="68"/>
  <c r="D21" i="68"/>
  <c r="T21" i="68"/>
  <c r="K5" i="68"/>
  <c r="O21" i="68"/>
  <c r="Y21" i="68"/>
  <c r="V21" i="68"/>
  <c r="L21" i="68"/>
  <c r="H21" i="68"/>
  <c r="R21" i="68"/>
  <c r="G21" i="68"/>
  <c r="W21" i="68"/>
  <c r="AA21" i="68"/>
  <c r="N21" i="68"/>
  <c r="P21" i="68"/>
  <c r="F21" i="68"/>
  <c r="D5" i="68"/>
  <c r="R5" i="68"/>
  <c r="C5" i="68"/>
  <c r="N5" i="68"/>
  <c r="W11" i="76"/>
  <c r="W15" i="76"/>
  <c r="W6" i="78"/>
  <c r="W5" i="78"/>
  <c r="K6" i="78"/>
  <c r="K5" i="78"/>
  <c r="D14" i="48"/>
  <c r="T6" i="78"/>
  <c r="T5" i="78"/>
  <c r="T9" i="78"/>
  <c r="T13" i="78"/>
  <c r="T12" i="78"/>
  <c r="L13" i="78"/>
  <c r="L12" i="78"/>
  <c r="C32" i="20"/>
  <c r="C15" i="78"/>
  <c r="C14" i="78"/>
  <c r="C16" i="78"/>
  <c r="C18" i="74"/>
  <c r="L10" i="59"/>
  <c r="M51" i="63"/>
  <c r="T91" i="63"/>
  <c r="G12" i="58"/>
  <c r="G49" i="63"/>
  <c r="K10" i="66"/>
  <c r="O14" i="78"/>
  <c r="O16" i="78"/>
  <c r="O18" i="74"/>
  <c r="K38" i="58"/>
  <c r="G10" i="58"/>
  <c r="G47" i="63"/>
  <c r="E12" i="58"/>
  <c r="E49" i="63"/>
  <c r="E90" i="63"/>
  <c r="E33" i="58"/>
  <c r="D39" i="63"/>
  <c r="L8" i="79"/>
  <c r="I5" i="69"/>
  <c r="G15" i="79"/>
  <c r="E10" i="58"/>
  <c r="E47" i="63"/>
  <c r="G36" i="58"/>
  <c r="V90" i="63"/>
  <c r="L13" i="66"/>
  <c r="L13" i="74"/>
  <c r="C11" i="59"/>
  <c r="C15" i="62"/>
  <c r="C16" i="62"/>
  <c r="C42" i="62"/>
  <c r="P91" i="63"/>
  <c r="P16" i="62"/>
  <c r="P42" i="62"/>
  <c r="O11" i="59"/>
  <c r="O15" i="62"/>
  <c r="O16" i="62"/>
  <c r="O42" i="62"/>
  <c r="X71" i="63"/>
  <c r="F7" i="20"/>
  <c r="F9" i="59"/>
  <c r="F75" i="63"/>
  <c r="M71" i="63"/>
  <c r="G29" i="67"/>
  <c r="T10" i="66"/>
  <c r="T13" i="66"/>
  <c r="R6" i="59"/>
  <c r="R7" i="59"/>
  <c r="O71" i="63"/>
  <c r="T72" i="63"/>
  <c r="T71" i="63"/>
  <c r="L7" i="78"/>
  <c r="L9" i="78"/>
  <c r="M26" i="18"/>
  <c r="E28" i="58"/>
  <c r="V64" i="63"/>
  <c r="P6" i="78"/>
  <c r="P5" i="78"/>
  <c r="P9" i="78"/>
  <c r="Y90" i="63"/>
  <c r="F5" i="69"/>
  <c r="T14" i="78"/>
  <c r="F67" i="63"/>
  <c r="G87" i="63"/>
  <c r="F12" i="61"/>
  <c r="F6" i="79"/>
  <c r="W53" i="63"/>
  <c r="P14" i="78"/>
  <c r="P16" i="78"/>
  <c r="P18" i="74"/>
  <c r="Q16" i="62"/>
  <c r="Q42" i="62"/>
  <c r="Y26" i="18"/>
  <c r="M15" i="76"/>
  <c r="M8" i="68"/>
  <c r="N9" i="68"/>
  <c r="N20" i="68"/>
  <c r="K15" i="76"/>
  <c r="K8" i="68"/>
  <c r="K19" i="68"/>
  <c r="L26" i="18"/>
  <c r="E13" i="76"/>
  <c r="N11" i="76"/>
  <c r="N12" i="61"/>
  <c r="N6" i="79"/>
  <c r="Q13" i="66"/>
  <c r="Q13" i="74"/>
  <c r="C8" i="79"/>
  <c r="Q6" i="78"/>
  <c r="Q5" i="78"/>
  <c r="U6" i="78"/>
  <c r="U5" i="78"/>
  <c r="V15" i="78"/>
  <c r="V14" i="78"/>
  <c r="V16" i="78"/>
  <c r="F36" i="48"/>
  <c r="R8" i="79"/>
  <c r="F5" i="61"/>
  <c r="F38" i="62"/>
  <c r="F37" i="62"/>
  <c r="U13" i="78"/>
  <c r="U12" i="78"/>
  <c r="Y87" i="63"/>
  <c r="U53" i="63"/>
  <c r="N5" i="61"/>
  <c r="N38" i="62"/>
  <c r="N37" i="62"/>
  <c r="E6" i="78"/>
  <c r="E5" i="78"/>
  <c r="E9" i="78"/>
  <c r="K9" i="78"/>
  <c r="P15" i="76"/>
  <c r="P8" i="68"/>
  <c r="C26" i="18"/>
  <c r="Q6" i="79"/>
  <c r="Q12" i="61"/>
  <c r="Q13" i="61"/>
  <c r="U12" i="61"/>
  <c r="U13" i="61"/>
  <c r="U6" i="79"/>
  <c r="T67" i="63"/>
  <c r="E15" i="79"/>
  <c r="E8" i="79"/>
  <c r="P79" i="63"/>
  <c r="P31" i="62"/>
  <c r="P30" i="62"/>
  <c r="R77" i="63"/>
  <c r="F21" i="59"/>
  <c r="F77" i="63"/>
  <c r="K25" i="52"/>
  <c r="Y6" i="79"/>
  <c r="Y12" i="61"/>
  <c r="Y13" i="61"/>
  <c r="F13" i="76"/>
  <c r="R11" i="76"/>
  <c r="S5" i="69"/>
  <c r="D15" i="76"/>
  <c r="D8" i="68"/>
  <c r="E9" i="68"/>
  <c r="E20" i="68"/>
  <c r="F6" i="48"/>
  <c r="P9" i="73"/>
  <c r="G13" i="48"/>
  <c r="W9" i="79"/>
  <c r="D13" i="48"/>
  <c r="T9" i="79"/>
  <c r="C13" i="48"/>
  <c r="S9" i="79"/>
  <c r="S15" i="79"/>
  <c r="C33" i="58"/>
  <c r="C38" i="58"/>
  <c r="C7" i="64"/>
  <c r="C6" i="64"/>
  <c r="C9" i="64"/>
  <c r="C11" i="74"/>
  <c r="C7" i="67"/>
  <c r="M12" i="61"/>
  <c r="M13" i="61"/>
  <c r="M6" i="79"/>
  <c r="R12" i="61"/>
  <c r="R13" i="61"/>
  <c r="R6" i="79"/>
  <c r="O12" i="61"/>
  <c r="O13" i="61"/>
  <c r="O6" i="79"/>
  <c r="L6" i="79"/>
  <c r="L12" i="61"/>
  <c r="L13" i="61"/>
  <c r="W50" i="63"/>
  <c r="V7" i="67"/>
  <c r="V6" i="67"/>
  <c r="E6" i="79"/>
  <c r="E12" i="61"/>
  <c r="E13" i="61"/>
  <c r="D6" i="79"/>
  <c r="D12" i="61"/>
  <c r="D13" i="61"/>
  <c r="D35" i="58"/>
  <c r="D38" i="58"/>
  <c r="D23" i="65"/>
  <c r="D50" i="63"/>
  <c r="D91" i="63"/>
  <c r="O33" i="58"/>
  <c r="O7" i="67"/>
  <c r="G12" i="61"/>
  <c r="G13" i="61"/>
  <c r="G6" i="79"/>
  <c r="S12" i="61"/>
  <c r="S13" i="61"/>
  <c r="S6" i="79"/>
  <c r="N33" i="58"/>
  <c r="N38" i="58"/>
  <c r="N7" i="67"/>
  <c r="N6" i="67"/>
  <c r="N5" i="67"/>
  <c r="N16" i="67"/>
  <c r="N14" i="74"/>
  <c r="I17" i="48"/>
  <c r="S8" i="79"/>
  <c r="S15" i="76"/>
  <c r="G12" i="76"/>
  <c r="V11" i="76"/>
  <c r="K6" i="79"/>
  <c r="K12" i="61"/>
  <c r="K13" i="61"/>
  <c r="L35" i="58"/>
  <c r="L38" i="58"/>
  <c r="L50" i="63"/>
  <c r="H17" i="48"/>
  <c r="Q14" i="78"/>
  <c r="Q16" i="78"/>
  <c r="Q18" i="74"/>
  <c r="C6" i="79"/>
  <c r="C12" i="61"/>
  <c r="C13" i="61"/>
  <c r="Y9" i="79"/>
  <c r="I13" i="48"/>
  <c r="O15" i="76"/>
  <c r="O8" i="68"/>
  <c r="G17" i="48"/>
  <c r="D51" i="63"/>
  <c r="W6" i="79"/>
  <c r="W12" i="61"/>
  <c r="W13" i="61"/>
  <c r="T12" i="61"/>
  <c r="T13" i="61"/>
  <c r="T6" i="79"/>
  <c r="V12" i="61"/>
  <c r="V13" i="61"/>
  <c r="V6" i="79"/>
  <c r="P24" i="65"/>
  <c r="P11" i="65"/>
  <c r="E71" i="63"/>
  <c r="F19" i="60"/>
  <c r="F8" i="64"/>
  <c r="F5" i="64"/>
  <c r="R38" i="58"/>
  <c r="R7" i="64"/>
  <c r="K11" i="59"/>
  <c r="K15" i="62"/>
  <c r="K16" i="62"/>
  <c r="K42" i="62"/>
  <c r="R14" i="78"/>
  <c r="R16" i="78"/>
  <c r="R18" i="74"/>
  <c r="K15" i="52"/>
  <c r="K18" i="52"/>
  <c r="K23" i="52"/>
  <c r="D9" i="78"/>
  <c r="P13" i="61"/>
  <c r="Q70" i="63"/>
  <c r="R91" i="63"/>
  <c r="P13" i="66"/>
  <c r="P13" i="74"/>
  <c r="N51" i="63"/>
  <c r="L90" i="63"/>
  <c r="M16" i="67"/>
  <c r="M14" i="74"/>
  <c r="S13" i="67"/>
  <c r="S28" i="67"/>
  <c r="S31" i="67"/>
  <c r="S15" i="74"/>
  <c r="E40" i="63"/>
  <c r="E85" i="63"/>
  <c r="G19" i="60"/>
  <c r="G8" i="64"/>
  <c r="G5" i="64"/>
  <c r="S14" i="78"/>
  <c r="S16" i="78"/>
  <c r="Y14" i="78"/>
  <c r="K52" i="63"/>
  <c r="K51" i="63"/>
  <c r="K92" i="63"/>
  <c r="E35" i="58"/>
  <c r="E38" i="58"/>
  <c r="E23" i="65"/>
  <c r="W13" i="66"/>
  <c r="W13" i="74"/>
  <c r="V11" i="59"/>
  <c r="V15" i="62"/>
  <c r="E6" i="67"/>
  <c r="E5" i="67"/>
  <c r="E16" i="67"/>
  <c r="E14" i="74"/>
  <c r="X90" i="63"/>
  <c r="L9" i="68"/>
  <c r="L20" i="68"/>
  <c r="W70" i="63"/>
  <c r="O13" i="66"/>
  <c r="O13" i="74"/>
  <c r="N71" i="63"/>
  <c r="D23" i="59"/>
  <c r="D8" i="63"/>
  <c r="D17" i="63"/>
  <c r="S91" i="63"/>
  <c r="E53" i="63"/>
  <c r="E52" i="63"/>
  <c r="E51" i="63"/>
  <c r="O91" i="63"/>
  <c r="X70" i="63"/>
  <c r="Y91" i="63"/>
  <c r="U14" i="78"/>
  <c r="L39" i="63"/>
  <c r="M14" i="78"/>
  <c r="M16" i="78"/>
  <c r="M18" i="74"/>
  <c r="E19" i="60"/>
  <c r="E24" i="65"/>
  <c r="E11" i="65"/>
  <c r="T16" i="62"/>
  <c r="T42" i="62"/>
  <c r="V13" i="66"/>
  <c r="V13" i="74"/>
  <c r="F13" i="66"/>
  <c r="F13" i="74"/>
  <c r="F10" i="59"/>
  <c r="F11" i="59"/>
  <c r="F17" i="62"/>
  <c r="F16" i="62"/>
  <c r="F42" i="62"/>
  <c r="N11" i="59"/>
  <c r="N15" i="62"/>
  <c r="N16" i="62"/>
  <c r="N42" i="62"/>
  <c r="Q38" i="58"/>
  <c r="Q6" i="63"/>
  <c r="L24" i="65"/>
  <c r="L11" i="65"/>
  <c r="D13" i="66"/>
  <c r="D13" i="74"/>
  <c r="D18" i="48"/>
  <c r="U9" i="68"/>
  <c r="U20" i="68"/>
  <c r="X13" i="61"/>
  <c r="E13" i="66"/>
  <c r="E13" i="74"/>
  <c r="G90" i="63"/>
  <c r="C14" i="59"/>
  <c r="C23" i="59"/>
  <c r="C8" i="63"/>
  <c r="C7" i="63"/>
  <c r="U8" i="68"/>
  <c r="V9" i="68"/>
  <c r="Q9" i="68"/>
  <c r="Q20" i="68"/>
  <c r="P19" i="68"/>
  <c r="R90" i="63"/>
  <c r="D14" i="78"/>
  <c r="D16" i="78"/>
  <c r="D18" i="74"/>
  <c r="E79" i="63"/>
  <c r="V9" i="78"/>
  <c r="X16" i="79"/>
  <c r="F7" i="78"/>
  <c r="F9" i="78"/>
  <c r="S13" i="66"/>
  <c r="C8" i="48"/>
  <c r="W14" i="78"/>
  <c r="W16" i="78"/>
  <c r="W18" i="74"/>
  <c r="N14" i="78"/>
  <c r="N16" i="78"/>
  <c r="N18" i="74"/>
  <c r="W90" i="63"/>
  <c r="E43" i="63"/>
  <c r="E86" i="63"/>
  <c r="K40" i="52"/>
  <c r="I18" i="48"/>
  <c r="K8" i="64"/>
  <c r="K5" i="64"/>
  <c r="T16" i="78"/>
  <c r="D36" i="48"/>
  <c r="G79" i="63"/>
  <c r="G7" i="67"/>
  <c r="G6" i="67"/>
  <c r="G5" i="67"/>
  <c r="G16" i="67"/>
  <c r="G14" i="74"/>
  <c r="F90" i="63"/>
  <c r="Y6" i="67"/>
  <c r="Y5" i="67"/>
  <c r="O87" i="63"/>
  <c r="L19" i="68"/>
  <c r="U9" i="78"/>
  <c r="Q24" i="65"/>
  <c r="Q11" i="65"/>
  <c r="N91" i="63"/>
  <c r="F7" i="67"/>
  <c r="Y20" i="67"/>
  <c r="Y19" i="67"/>
  <c r="Y31" i="67"/>
  <c r="Y15" i="74"/>
  <c r="X14" i="78"/>
  <c r="X16" i="78"/>
  <c r="G5" i="62"/>
  <c r="S6" i="63"/>
  <c r="S5" i="63"/>
  <c r="S21" i="63"/>
  <c r="U8" i="64"/>
  <c r="U5" i="64"/>
  <c r="S8" i="64"/>
  <c r="S5" i="64"/>
  <c r="M90" i="63"/>
  <c r="E16" i="78"/>
  <c r="E18" i="74"/>
  <c r="U16" i="62"/>
  <c r="U42" i="62"/>
  <c r="N39" i="63"/>
  <c r="N58" i="63"/>
  <c r="R71" i="63"/>
  <c r="C27" i="62"/>
  <c r="Q6" i="65"/>
  <c r="Y19" i="68"/>
  <c r="F14" i="78"/>
  <c r="F16" i="78"/>
  <c r="F18" i="74"/>
  <c r="S9" i="78"/>
  <c r="G9" i="78"/>
  <c r="G35" i="58"/>
  <c r="K13" i="66"/>
  <c r="K13" i="74"/>
  <c r="L51" i="63"/>
  <c r="Y13" i="66"/>
  <c r="I8" i="48"/>
  <c r="V8" i="64"/>
  <c r="V5" i="64"/>
  <c r="M7" i="64"/>
  <c r="J15" i="52"/>
  <c r="J18" i="52"/>
  <c r="J23" i="52"/>
  <c r="J26" i="52"/>
  <c r="M14" i="63"/>
  <c r="M31" i="63"/>
  <c r="X13" i="66"/>
  <c r="H8" i="48"/>
  <c r="M13" i="66"/>
  <c r="M13" i="74"/>
  <c r="R13" i="66"/>
  <c r="R13" i="74"/>
  <c r="M19" i="68"/>
  <c r="M18" i="68"/>
  <c r="M22" i="68"/>
  <c r="Q19" i="68"/>
  <c r="D9" i="68"/>
  <c r="C19" i="68"/>
  <c r="U13" i="66"/>
  <c r="E8" i="48"/>
  <c r="C30" i="67"/>
  <c r="D13" i="67"/>
  <c r="D28" i="67"/>
  <c r="D31" i="67"/>
  <c r="D15" i="74"/>
  <c r="K15" i="67"/>
  <c r="K30" i="67"/>
  <c r="M31" i="67"/>
  <c r="M15" i="74"/>
  <c r="E14" i="59"/>
  <c r="E23" i="59"/>
  <c r="E8" i="63"/>
  <c r="Q30" i="67"/>
  <c r="C78" i="63"/>
  <c r="C81" i="63"/>
  <c r="D21" i="62"/>
  <c r="D5" i="74"/>
  <c r="D22" i="62"/>
  <c r="C13" i="66"/>
  <c r="C13" i="74"/>
  <c r="Q28" i="67"/>
  <c r="Q31" i="67"/>
  <c r="Q15" i="74"/>
  <c r="Q16" i="67"/>
  <c r="Q14" i="74"/>
  <c r="D8" i="64"/>
  <c r="D5" i="64"/>
  <c r="D24" i="65"/>
  <c r="D11" i="65"/>
  <c r="N8" i="64"/>
  <c r="N5" i="64"/>
  <c r="N24" i="65"/>
  <c r="N11" i="65"/>
  <c r="H12" i="66"/>
  <c r="G10" i="66"/>
  <c r="G13" i="66"/>
  <c r="G13" i="74"/>
  <c r="M14" i="59"/>
  <c r="M23" i="59"/>
  <c r="M8" i="63"/>
  <c r="D65" i="63"/>
  <c r="E88" i="63"/>
  <c r="K14" i="59"/>
  <c r="K23" i="59"/>
  <c r="K8" i="63"/>
  <c r="E31" i="67"/>
  <c r="E15" i="74"/>
  <c r="M88" i="63"/>
  <c r="N88" i="63"/>
  <c r="L88" i="63"/>
  <c r="D26" i="62"/>
  <c r="D6" i="74"/>
  <c r="S87" i="63"/>
  <c r="Y9" i="68"/>
  <c r="X19" i="68"/>
  <c r="F50" i="63"/>
  <c r="F35" i="58"/>
  <c r="D41" i="62"/>
  <c r="D40" i="62"/>
  <c r="X13" i="67"/>
  <c r="X28" i="67"/>
  <c r="X31" i="67"/>
  <c r="X15" i="74"/>
  <c r="N14" i="59"/>
  <c r="N23" i="59"/>
  <c r="N8" i="63"/>
  <c r="X7" i="78"/>
  <c r="X9" i="78"/>
  <c r="L31" i="67"/>
  <c r="L15" i="74"/>
  <c r="L14" i="59"/>
  <c r="L23" i="59"/>
  <c r="L8" i="63"/>
  <c r="L17" i="63"/>
  <c r="M23" i="65"/>
  <c r="M10" i="65"/>
  <c r="R16" i="62"/>
  <c r="R42" i="62"/>
  <c r="L16" i="67"/>
  <c r="L14" i="74"/>
  <c r="F31" i="67"/>
  <c r="F15" i="74"/>
  <c r="J40" i="52"/>
  <c r="J41" i="52"/>
  <c r="T7" i="64"/>
  <c r="N13" i="66"/>
  <c r="N13" i="74"/>
  <c r="N31" i="67"/>
  <c r="N15" i="74"/>
  <c r="C26" i="62"/>
  <c r="C6" i="74"/>
  <c r="Q9" i="78"/>
  <c r="C41" i="62"/>
  <c r="C40" i="62"/>
  <c r="C39" i="62"/>
  <c r="C43" i="62"/>
  <c r="C8" i="74"/>
  <c r="C21" i="62"/>
  <c r="C5" i="74"/>
  <c r="R9" i="78"/>
  <c r="M5" i="63"/>
  <c r="W9" i="78"/>
  <c r="C9" i="68"/>
  <c r="C24" i="65"/>
  <c r="C11" i="65"/>
  <c r="T13" i="63"/>
  <c r="D58" i="63"/>
  <c r="D86" i="63"/>
  <c r="H18" i="48"/>
  <c r="R31" i="67"/>
  <c r="R15" i="74"/>
  <c r="I22" i="48"/>
  <c r="T30" i="67"/>
  <c r="T13" i="67"/>
  <c r="T28" i="67"/>
  <c r="T31" i="67"/>
  <c r="T15" i="74"/>
  <c r="D7" i="64"/>
  <c r="D6" i="63"/>
  <c r="D22" i="63"/>
  <c r="X8" i="64"/>
  <c r="X5" i="64"/>
  <c r="T5" i="63"/>
  <c r="T21" i="63"/>
  <c r="T22" i="63"/>
  <c r="R8" i="64"/>
  <c r="R5" i="64"/>
  <c r="R24" i="65"/>
  <c r="R11" i="65"/>
  <c r="K7" i="64"/>
  <c r="K6" i="63"/>
  <c r="K23" i="65"/>
  <c r="L16" i="78"/>
  <c r="L18" i="74"/>
  <c r="M8" i="64"/>
  <c r="M5" i="64"/>
  <c r="M24" i="65"/>
  <c r="P6" i="63"/>
  <c r="P23" i="65"/>
  <c r="P10" i="65"/>
  <c r="P7" i="64"/>
  <c r="P6" i="64"/>
  <c r="P9" i="64"/>
  <c r="P11" i="74"/>
  <c r="N90" i="63"/>
  <c r="O90" i="63"/>
  <c r="R6" i="65"/>
  <c r="R18" i="65"/>
  <c r="R5" i="65"/>
  <c r="D10" i="65"/>
  <c r="T8" i="64"/>
  <c r="T5" i="64"/>
  <c r="E11" i="48"/>
  <c r="U5" i="67"/>
  <c r="U16" i="67"/>
  <c r="R16" i="67"/>
  <c r="R14" i="74"/>
  <c r="O8" i="64"/>
  <c r="O5" i="64"/>
  <c r="O24" i="65"/>
  <c r="E7" i="59"/>
  <c r="Y12" i="78"/>
  <c r="R23" i="65"/>
  <c r="M86" i="63"/>
  <c r="M39" i="63"/>
  <c r="M58" i="63"/>
  <c r="G24" i="65"/>
  <c r="G11" i="65"/>
  <c r="F11" i="48"/>
  <c r="V5" i="67"/>
  <c r="V16" i="67"/>
  <c r="C11" i="48"/>
  <c r="S5" i="67"/>
  <c r="K85" i="63"/>
  <c r="K39" i="63"/>
  <c r="T5" i="67"/>
  <c r="D11" i="48"/>
  <c r="X5" i="67"/>
  <c r="H11" i="48"/>
  <c r="D92" i="63"/>
  <c r="N5" i="65"/>
  <c r="X6" i="63"/>
  <c r="X7" i="64"/>
  <c r="P28" i="67"/>
  <c r="P31" i="67"/>
  <c r="P15" i="74"/>
  <c r="P16" i="67"/>
  <c r="P14" i="74"/>
  <c r="G11" i="48"/>
  <c r="W5" i="67"/>
  <c r="W16" i="67"/>
  <c r="G18" i="48"/>
  <c r="W8" i="68"/>
  <c r="W19" i="68"/>
  <c r="K58" i="63"/>
  <c r="M92" i="63"/>
  <c r="L70" i="63"/>
  <c r="M91" i="63"/>
  <c r="L11" i="59"/>
  <c r="L15" i="62"/>
  <c r="L16" i="62"/>
  <c r="L42" i="62"/>
  <c r="R6" i="63"/>
  <c r="D19" i="68"/>
  <c r="C6" i="63"/>
  <c r="C14" i="63"/>
  <c r="C23" i="65"/>
  <c r="U16" i="78"/>
  <c r="E36" i="48"/>
  <c r="V18" i="74"/>
  <c r="F8" i="48"/>
  <c r="F70" i="63"/>
  <c r="M7" i="68"/>
  <c r="M10" i="68"/>
  <c r="M12" i="68"/>
  <c r="M16" i="74"/>
  <c r="F71" i="63"/>
  <c r="D8" i="48"/>
  <c r="T13" i="74"/>
  <c r="K26" i="52"/>
  <c r="N13" i="61"/>
  <c r="V87" i="63"/>
  <c r="W87" i="63"/>
  <c r="Q91" i="63"/>
  <c r="K9" i="68"/>
  <c r="K7" i="68"/>
  <c r="K10" i="68"/>
  <c r="K12" i="68"/>
  <c r="K16" i="74"/>
  <c r="E8" i="64"/>
  <c r="E5" i="64"/>
  <c r="F13" i="61"/>
  <c r="W91" i="63"/>
  <c r="E11" i="76"/>
  <c r="N15" i="76"/>
  <c r="F14" i="79"/>
  <c r="F16" i="79"/>
  <c r="F5" i="79"/>
  <c r="F11" i="79"/>
  <c r="N14" i="79"/>
  <c r="N16" i="79"/>
  <c r="N5" i="79"/>
  <c r="N11" i="79"/>
  <c r="Q5" i="79"/>
  <c r="Q11" i="79"/>
  <c r="Q14" i="79"/>
  <c r="Q16" i="79"/>
  <c r="N6" i="63"/>
  <c r="N7" i="64"/>
  <c r="N6" i="64"/>
  <c r="N9" i="64"/>
  <c r="N11" i="74"/>
  <c r="N23" i="65"/>
  <c r="N10" i="65"/>
  <c r="N9" i="65"/>
  <c r="N15" i="65"/>
  <c r="N12" i="74"/>
  <c r="T18" i="74"/>
  <c r="F24" i="65"/>
  <c r="F11" i="65"/>
  <c r="U14" i="79"/>
  <c r="U16" i="79"/>
  <c r="U5" i="79"/>
  <c r="U11" i="79"/>
  <c r="U90" i="63"/>
  <c r="T90" i="63"/>
  <c r="F11" i="76"/>
  <c r="R15" i="76"/>
  <c r="I24" i="48"/>
  <c r="Y14" i="79"/>
  <c r="Y5" i="79"/>
  <c r="L23" i="65"/>
  <c r="L10" i="65"/>
  <c r="L9" i="65"/>
  <c r="L15" i="65"/>
  <c r="L12" i="74"/>
  <c r="L7" i="64"/>
  <c r="L6" i="64"/>
  <c r="L9" i="64"/>
  <c r="L11" i="74"/>
  <c r="L6" i="63"/>
  <c r="L14" i="63"/>
  <c r="T14" i="79"/>
  <c r="T5" i="79"/>
  <c r="Y15" i="79"/>
  <c r="Y8" i="79"/>
  <c r="C14" i="79"/>
  <c r="C16" i="79"/>
  <c r="C5" i="79"/>
  <c r="C11" i="79"/>
  <c r="K14" i="79"/>
  <c r="K16" i="79"/>
  <c r="K5" i="79"/>
  <c r="K11" i="79"/>
  <c r="M14" i="79"/>
  <c r="M16" i="79"/>
  <c r="M5" i="79"/>
  <c r="M11" i="79"/>
  <c r="V15" i="76"/>
  <c r="G11" i="76"/>
  <c r="G14" i="79"/>
  <c r="G16" i="79"/>
  <c r="G5" i="79"/>
  <c r="G11" i="79"/>
  <c r="W8" i="79"/>
  <c r="W15" i="79"/>
  <c r="E92" i="63"/>
  <c r="D14" i="79"/>
  <c r="D16" i="79"/>
  <c r="D5" i="79"/>
  <c r="D11" i="79"/>
  <c r="W14" i="79"/>
  <c r="W5" i="79"/>
  <c r="S8" i="68"/>
  <c r="C18" i="48"/>
  <c r="L14" i="79"/>
  <c r="L16" i="79"/>
  <c r="L5" i="79"/>
  <c r="L11" i="79"/>
  <c r="C21" i="67"/>
  <c r="C20" i="67"/>
  <c r="C19" i="67"/>
  <c r="C31" i="67"/>
  <c r="C15" i="74"/>
  <c r="C6" i="67"/>
  <c r="C5" i="67"/>
  <c r="C16" i="67"/>
  <c r="C14" i="74"/>
  <c r="E14" i="79"/>
  <c r="E16" i="79"/>
  <c r="E5" i="79"/>
  <c r="E11" i="79"/>
  <c r="O5" i="79"/>
  <c r="O14" i="79"/>
  <c r="P9" i="68"/>
  <c r="O19" i="68"/>
  <c r="S14" i="79"/>
  <c r="S16" i="79"/>
  <c r="S5" i="79"/>
  <c r="S11" i="79"/>
  <c r="V14" i="79"/>
  <c r="V16" i="79"/>
  <c r="V5" i="79"/>
  <c r="V11" i="79"/>
  <c r="R5" i="79"/>
  <c r="R11" i="79"/>
  <c r="R14" i="79"/>
  <c r="R16" i="79"/>
  <c r="T15" i="79"/>
  <c r="T8" i="79"/>
  <c r="C24" i="63"/>
  <c r="C34" i="63"/>
  <c r="N92" i="63"/>
  <c r="C17" i="63"/>
  <c r="D16" i="63"/>
  <c r="S16" i="67"/>
  <c r="S14" i="74"/>
  <c r="G8" i="48"/>
  <c r="L7" i="68"/>
  <c r="L10" i="68"/>
  <c r="L12" i="68"/>
  <c r="L16" i="74"/>
  <c r="V16" i="62"/>
  <c r="V42" i="62"/>
  <c r="G15" i="62"/>
  <c r="G16" i="62"/>
  <c r="G42" i="62"/>
  <c r="Q7" i="64"/>
  <c r="Q6" i="64"/>
  <c r="Q9" i="64"/>
  <c r="Q11" i="74"/>
  <c r="K6" i="64"/>
  <c r="K9" i="64"/>
  <c r="K11" i="74"/>
  <c r="Q23" i="65"/>
  <c r="Q10" i="65"/>
  <c r="Q9" i="65"/>
  <c r="Q15" i="65"/>
  <c r="Q12" i="74"/>
  <c r="X91" i="63"/>
  <c r="E6" i="63"/>
  <c r="E22" i="63"/>
  <c r="Q18" i="68"/>
  <c r="Q22" i="68"/>
  <c r="L58" i="63"/>
  <c r="D24" i="63"/>
  <c r="D34" i="63"/>
  <c r="D7" i="63"/>
  <c r="E7" i="64"/>
  <c r="Y13" i="74"/>
  <c r="U19" i="68"/>
  <c r="U18" i="68"/>
  <c r="Q7" i="68"/>
  <c r="Q10" i="68"/>
  <c r="Q12" i="68"/>
  <c r="Q16" i="74"/>
  <c r="E15" i="62"/>
  <c r="E16" i="62"/>
  <c r="E42" i="62"/>
  <c r="S13" i="74"/>
  <c r="U7" i="68"/>
  <c r="Y6" i="63"/>
  <c r="S14" i="63"/>
  <c r="S31" i="63"/>
  <c r="S7" i="64"/>
  <c r="S6" i="64"/>
  <c r="S9" i="64"/>
  <c r="S11" i="74"/>
  <c r="U13" i="74"/>
  <c r="E39" i="63"/>
  <c r="E58" i="63"/>
  <c r="S12" i="74"/>
  <c r="Y16" i="67"/>
  <c r="Y14" i="74"/>
  <c r="L18" i="68"/>
  <c r="L22" i="68"/>
  <c r="I11" i="48"/>
  <c r="H36" i="48"/>
  <c r="X18" i="74"/>
  <c r="M13" i="63"/>
  <c r="M12" i="63"/>
  <c r="S22" i="63"/>
  <c r="L92" i="63"/>
  <c r="D6" i="64"/>
  <c r="D9" i="64"/>
  <c r="D11" i="74"/>
  <c r="K13" i="67"/>
  <c r="K28" i="67"/>
  <c r="K31" i="67"/>
  <c r="K15" i="74"/>
  <c r="D22" i="65"/>
  <c r="D26" i="65"/>
  <c r="Y7" i="64"/>
  <c r="X13" i="74"/>
  <c r="X6" i="64"/>
  <c r="X9" i="64"/>
  <c r="X11" i="74"/>
  <c r="X16" i="67"/>
  <c r="H7" i="48"/>
  <c r="D9" i="65"/>
  <c r="D15" i="65"/>
  <c r="D12" i="74"/>
  <c r="P9" i="65"/>
  <c r="P15" i="65"/>
  <c r="P12" i="74"/>
  <c r="F91" i="63"/>
  <c r="D7" i="68"/>
  <c r="D10" i="68"/>
  <c r="D12" i="68"/>
  <c r="D16" i="74"/>
  <c r="D20" i="68"/>
  <c r="D18" i="68"/>
  <c r="D22" i="68"/>
  <c r="C7" i="68"/>
  <c r="C10" i="68"/>
  <c r="C12" i="68"/>
  <c r="C16" i="74"/>
  <c r="C20" i="68"/>
  <c r="C18" i="68"/>
  <c r="C22" i="68"/>
  <c r="D16" i="67"/>
  <c r="D14" i="74"/>
  <c r="G36" i="48"/>
  <c r="P22" i="65"/>
  <c r="P26" i="65"/>
  <c r="T16" i="67"/>
  <c r="D7" i="48"/>
  <c r="K17" i="63"/>
  <c r="K16" i="63"/>
  <c r="K24" i="63"/>
  <c r="K7" i="63"/>
  <c r="D61" i="63"/>
  <c r="D88" i="63"/>
  <c r="M24" i="63"/>
  <c r="M34" i="63"/>
  <c r="M17" i="63"/>
  <c r="M16" i="63"/>
  <c r="V20" i="68"/>
  <c r="Y20" i="68"/>
  <c r="Y18" i="68"/>
  <c r="Y22" i="68"/>
  <c r="Y7" i="68"/>
  <c r="Y10" i="68"/>
  <c r="Y12" i="68"/>
  <c r="N24" i="63"/>
  <c r="N7" i="63"/>
  <c r="N17" i="63"/>
  <c r="M7" i="63"/>
  <c r="M9" i="63"/>
  <c r="M9" i="74"/>
  <c r="D39" i="62"/>
  <c r="D43" i="62"/>
  <c r="D8" i="74"/>
  <c r="L7" i="63"/>
  <c r="L24" i="63"/>
  <c r="R6" i="64"/>
  <c r="R9" i="64"/>
  <c r="R11" i="74"/>
  <c r="D5" i="63"/>
  <c r="D21" i="63"/>
  <c r="D14" i="63"/>
  <c r="D13" i="63"/>
  <c r="M21" i="63"/>
  <c r="T30" i="63"/>
  <c r="T12" i="63"/>
  <c r="T29" i="63"/>
  <c r="Y8" i="64"/>
  <c r="T6" i="64"/>
  <c r="T9" i="64"/>
  <c r="T11" i="74"/>
  <c r="M11" i="65"/>
  <c r="M9" i="65"/>
  <c r="M15" i="65"/>
  <c r="M12" i="74"/>
  <c r="M22" i="65"/>
  <c r="M26" i="65"/>
  <c r="G91" i="63"/>
  <c r="K10" i="65"/>
  <c r="K9" i="65"/>
  <c r="K15" i="65"/>
  <c r="K12" i="74"/>
  <c r="K22" i="65"/>
  <c r="K26" i="65"/>
  <c r="M6" i="64"/>
  <c r="M9" i="64"/>
  <c r="M11" i="74"/>
  <c r="K22" i="63"/>
  <c r="K5" i="63"/>
  <c r="K14" i="63"/>
  <c r="T12" i="74"/>
  <c r="T22" i="65"/>
  <c r="T26" i="65"/>
  <c r="P22" i="63"/>
  <c r="P5" i="63"/>
  <c r="P21" i="63"/>
  <c r="P14" i="63"/>
  <c r="Q22" i="63"/>
  <c r="Q5" i="63"/>
  <c r="Q21" i="63"/>
  <c r="Q14" i="63"/>
  <c r="U14" i="74"/>
  <c r="E7" i="48"/>
  <c r="O11" i="65"/>
  <c r="C5" i="63"/>
  <c r="C22" i="63"/>
  <c r="F7" i="48"/>
  <c r="V14" i="74"/>
  <c r="C10" i="65"/>
  <c r="C9" i="65"/>
  <c r="C15" i="65"/>
  <c r="C12" i="74"/>
  <c r="C22" i="65"/>
  <c r="C26" i="65"/>
  <c r="Y16" i="78"/>
  <c r="E24" i="63"/>
  <c r="E17" i="63"/>
  <c r="E7" i="63"/>
  <c r="R14" i="63"/>
  <c r="R22" i="63"/>
  <c r="R5" i="63"/>
  <c r="R21" i="63"/>
  <c r="R10" i="65"/>
  <c r="R9" i="65"/>
  <c r="R15" i="65"/>
  <c r="R12" i="74"/>
  <c r="R22" i="65"/>
  <c r="R26" i="65"/>
  <c r="E10" i="65"/>
  <c r="E9" i="65"/>
  <c r="E15" i="65"/>
  <c r="E12" i="74"/>
  <c r="E22" i="65"/>
  <c r="E26" i="65"/>
  <c r="X12" i="74"/>
  <c r="X22" i="65"/>
  <c r="X26" i="65"/>
  <c r="W14" i="74"/>
  <c r="G7" i="48"/>
  <c r="X5" i="63"/>
  <c r="X21" i="63"/>
  <c r="X22" i="63"/>
  <c r="X14" i="63"/>
  <c r="S18" i="74"/>
  <c r="C36" i="48"/>
  <c r="X9" i="68"/>
  <c r="N22" i="65"/>
  <c r="N26" i="65"/>
  <c r="L91" i="63"/>
  <c r="U18" i="74"/>
  <c r="L22" i="63"/>
  <c r="C7" i="48"/>
  <c r="C16" i="63"/>
  <c r="L5" i="63"/>
  <c r="L21" i="63"/>
  <c r="L22" i="65"/>
  <c r="L26" i="65"/>
  <c r="E6" i="64"/>
  <c r="E9" i="64"/>
  <c r="E11" i="74"/>
  <c r="C23" i="63"/>
  <c r="C33" i="63"/>
  <c r="K20" i="68"/>
  <c r="K18" i="68"/>
  <c r="K22" i="68"/>
  <c r="N8" i="68"/>
  <c r="E15" i="76"/>
  <c r="E8" i="68"/>
  <c r="W11" i="79"/>
  <c r="N14" i="63"/>
  <c r="N5" i="63"/>
  <c r="N21" i="63"/>
  <c r="N22" i="63"/>
  <c r="R8" i="68"/>
  <c r="F15" i="76"/>
  <c r="F8" i="68"/>
  <c r="Y11" i="79"/>
  <c r="W16" i="79"/>
  <c r="Y16" i="79"/>
  <c r="T11" i="79"/>
  <c r="T9" i="68"/>
  <c r="S19" i="68"/>
  <c r="T16" i="79"/>
  <c r="P20" i="68"/>
  <c r="P18" i="68"/>
  <c r="P22" i="68"/>
  <c r="P7" i="68"/>
  <c r="P10" i="68"/>
  <c r="P12" i="68"/>
  <c r="P16" i="74"/>
  <c r="G15" i="76"/>
  <c r="G8" i="68"/>
  <c r="V8" i="68"/>
  <c r="F18" i="48"/>
  <c r="Q22" i="65"/>
  <c r="Q26" i="65"/>
  <c r="E14" i="63"/>
  <c r="E13" i="63"/>
  <c r="E5" i="63"/>
  <c r="E21" i="63"/>
  <c r="Y14" i="63"/>
  <c r="Y31" i="63"/>
  <c r="Y5" i="63"/>
  <c r="Y21" i="63"/>
  <c r="D23" i="63"/>
  <c r="D33" i="63"/>
  <c r="Y22" i="63"/>
  <c r="S13" i="63"/>
  <c r="M30" i="63"/>
  <c r="I7" i="48"/>
  <c r="S22" i="65"/>
  <c r="S26" i="65"/>
  <c r="Y6" i="64"/>
  <c r="K16" i="67"/>
  <c r="K14" i="74"/>
  <c r="T14" i="74"/>
  <c r="X14" i="74"/>
  <c r="D78" i="63"/>
  <c r="D81" i="63"/>
  <c r="D84" i="63"/>
  <c r="K34" i="63"/>
  <c r="K23" i="63"/>
  <c r="K33" i="63"/>
  <c r="N16" i="63"/>
  <c r="L16" i="63"/>
  <c r="X7" i="68"/>
  <c r="X10" i="68"/>
  <c r="X12" i="68"/>
  <c r="X16" i="74"/>
  <c r="X20" i="68"/>
  <c r="X18" i="68"/>
  <c r="X22" i="68"/>
  <c r="I34" i="48"/>
  <c r="Y16" i="74"/>
  <c r="N34" i="63"/>
  <c r="N23" i="63"/>
  <c r="L34" i="63"/>
  <c r="L23" i="63"/>
  <c r="L33" i="63"/>
  <c r="M23" i="63"/>
  <c r="D31" i="63"/>
  <c r="L31" i="63"/>
  <c r="L13" i="63"/>
  <c r="D9" i="63"/>
  <c r="D9" i="74"/>
  <c r="Y22" i="65"/>
  <c r="Y5" i="64"/>
  <c r="K31" i="63"/>
  <c r="K13" i="63"/>
  <c r="K21" i="63"/>
  <c r="K9" i="63"/>
  <c r="K9" i="74"/>
  <c r="P13" i="63"/>
  <c r="P31" i="63"/>
  <c r="M29" i="63"/>
  <c r="M18" i="63"/>
  <c r="M10" i="74"/>
  <c r="D30" i="63"/>
  <c r="D12" i="63"/>
  <c r="D29" i="63"/>
  <c r="Q31" i="63"/>
  <c r="Q13" i="63"/>
  <c r="E34" i="63"/>
  <c r="E23" i="63"/>
  <c r="E33" i="63"/>
  <c r="R13" i="63"/>
  <c r="R31" i="63"/>
  <c r="I36" i="48"/>
  <c r="Y18" i="74"/>
  <c r="C21" i="63"/>
  <c r="C9" i="63"/>
  <c r="C9" i="74"/>
  <c r="C13" i="63"/>
  <c r="C31" i="63"/>
  <c r="E16" i="63"/>
  <c r="X31" i="63"/>
  <c r="X13" i="63"/>
  <c r="L9" i="63"/>
  <c r="L9" i="74"/>
  <c r="C26" i="63"/>
  <c r="N7" i="68"/>
  <c r="N10" i="68"/>
  <c r="N12" i="68"/>
  <c r="N16" i="74"/>
  <c r="O9" i="68"/>
  <c r="N19" i="68"/>
  <c r="N18" i="68"/>
  <c r="N22" i="68"/>
  <c r="N9" i="63"/>
  <c r="N9" i="74"/>
  <c r="E19" i="68"/>
  <c r="E18" i="68"/>
  <c r="E22" i="68"/>
  <c r="E7" i="68"/>
  <c r="E10" i="68"/>
  <c r="E12" i="68"/>
  <c r="E16" i="74"/>
  <c r="F9" i="68"/>
  <c r="F20" i="68"/>
  <c r="F19" i="68"/>
  <c r="G9" i="68"/>
  <c r="G20" i="68"/>
  <c r="S9" i="68"/>
  <c r="R19" i="68"/>
  <c r="R18" i="68"/>
  <c r="R22" i="68"/>
  <c r="R7" i="68"/>
  <c r="R10" i="68"/>
  <c r="R12" i="68"/>
  <c r="R16" i="74"/>
  <c r="N13" i="63"/>
  <c r="N31" i="63"/>
  <c r="V19" i="68"/>
  <c r="V18" i="68"/>
  <c r="W9" i="68"/>
  <c r="V7" i="68"/>
  <c r="H9" i="68"/>
  <c r="H20" i="68"/>
  <c r="G19" i="68"/>
  <c r="T20" i="68"/>
  <c r="T18" i="68"/>
  <c r="T22" i="68"/>
  <c r="T7" i="68"/>
  <c r="T10" i="68"/>
  <c r="T12" i="68"/>
  <c r="E31" i="63"/>
  <c r="E9" i="63"/>
  <c r="E9" i="74"/>
  <c r="Y13" i="63"/>
  <c r="Y30" i="63"/>
  <c r="D36" i="63"/>
  <c r="D26" i="63"/>
  <c r="S12" i="63"/>
  <c r="S29" i="63"/>
  <c r="S30" i="63"/>
  <c r="H34" i="48"/>
  <c r="K26" i="63"/>
  <c r="N33" i="63"/>
  <c r="N26" i="63"/>
  <c r="E26" i="63"/>
  <c r="L26" i="63"/>
  <c r="M33" i="63"/>
  <c r="M36" i="63"/>
  <c r="M26" i="63"/>
  <c r="D18" i="63"/>
  <c r="D10" i="74"/>
  <c r="L30" i="63"/>
  <c r="L12" i="63"/>
  <c r="Y9" i="64"/>
  <c r="Y11" i="74"/>
  <c r="Y26" i="65"/>
  <c r="P30" i="63"/>
  <c r="P12" i="63"/>
  <c r="P29" i="63"/>
  <c r="K12" i="63"/>
  <c r="K30" i="63"/>
  <c r="Q30" i="63"/>
  <c r="Q12" i="63"/>
  <c r="Q29" i="63"/>
  <c r="R12" i="63"/>
  <c r="R29" i="63"/>
  <c r="R30" i="63"/>
  <c r="C30" i="63"/>
  <c r="C12" i="63"/>
  <c r="E12" i="63"/>
  <c r="E30" i="63"/>
  <c r="X12" i="63"/>
  <c r="X29" i="63"/>
  <c r="X30" i="63"/>
  <c r="F7" i="68"/>
  <c r="F10" i="68"/>
  <c r="F12" i="68"/>
  <c r="F16" i="74"/>
  <c r="F18" i="68"/>
  <c r="F22" i="68"/>
  <c r="O20" i="68"/>
  <c r="O18" i="68"/>
  <c r="O22" i="68"/>
  <c r="O7" i="68"/>
  <c r="O10" i="68"/>
  <c r="O12" i="68"/>
  <c r="O16" i="74"/>
  <c r="N12" i="63"/>
  <c r="N30" i="63"/>
  <c r="S20" i="68"/>
  <c r="S18" i="68"/>
  <c r="S22" i="68"/>
  <c r="S7" i="68"/>
  <c r="S10" i="68"/>
  <c r="S12" i="68"/>
  <c r="G18" i="68"/>
  <c r="G22" i="68"/>
  <c r="G7" i="68"/>
  <c r="G10" i="68"/>
  <c r="G12" i="68"/>
  <c r="G16" i="74"/>
  <c r="T16" i="74"/>
  <c r="D34" i="48"/>
  <c r="W20" i="68"/>
  <c r="W18" i="68"/>
  <c r="W7" i="68"/>
  <c r="Y12" i="63"/>
  <c r="L18" i="63"/>
  <c r="L10" i="74"/>
  <c r="L29" i="63"/>
  <c r="L36" i="63"/>
  <c r="K29" i="63"/>
  <c r="K36" i="63"/>
  <c r="K18" i="63"/>
  <c r="K10" i="74"/>
  <c r="C18" i="63"/>
  <c r="C10" i="74"/>
  <c r="C29" i="63"/>
  <c r="C36" i="63"/>
  <c r="E18" i="63"/>
  <c r="E10" i="74"/>
  <c r="E29" i="63"/>
  <c r="E36" i="63"/>
  <c r="N29" i="63"/>
  <c r="N36" i="63"/>
  <c r="N18" i="63"/>
  <c r="N10" i="74"/>
  <c r="C34" i="48"/>
  <c r="S16" i="74"/>
  <c r="Y29" i="63"/>
  <c r="Y12" i="74"/>
  <c r="AB45" i="63"/>
  <c r="M37" i="52"/>
  <c r="M43" i="52"/>
  <c r="H14" i="20"/>
  <c r="AA5" i="59"/>
  <c r="AA73" i="63"/>
  <c r="AA9" i="59"/>
  <c r="AA75" i="63"/>
  <c r="H34" i="20"/>
  <c r="H35" i="20"/>
  <c r="H36" i="20"/>
  <c r="H15" i="20"/>
  <c r="AA74" i="63"/>
  <c r="H37" i="20"/>
  <c r="H80" i="63"/>
  <c r="H11" i="20"/>
  <c r="H12" i="20"/>
  <c r="H13" i="20"/>
  <c r="H16" i="20"/>
  <c r="H20" i="20"/>
  <c r="H23" i="20"/>
  <c r="H25" i="20"/>
  <c r="H26" i="20"/>
  <c r="H27" i="20"/>
  <c r="H28" i="20"/>
  <c r="K12" i="48"/>
  <c r="H5" i="60"/>
  <c r="H24" i="58"/>
  <c r="H21" i="58"/>
  <c r="H32" i="63"/>
  <c r="H25" i="58"/>
  <c r="H8" i="76"/>
  <c r="L37" i="52"/>
  <c r="L43" i="52"/>
  <c r="H17" i="20"/>
  <c r="H21" i="20"/>
  <c r="H9" i="62"/>
  <c r="H25" i="65"/>
  <c r="H13" i="65"/>
  <c r="H12" i="65"/>
  <c r="H22" i="20"/>
  <c r="H10" i="76"/>
  <c r="H20" i="58"/>
  <c r="H21" i="65"/>
  <c r="H8" i="65"/>
  <c r="H24" i="20"/>
  <c r="H14" i="76"/>
  <c r="H7" i="76"/>
  <c r="H10" i="20"/>
  <c r="H7" i="62"/>
  <c r="H14" i="60"/>
  <c r="H20" i="65"/>
  <c r="H7" i="65"/>
  <c r="H11" i="61"/>
  <c r="L25" i="52"/>
  <c r="H33" i="20"/>
  <c r="H10" i="67"/>
  <c r="I19" i="48"/>
  <c r="K42" i="52"/>
  <c r="K41" i="52"/>
  <c r="H22" i="58"/>
  <c r="Z11" i="61"/>
  <c r="L22" i="52"/>
  <c r="H13" i="76"/>
  <c r="H9" i="76"/>
  <c r="H6" i="76"/>
  <c r="H13" i="58"/>
  <c r="H9" i="67"/>
  <c r="H11" i="67"/>
  <c r="H25" i="67"/>
  <c r="AA15" i="78"/>
  <c r="K13" i="48"/>
  <c r="AA9" i="79"/>
  <c r="AA26" i="18"/>
  <c r="U6" i="70"/>
  <c r="AA11" i="67"/>
  <c r="AA25" i="67"/>
  <c r="K14" i="48"/>
  <c r="AA13" i="78"/>
  <c r="AA12" i="78"/>
  <c r="AA6" i="78"/>
  <c r="AA5" i="78"/>
  <c r="AA67" i="63"/>
  <c r="M25" i="52"/>
  <c r="AA12" i="61"/>
  <c r="AA6" i="79"/>
  <c r="AA41" i="63"/>
  <c r="AA7" i="65"/>
  <c r="AA6" i="59"/>
  <c r="AA7" i="59"/>
  <c r="AA10" i="67"/>
  <c r="AA44" i="63"/>
  <c r="AA8" i="65"/>
  <c r="AA8" i="67"/>
  <c r="AA57" i="63"/>
  <c r="M11" i="52"/>
  <c r="AA5" i="68"/>
  <c r="AA15" i="68"/>
  <c r="AA13" i="59"/>
  <c r="AA76" i="63"/>
  <c r="AA49" i="63"/>
  <c r="AA32" i="63"/>
  <c r="K19" i="48"/>
  <c r="AA8" i="78"/>
  <c r="M42" i="52"/>
  <c r="AA48" i="63"/>
  <c r="AA47" i="63"/>
  <c r="AA63" i="63"/>
  <c r="AA62" i="63"/>
  <c r="AA72" i="63"/>
  <c r="AA12" i="67"/>
  <c r="AA26" i="67"/>
  <c r="AA46" i="63"/>
  <c r="AA87" i="63"/>
  <c r="AB47" i="63"/>
  <c r="AB79" i="63"/>
  <c r="AB31" i="62"/>
  <c r="AB41" i="63"/>
  <c r="N37" i="52"/>
  <c r="V6" i="70"/>
  <c r="AB53" i="63"/>
  <c r="AB44" i="63"/>
  <c r="N42" i="52"/>
  <c r="L19" i="48"/>
  <c r="AB12" i="61"/>
  <c r="N25" i="52"/>
  <c r="AB6" i="79"/>
  <c r="AB49" i="63"/>
  <c r="AB12" i="67"/>
  <c r="V5" i="69"/>
  <c r="AB13" i="78"/>
  <c r="AB6" i="78"/>
  <c r="L14" i="48"/>
  <c r="AB48" i="63"/>
  <c r="AB11" i="67"/>
  <c r="AB50" i="63"/>
  <c r="AB56" i="63"/>
  <c r="AB46" i="63"/>
  <c r="V42" i="63"/>
  <c r="X45" i="63"/>
  <c r="AB55" i="63"/>
  <c r="X42" i="63"/>
  <c r="AA45" i="63"/>
  <c r="P42" i="63"/>
  <c r="Q42" i="63"/>
  <c r="U45" i="63"/>
  <c r="R42" i="63"/>
  <c r="P45" i="63"/>
  <c r="U42" i="63"/>
  <c r="Q45" i="63"/>
  <c r="R9" i="70"/>
  <c r="R10" i="70"/>
  <c r="R6" i="70"/>
  <c r="AA42" i="63"/>
  <c r="Y42" i="63"/>
  <c r="AB35" i="63"/>
  <c r="R45" i="63"/>
  <c r="T45" i="63"/>
  <c r="Y45" i="63"/>
  <c r="V45" i="63"/>
  <c r="T42" i="63"/>
  <c r="AB42" i="63"/>
  <c r="L10" i="52"/>
  <c r="F18" i="59"/>
  <c r="G28" i="58"/>
  <c r="H6" i="66"/>
  <c r="H5" i="66"/>
  <c r="H13" i="66"/>
  <c r="H13" i="74"/>
  <c r="H10" i="58"/>
  <c r="H47" i="63"/>
  <c r="H7" i="78"/>
  <c r="AA7" i="78"/>
  <c r="AA9" i="78"/>
  <c r="L42" i="52"/>
  <c r="H19" i="65"/>
  <c r="H6" i="61"/>
  <c r="H6" i="58"/>
  <c r="H5" i="76"/>
  <c r="L21" i="52"/>
  <c r="L17" i="52"/>
  <c r="H12" i="61"/>
  <c r="H6" i="79"/>
  <c r="H29" i="58"/>
  <c r="H23" i="58"/>
  <c r="H6" i="62"/>
  <c r="H7" i="58"/>
  <c r="H41" i="63"/>
  <c r="H7" i="59"/>
  <c r="H29" i="20"/>
  <c r="H19" i="60"/>
  <c r="H19" i="58"/>
  <c r="Y7" i="78"/>
  <c r="Y9" i="78"/>
  <c r="H8" i="58"/>
  <c r="H44" i="63"/>
  <c r="L20" i="52"/>
  <c r="H5" i="61"/>
  <c r="H38" i="62"/>
  <c r="H37" i="62"/>
  <c r="H14" i="78"/>
  <c r="H12" i="67"/>
  <c r="H26" i="67"/>
  <c r="H9" i="58"/>
  <c r="H46" i="63"/>
  <c r="H87" i="63"/>
  <c r="H11" i="58"/>
  <c r="H48" i="63"/>
  <c r="H18" i="58"/>
  <c r="H8" i="67"/>
  <c r="H12" i="58"/>
  <c r="H49" i="63"/>
  <c r="H12" i="76"/>
  <c r="H11" i="76"/>
  <c r="L14" i="52"/>
  <c r="H57" i="63"/>
  <c r="AA71" i="63"/>
  <c r="M20" i="52"/>
  <c r="AA9" i="67"/>
  <c r="M14" i="52"/>
  <c r="AA56" i="63"/>
  <c r="M21" i="52"/>
  <c r="AA90" i="63"/>
  <c r="M17" i="52"/>
  <c r="AA5" i="61"/>
  <c r="AA38" i="62"/>
  <c r="AA37" i="62"/>
  <c r="AA50" i="63"/>
  <c r="U9" i="70"/>
  <c r="U10" i="70"/>
  <c r="AA6" i="66"/>
  <c r="AA5" i="66"/>
  <c r="AA13" i="66"/>
  <c r="AA53" i="63"/>
  <c r="AA6" i="61"/>
  <c r="V9" i="70"/>
  <c r="V10" i="70"/>
  <c r="AA79" i="63"/>
  <c r="M10" i="52"/>
  <c r="M12" i="52"/>
  <c r="AA14" i="79"/>
  <c r="AA5" i="79"/>
  <c r="AA17" i="62"/>
  <c r="AA20" i="67"/>
  <c r="AA19" i="67"/>
  <c r="AA31" i="67"/>
  <c r="AA15" i="74"/>
  <c r="AA15" i="79"/>
  <c r="AA8" i="79"/>
  <c r="AB43" i="63"/>
  <c r="AB12" i="78"/>
  <c r="AB90" i="63"/>
  <c r="AB9" i="67"/>
  <c r="AB15" i="68"/>
  <c r="AB25" i="67"/>
  <c r="N11" i="52"/>
  <c r="L24" i="48"/>
  <c r="N21" i="52"/>
  <c r="AB7" i="78"/>
  <c r="AB8" i="67"/>
  <c r="AB30" i="62"/>
  <c r="N10" i="52"/>
  <c r="N14" i="52"/>
  <c r="AB14" i="79"/>
  <c r="AB5" i="79"/>
  <c r="R42" i="52"/>
  <c r="T42" i="52"/>
  <c r="N43" i="52"/>
  <c r="R37" i="52"/>
  <c r="T37" i="52"/>
  <c r="AB47" i="62"/>
  <c r="R25" i="52"/>
  <c r="T25" i="52"/>
  <c r="AB5" i="68"/>
  <c r="AB57" i="63"/>
  <c r="AB6" i="66"/>
  <c r="AB87" i="63"/>
  <c r="AB26" i="67"/>
  <c r="AB32" i="63"/>
  <c r="AB6" i="61"/>
  <c r="AB7" i="59"/>
  <c r="AB5" i="78"/>
  <c r="AB38" i="62"/>
  <c r="AB5" i="61"/>
  <c r="N17" i="52"/>
  <c r="N20" i="52"/>
  <c r="AB54" i="63"/>
  <c r="AB52" i="63"/>
  <c r="AB40" i="63"/>
  <c r="T33" i="62"/>
  <c r="T34" i="62"/>
  <c r="W66" i="63"/>
  <c r="W12" i="62"/>
  <c r="W27" i="62"/>
  <c r="X25" i="63"/>
  <c r="X35" i="63"/>
  <c r="X18" i="59"/>
  <c r="U43" i="63"/>
  <c r="U86" i="63"/>
  <c r="U55" i="63"/>
  <c r="W42" i="63"/>
  <c r="H26" i="58"/>
  <c r="H42" i="63"/>
  <c r="R66" i="63"/>
  <c r="F11" i="62"/>
  <c r="F66" i="63"/>
  <c r="R12" i="62"/>
  <c r="R26" i="62"/>
  <c r="R6" i="74"/>
  <c r="R18" i="59"/>
  <c r="R25" i="63"/>
  <c r="R35" i="63"/>
  <c r="X55" i="63"/>
  <c r="X43" i="63"/>
  <c r="X86" i="63"/>
  <c r="S33" i="62"/>
  <c r="S34" i="62"/>
  <c r="Y26" i="62"/>
  <c r="P33" i="62"/>
  <c r="P34" i="62"/>
  <c r="P7" i="74"/>
  <c r="Q12" i="62"/>
  <c r="Q22" i="62"/>
  <c r="Q66" i="63"/>
  <c r="G18" i="59"/>
  <c r="G25" i="63"/>
  <c r="G35" i="63"/>
  <c r="U33" i="62"/>
  <c r="U34" i="62"/>
  <c r="T12" i="62"/>
  <c r="T22" i="62"/>
  <c r="T66" i="63"/>
  <c r="Q33" i="62"/>
  <c r="Q34" i="62"/>
  <c r="Q7" i="74"/>
  <c r="O42" i="63"/>
  <c r="F26" i="58"/>
  <c r="F42" i="63"/>
  <c r="Y33" i="62"/>
  <c r="Y34" i="62"/>
  <c r="V54" i="63"/>
  <c r="V40" i="63"/>
  <c r="T40" i="63"/>
  <c r="T54" i="63"/>
  <c r="U18" i="59"/>
  <c r="U25" i="63"/>
  <c r="U35" i="63"/>
  <c r="O66" i="63"/>
  <c r="O12" i="62"/>
  <c r="O26" i="62"/>
  <c r="O6" i="74"/>
  <c r="K33" i="62"/>
  <c r="K34" i="62"/>
  <c r="K7" i="74"/>
  <c r="AA40" i="63"/>
  <c r="AA54" i="63"/>
  <c r="N12" i="62"/>
  <c r="N21" i="62"/>
  <c r="N5" i="74"/>
  <c r="N66" i="63"/>
  <c r="E11" i="62"/>
  <c r="E66" i="63"/>
  <c r="R40" i="63"/>
  <c r="R54" i="63"/>
  <c r="S18" i="59"/>
  <c r="S25" i="63"/>
  <c r="S35" i="63"/>
  <c r="V33" i="62"/>
  <c r="G25" i="62"/>
  <c r="AA66" i="63"/>
  <c r="AB89" i="63"/>
  <c r="R43" i="63"/>
  <c r="R86" i="63"/>
  <c r="R55" i="63"/>
  <c r="Y54" i="63"/>
  <c r="Y40" i="63"/>
  <c r="Q25" i="63"/>
  <c r="Q35" i="63"/>
  <c r="Q18" i="59"/>
  <c r="O45" i="63"/>
  <c r="F27" i="58"/>
  <c r="F45" i="63"/>
  <c r="P40" i="63"/>
  <c r="P54" i="63"/>
  <c r="AA25" i="63"/>
  <c r="AA35" i="63"/>
  <c r="AA18" i="59"/>
  <c r="X12" i="62"/>
  <c r="X66" i="63"/>
  <c r="H25" i="62"/>
  <c r="P66" i="63"/>
  <c r="P12" i="62"/>
  <c r="P26" i="62"/>
  <c r="P6" i="74"/>
  <c r="G20" i="62"/>
  <c r="Q43" i="63"/>
  <c r="Q86" i="63"/>
  <c r="Q55" i="63"/>
  <c r="U40" i="63"/>
  <c r="U54" i="63"/>
  <c r="X33" i="62"/>
  <c r="X34" i="62"/>
  <c r="U66" i="63"/>
  <c r="U12" i="62"/>
  <c r="U26" i="62"/>
  <c r="H28" i="58"/>
  <c r="AA55" i="63"/>
  <c r="AA43" i="63"/>
  <c r="O33" i="62"/>
  <c r="O34" i="62"/>
  <c r="O7" i="74"/>
  <c r="H20" i="62"/>
  <c r="W33" i="62"/>
  <c r="W34" i="62"/>
  <c r="F20" i="62"/>
  <c r="Y55" i="63"/>
  <c r="Y43" i="63"/>
  <c r="Y86" i="63"/>
  <c r="N33" i="62"/>
  <c r="E25" i="62"/>
  <c r="M33" i="62"/>
  <c r="M34" i="62"/>
  <c r="K66" i="63"/>
  <c r="K12" i="62"/>
  <c r="K22" i="62"/>
  <c r="H27" i="58"/>
  <c r="H45" i="63"/>
  <c r="W45" i="63"/>
  <c r="G11" i="62"/>
  <c r="G66" i="63"/>
  <c r="V66" i="63"/>
  <c r="V12" i="62"/>
  <c r="V26" i="62"/>
  <c r="P25" i="63"/>
  <c r="P35" i="63"/>
  <c r="P18" i="59"/>
  <c r="Q54" i="63"/>
  <c r="Q40" i="63"/>
  <c r="O25" i="63"/>
  <c r="O35" i="63"/>
  <c r="O18" i="59"/>
  <c r="S42" i="63"/>
  <c r="G26" i="58"/>
  <c r="G42" i="63"/>
  <c r="S6" i="70"/>
  <c r="S9" i="70"/>
  <c r="S45" i="63"/>
  <c r="G27" i="58"/>
  <c r="G45" i="63"/>
  <c r="E20" i="62"/>
  <c r="V43" i="63"/>
  <c r="V86" i="63"/>
  <c r="V55" i="63"/>
  <c r="L33" i="62"/>
  <c r="L34" i="62"/>
  <c r="L12" i="62"/>
  <c r="L27" i="62"/>
  <c r="L66" i="63"/>
  <c r="T43" i="63"/>
  <c r="T86" i="63"/>
  <c r="T55" i="63"/>
  <c r="M66" i="63"/>
  <c r="M12" i="62"/>
  <c r="M41" i="62"/>
  <c r="M40" i="62"/>
  <c r="AB33" i="62"/>
  <c r="S66" i="63"/>
  <c r="S12" i="62"/>
  <c r="S27" i="62"/>
  <c r="P55" i="63"/>
  <c r="P43" i="63"/>
  <c r="P86" i="63"/>
  <c r="R33" i="62"/>
  <c r="F25" i="62"/>
  <c r="T18" i="59"/>
  <c r="T25" i="63"/>
  <c r="T35" i="63"/>
  <c r="X40" i="63"/>
  <c r="X54" i="63"/>
  <c r="V25" i="63"/>
  <c r="V35" i="63"/>
  <c r="V18" i="59"/>
  <c r="K17" i="48"/>
  <c r="AA47" i="62"/>
  <c r="F25" i="63"/>
  <c r="F35" i="63"/>
  <c r="AB34" i="62"/>
  <c r="L29" i="48"/>
  <c r="AA86" i="63"/>
  <c r="AA7" i="74"/>
  <c r="AA22" i="62"/>
  <c r="H90" i="63"/>
  <c r="N22" i="62"/>
  <c r="X52" i="63"/>
  <c r="X51" i="63"/>
  <c r="X92" i="63"/>
  <c r="R27" i="62"/>
  <c r="M15" i="52"/>
  <c r="M18" i="52"/>
  <c r="M23" i="52"/>
  <c r="M26" i="52"/>
  <c r="H13" i="61"/>
  <c r="H8" i="64"/>
  <c r="H5" i="64"/>
  <c r="H24" i="65"/>
  <c r="H11" i="65"/>
  <c r="H5" i="62"/>
  <c r="H37" i="58"/>
  <c r="H56" i="63"/>
  <c r="H5" i="58"/>
  <c r="AA14" i="78"/>
  <c r="AA16" i="78"/>
  <c r="H13" i="78"/>
  <c r="H12" i="78"/>
  <c r="H16" i="78"/>
  <c r="H18" i="74"/>
  <c r="H6" i="78"/>
  <c r="H5" i="78"/>
  <c r="H9" i="78"/>
  <c r="H41" i="20"/>
  <c r="H14" i="79"/>
  <c r="H5" i="79"/>
  <c r="H79" i="63"/>
  <c r="H31" i="62"/>
  <c r="H30" i="62"/>
  <c r="H53" i="63"/>
  <c r="H36" i="58"/>
  <c r="H35" i="58"/>
  <c r="H50" i="63"/>
  <c r="H6" i="65"/>
  <c r="H18" i="65"/>
  <c r="H5" i="65"/>
  <c r="R21" i="62"/>
  <c r="R5" i="74"/>
  <c r="R22" i="62"/>
  <c r="Y22" i="62"/>
  <c r="AA11" i="79"/>
  <c r="Y21" i="62"/>
  <c r="AA13" i="74"/>
  <c r="K8" i="48"/>
  <c r="AA13" i="61"/>
  <c r="AA7" i="67"/>
  <c r="AA6" i="67"/>
  <c r="AA8" i="68"/>
  <c r="M40" i="52"/>
  <c r="M41" i="52"/>
  <c r="K18" i="48"/>
  <c r="AA8" i="64"/>
  <c r="AA5" i="64"/>
  <c r="AA70" i="63"/>
  <c r="AA16" i="62"/>
  <c r="AA42" i="62"/>
  <c r="AA6" i="65"/>
  <c r="AA16" i="79"/>
  <c r="W26" i="62"/>
  <c r="G27" i="48"/>
  <c r="AB51" i="63"/>
  <c r="O27" i="62"/>
  <c r="Q21" i="62"/>
  <c r="Q5" i="74"/>
  <c r="Y89" i="63"/>
  <c r="T21" i="62"/>
  <c r="T5" i="74"/>
  <c r="W89" i="63"/>
  <c r="W21" i="62"/>
  <c r="G28" i="48"/>
  <c r="Q26" i="62"/>
  <c r="Q6" i="74"/>
  <c r="U21" i="62"/>
  <c r="U5" i="74"/>
  <c r="R89" i="63"/>
  <c r="T14" i="52"/>
  <c r="R14" i="52"/>
  <c r="E13" i="52"/>
  <c r="D13" i="52"/>
  <c r="O14" i="52"/>
  <c r="T11" i="52"/>
  <c r="R11" i="52"/>
  <c r="L26" i="62"/>
  <c r="L6" i="74"/>
  <c r="AB86" i="63"/>
  <c r="AB7" i="65"/>
  <c r="T20" i="52"/>
  <c r="R20" i="52"/>
  <c r="AB8" i="65"/>
  <c r="N27" i="62"/>
  <c r="AB7" i="67"/>
  <c r="AB13" i="61"/>
  <c r="L17" i="48"/>
  <c r="R43" i="52"/>
  <c r="T43" i="52"/>
  <c r="AB9" i="78"/>
  <c r="T17" i="52"/>
  <c r="R17" i="52"/>
  <c r="AB6" i="65"/>
  <c r="N40" i="52"/>
  <c r="L18" i="48"/>
  <c r="N12" i="52"/>
  <c r="R10" i="52"/>
  <c r="T10" i="52"/>
  <c r="T21" i="52"/>
  <c r="R21" i="52"/>
  <c r="AB20" i="67"/>
  <c r="Y27" i="62"/>
  <c r="AB14" i="78"/>
  <c r="AB16" i="78"/>
  <c r="AB8" i="64"/>
  <c r="AB37" i="62"/>
  <c r="AB5" i="66"/>
  <c r="AB10" i="67"/>
  <c r="M27" i="62"/>
  <c r="Q89" i="63"/>
  <c r="Y52" i="63"/>
  <c r="Y51" i="63"/>
  <c r="Y92" i="63"/>
  <c r="R52" i="63"/>
  <c r="R51" i="63"/>
  <c r="R92" i="63"/>
  <c r="U6" i="74"/>
  <c r="E27" i="48"/>
  <c r="V6" i="74"/>
  <c r="F27" i="48"/>
  <c r="H33" i="62"/>
  <c r="F55" i="63"/>
  <c r="F43" i="63"/>
  <c r="F86" i="63"/>
  <c r="G33" i="62"/>
  <c r="V34" i="62"/>
  <c r="R39" i="63"/>
  <c r="R85" i="63"/>
  <c r="AA85" i="63"/>
  <c r="AA39" i="63"/>
  <c r="V52" i="63"/>
  <c r="V51" i="63"/>
  <c r="V92" i="63"/>
  <c r="P21" i="62"/>
  <c r="P5" i="74"/>
  <c r="T41" i="62"/>
  <c r="T40" i="62"/>
  <c r="G14" i="59"/>
  <c r="G23" i="59"/>
  <c r="G8" i="63"/>
  <c r="G65" i="63"/>
  <c r="S26" i="62"/>
  <c r="W54" i="63"/>
  <c r="W40" i="63"/>
  <c r="X89" i="63"/>
  <c r="U85" i="63"/>
  <c r="U39" i="63"/>
  <c r="P27" i="62"/>
  <c r="P41" i="62"/>
  <c r="P40" i="62"/>
  <c r="P52" i="63"/>
  <c r="P51" i="63"/>
  <c r="P92" i="63"/>
  <c r="O55" i="63"/>
  <c r="O43" i="63"/>
  <c r="O86" i="63"/>
  <c r="E61" i="63"/>
  <c r="F89" i="63"/>
  <c r="E89" i="63"/>
  <c r="P22" i="62"/>
  <c r="U27" i="62"/>
  <c r="R14" i="59"/>
  <c r="R23" i="59"/>
  <c r="R8" i="63"/>
  <c r="R65" i="63"/>
  <c r="U52" i="63"/>
  <c r="U51" i="63"/>
  <c r="U92" i="63"/>
  <c r="N89" i="63"/>
  <c r="M61" i="63"/>
  <c r="D34" i="62"/>
  <c r="D7" i="74"/>
  <c r="M7" i="74"/>
  <c r="Q39" i="63"/>
  <c r="Q85" i="63"/>
  <c r="V65" i="63"/>
  <c r="V14" i="59"/>
  <c r="V23" i="59"/>
  <c r="V8" i="63"/>
  <c r="T14" i="59"/>
  <c r="T23" i="59"/>
  <c r="T8" i="63"/>
  <c r="T65" i="63"/>
  <c r="F33" i="62"/>
  <c r="R34" i="62"/>
  <c r="S22" i="62"/>
  <c r="S41" i="62"/>
  <c r="S40" i="62"/>
  <c r="S10" i="70"/>
  <c r="O14" i="59"/>
  <c r="O23" i="59"/>
  <c r="O8" i="63"/>
  <c r="O65" i="63"/>
  <c r="Q52" i="63"/>
  <c r="Q51" i="63"/>
  <c r="Q92" i="63"/>
  <c r="W43" i="63"/>
  <c r="W86" i="63"/>
  <c r="W55" i="63"/>
  <c r="X27" i="62"/>
  <c r="X41" i="62"/>
  <c r="X40" i="62"/>
  <c r="P39" i="63"/>
  <c r="P85" i="63"/>
  <c r="Q14" i="59"/>
  <c r="Q23" i="59"/>
  <c r="Q8" i="63"/>
  <c r="Q65" i="63"/>
  <c r="Y39" i="63"/>
  <c r="Y85" i="63"/>
  <c r="S65" i="63"/>
  <c r="S14" i="59"/>
  <c r="S23" i="59"/>
  <c r="S8" i="63"/>
  <c r="N61" i="63"/>
  <c r="N78" i="63"/>
  <c r="N81" i="63"/>
  <c r="O89" i="63"/>
  <c r="U14" i="59"/>
  <c r="U23" i="59"/>
  <c r="U8" i="63"/>
  <c r="U65" i="63"/>
  <c r="Y6" i="74"/>
  <c r="I27" i="48"/>
  <c r="X22" i="62"/>
  <c r="Q27" i="62"/>
  <c r="Q41" i="62"/>
  <c r="Q40" i="62"/>
  <c r="K35" i="52"/>
  <c r="S7" i="74"/>
  <c r="C29" i="48"/>
  <c r="R41" i="62"/>
  <c r="R40" i="62"/>
  <c r="F12" i="62"/>
  <c r="F26" i="62"/>
  <c r="F6" i="74"/>
  <c r="N34" i="52"/>
  <c r="H43" i="63"/>
  <c r="H86" i="63"/>
  <c r="H55" i="63"/>
  <c r="N41" i="62"/>
  <c r="N40" i="62"/>
  <c r="N39" i="62"/>
  <c r="N43" i="62"/>
  <c r="N8" i="74"/>
  <c r="E12" i="62"/>
  <c r="E41" i="62"/>
  <c r="E40" i="62"/>
  <c r="I29" i="48"/>
  <c r="Y7" i="74"/>
  <c r="X21" i="62"/>
  <c r="E29" i="48"/>
  <c r="U7" i="74"/>
  <c r="G89" i="63"/>
  <c r="X65" i="63"/>
  <c r="X61" i="63"/>
  <c r="X78" i="63"/>
  <c r="X81" i="63"/>
  <c r="X14" i="59"/>
  <c r="X23" i="59"/>
  <c r="L22" i="62"/>
  <c r="L41" i="62"/>
  <c r="L40" i="62"/>
  <c r="M39" i="62"/>
  <c r="M43" i="62"/>
  <c r="M8" i="74"/>
  <c r="K27" i="62"/>
  <c r="K41" i="62"/>
  <c r="K40" i="62"/>
  <c r="N26" i="62"/>
  <c r="N6" i="74"/>
  <c r="G29" i="48"/>
  <c r="W7" i="74"/>
  <c r="V22" i="62"/>
  <c r="F40" i="63"/>
  <c r="F54" i="63"/>
  <c r="S21" i="62"/>
  <c r="K21" i="62"/>
  <c r="K5" i="74"/>
  <c r="S89" i="63"/>
  <c r="T89" i="63"/>
  <c r="M89" i="63"/>
  <c r="L61" i="63"/>
  <c r="F14" i="59"/>
  <c r="F23" i="59"/>
  <c r="F8" i="63"/>
  <c r="F65" i="63"/>
  <c r="AA14" i="59"/>
  <c r="AA23" i="59"/>
  <c r="AA65" i="63"/>
  <c r="X39" i="63"/>
  <c r="X85" i="63"/>
  <c r="P65" i="63"/>
  <c r="P14" i="59"/>
  <c r="P23" i="59"/>
  <c r="P8" i="63"/>
  <c r="K61" i="63"/>
  <c r="L89" i="63"/>
  <c r="K89" i="63"/>
  <c r="N34" i="62"/>
  <c r="E33" i="62"/>
  <c r="L21" i="62"/>
  <c r="L5" i="74"/>
  <c r="X26" i="62"/>
  <c r="V21" i="62"/>
  <c r="V27" i="62"/>
  <c r="AA89" i="63"/>
  <c r="O22" i="62"/>
  <c r="O41" i="62"/>
  <c r="O40" i="62"/>
  <c r="T52" i="63"/>
  <c r="T51" i="63"/>
  <c r="T92" i="63"/>
  <c r="O40" i="63"/>
  <c r="O54" i="63"/>
  <c r="T27" i="62"/>
  <c r="AB39" i="63"/>
  <c r="AB85" i="63"/>
  <c r="U22" i="62"/>
  <c r="U41" i="62"/>
  <c r="U40" i="62"/>
  <c r="X7" i="74"/>
  <c r="H29" i="48"/>
  <c r="M21" i="62"/>
  <c r="M5" i="74"/>
  <c r="H89" i="63"/>
  <c r="P89" i="63"/>
  <c r="T39" i="63"/>
  <c r="T85" i="63"/>
  <c r="T26" i="62"/>
  <c r="G55" i="63"/>
  <c r="G43" i="63"/>
  <c r="G86" i="63"/>
  <c r="G40" i="63"/>
  <c r="G54" i="63"/>
  <c r="C34" i="62"/>
  <c r="C7" i="74"/>
  <c r="L7" i="74"/>
  <c r="S55" i="63"/>
  <c r="S43" i="63"/>
  <c r="S86" i="63"/>
  <c r="S54" i="63"/>
  <c r="S40" i="63"/>
  <c r="V41" i="62"/>
  <c r="V40" i="62"/>
  <c r="G12" i="62"/>
  <c r="G41" i="62"/>
  <c r="G40" i="62"/>
  <c r="M26" i="62"/>
  <c r="M6" i="74"/>
  <c r="V89" i="63"/>
  <c r="W18" i="59"/>
  <c r="W25" i="63"/>
  <c r="W35" i="63"/>
  <c r="M22" i="62"/>
  <c r="AA52" i="63"/>
  <c r="AA51" i="63"/>
  <c r="K26" i="62"/>
  <c r="K6" i="74"/>
  <c r="V39" i="63"/>
  <c r="V85" i="63"/>
  <c r="U89" i="63"/>
  <c r="O21" i="62"/>
  <c r="O5" i="74"/>
  <c r="H54" i="63"/>
  <c r="H40" i="63"/>
  <c r="W22" i="62"/>
  <c r="W41" i="62"/>
  <c r="W40" i="62"/>
  <c r="T7" i="74"/>
  <c r="D29" i="48"/>
  <c r="AB7" i="74"/>
  <c r="H22" i="62"/>
  <c r="AA26" i="62"/>
  <c r="AA6" i="74"/>
  <c r="AA41" i="62"/>
  <c r="AA40" i="62"/>
  <c r="M35" i="52"/>
  <c r="K29" i="48"/>
  <c r="AA92" i="63"/>
  <c r="AA27" i="62"/>
  <c r="D28" i="48"/>
  <c r="AB58" i="63"/>
  <c r="AA21" i="62"/>
  <c r="K28" i="48"/>
  <c r="AA91" i="63"/>
  <c r="I28" i="48"/>
  <c r="Y5" i="74"/>
  <c r="W6" i="74"/>
  <c r="E28" i="48"/>
  <c r="H91" i="63"/>
  <c r="H11" i="59"/>
  <c r="K36" i="48"/>
  <c r="AA18" i="74"/>
  <c r="H7" i="67"/>
  <c r="H6" i="67"/>
  <c r="H5" i="67"/>
  <c r="H16" i="67"/>
  <c r="H14" i="74"/>
  <c r="H33" i="58"/>
  <c r="AB91" i="63"/>
  <c r="L40" i="52"/>
  <c r="L41" i="52"/>
  <c r="W5" i="74"/>
  <c r="K11" i="48"/>
  <c r="AA5" i="67"/>
  <c r="AA16" i="67"/>
  <c r="AA7" i="64"/>
  <c r="AA6" i="64"/>
  <c r="AA9" i="64"/>
  <c r="AA11" i="74"/>
  <c r="AA6" i="63"/>
  <c r="F21" i="62"/>
  <c r="F5" i="74"/>
  <c r="P39" i="62"/>
  <c r="P43" i="62"/>
  <c r="P8" i="74"/>
  <c r="AB9" i="68"/>
  <c r="AB20" i="68"/>
  <c r="AA19" i="68"/>
  <c r="U5" i="69"/>
  <c r="K24" i="48"/>
  <c r="E21" i="62"/>
  <c r="E5" i="74"/>
  <c r="R39" i="62"/>
  <c r="R43" i="62"/>
  <c r="R8" i="74"/>
  <c r="W52" i="63"/>
  <c r="W51" i="63"/>
  <c r="W92" i="63"/>
  <c r="G52" i="63"/>
  <c r="G51" i="63"/>
  <c r="G92" i="63"/>
  <c r="Y58" i="63"/>
  <c r="L12" i="48"/>
  <c r="AB18" i="74"/>
  <c r="L36" i="48"/>
  <c r="AB21" i="62"/>
  <c r="AB22" i="62"/>
  <c r="AB26" i="62"/>
  <c r="AB27" i="62"/>
  <c r="AB6" i="67"/>
  <c r="AB5" i="64"/>
  <c r="R40" i="52"/>
  <c r="T40" i="52"/>
  <c r="E19" i="52"/>
  <c r="D19" i="52"/>
  <c r="AB19" i="68"/>
  <c r="X39" i="62"/>
  <c r="X43" i="62"/>
  <c r="X8" i="74"/>
  <c r="T12" i="52"/>
  <c r="R12" i="52"/>
  <c r="N15" i="52"/>
  <c r="N41" i="52"/>
  <c r="S14" i="52"/>
  <c r="Q14" i="52"/>
  <c r="AB13" i="66"/>
  <c r="AB19" i="67"/>
  <c r="V39" i="62"/>
  <c r="V43" i="62"/>
  <c r="V8" i="74"/>
  <c r="F88" i="63"/>
  <c r="F61" i="63"/>
  <c r="F78" i="63"/>
  <c r="F81" i="63"/>
  <c r="G88" i="63"/>
  <c r="S85" i="63"/>
  <c r="S39" i="63"/>
  <c r="G22" i="62"/>
  <c r="K84" i="63"/>
  <c r="K78" i="63"/>
  <c r="K81" i="63"/>
  <c r="L84" i="63"/>
  <c r="G26" i="62"/>
  <c r="G6" i="74"/>
  <c r="W14" i="59"/>
  <c r="W23" i="59"/>
  <c r="W8" i="63"/>
  <c r="W65" i="63"/>
  <c r="G21" i="62"/>
  <c r="G5" i="74"/>
  <c r="P7" i="63"/>
  <c r="P9" i="63"/>
  <c r="P9" i="74"/>
  <c r="P17" i="63"/>
  <c r="P24" i="63"/>
  <c r="E22" i="62"/>
  <c r="R7" i="74"/>
  <c r="F34" i="62"/>
  <c r="F7" i="74"/>
  <c r="V61" i="63"/>
  <c r="V78" i="63"/>
  <c r="V81" i="63"/>
  <c r="S88" i="63"/>
  <c r="R61" i="63"/>
  <c r="R78" i="63"/>
  <c r="R81" i="63"/>
  <c r="C27" i="48"/>
  <c r="S6" i="74"/>
  <c r="AA58" i="63"/>
  <c r="G85" i="63"/>
  <c r="G39" i="63"/>
  <c r="H27" i="48"/>
  <c r="X6" i="74"/>
  <c r="G27" i="62"/>
  <c r="S52" i="63"/>
  <c r="S51" i="63"/>
  <c r="S92" i="63"/>
  <c r="Q88" i="63"/>
  <c r="P61" i="63"/>
  <c r="P78" i="63"/>
  <c r="P81" i="63"/>
  <c r="M84" i="63"/>
  <c r="L78" i="63"/>
  <c r="L81" i="63"/>
  <c r="N36" i="52"/>
  <c r="U61" i="63"/>
  <c r="U78" i="63"/>
  <c r="U81" i="63"/>
  <c r="V88" i="63"/>
  <c r="S24" i="63"/>
  <c r="S7" i="63"/>
  <c r="S9" i="63"/>
  <c r="S17" i="63"/>
  <c r="R88" i="63"/>
  <c r="Q61" i="63"/>
  <c r="Q78" i="63"/>
  <c r="Q81" i="63"/>
  <c r="E26" i="62"/>
  <c r="E6" i="74"/>
  <c r="N84" i="63"/>
  <c r="M78" i="63"/>
  <c r="M81" i="63"/>
  <c r="R24" i="63"/>
  <c r="R17" i="63"/>
  <c r="R7" i="63"/>
  <c r="R9" i="63"/>
  <c r="R9" i="74"/>
  <c r="U58" i="63"/>
  <c r="G61" i="63"/>
  <c r="G78" i="63"/>
  <c r="G81" i="63"/>
  <c r="H34" i="62"/>
  <c r="H7" i="74"/>
  <c r="N7" i="74"/>
  <c r="E34" i="62"/>
  <c r="E7" i="74"/>
  <c r="AB88" i="63"/>
  <c r="AA61" i="63"/>
  <c r="AA78" i="63"/>
  <c r="AA81" i="63"/>
  <c r="F85" i="63"/>
  <c r="F39" i="63"/>
  <c r="K39" i="62"/>
  <c r="K43" i="62"/>
  <c r="K8" i="74"/>
  <c r="L39" i="62"/>
  <c r="L43" i="62"/>
  <c r="L8" i="74"/>
  <c r="E39" i="62"/>
  <c r="E43" i="62"/>
  <c r="E8" i="74"/>
  <c r="U7" i="63"/>
  <c r="U17" i="63"/>
  <c r="U24" i="63"/>
  <c r="S61" i="63"/>
  <c r="S78" i="63"/>
  <c r="S81" i="63"/>
  <c r="T88" i="63"/>
  <c r="Q24" i="63"/>
  <c r="Q7" i="63"/>
  <c r="Q9" i="63"/>
  <c r="Q9" i="74"/>
  <c r="Q17" i="63"/>
  <c r="E27" i="62"/>
  <c r="Q58" i="63"/>
  <c r="E84" i="63"/>
  <c r="E78" i="63"/>
  <c r="E81" i="63"/>
  <c r="G7" i="63"/>
  <c r="G24" i="63"/>
  <c r="G17" i="63"/>
  <c r="D27" i="48"/>
  <c r="T6" i="74"/>
  <c r="H85" i="63"/>
  <c r="H39" i="63"/>
  <c r="V58" i="63"/>
  <c r="V5" i="74"/>
  <c r="F28" i="48"/>
  <c r="X58" i="63"/>
  <c r="M34" i="52"/>
  <c r="AA8" i="63"/>
  <c r="S5" i="74"/>
  <c r="C28" i="48"/>
  <c r="O39" i="62"/>
  <c r="O43" i="62"/>
  <c r="O8" i="74"/>
  <c r="S39" i="62"/>
  <c r="S43" i="62"/>
  <c r="S8" i="74"/>
  <c r="T39" i="62"/>
  <c r="T43" i="62"/>
  <c r="T8" i="74"/>
  <c r="Y35" i="63"/>
  <c r="R58" i="63"/>
  <c r="F22" i="62"/>
  <c r="F41" i="62"/>
  <c r="F40" i="62"/>
  <c r="G39" i="62"/>
  <c r="G43" i="62"/>
  <c r="G8" i="74"/>
  <c r="P58" i="63"/>
  <c r="Q39" i="62"/>
  <c r="Q43" i="62"/>
  <c r="Q8" i="74"/>
  <c r="U39" i="62"/>
  <c r="U43" i="62"/>
  <c r="U8" i="74"/>
  <c r="F29" i="48"/>
  <c r="V7" i="74"/>
  <c r="G34" i="62"/>
  <c r="G7" i="74"/>
  <c r="W39" i="62"/>
  <c r="W43" i="62"/>
  <c r="W8" i="74"/>
  <c r="T58" i="63"/>
  <c r="O85" i="63"/>
  <c r="O39" i="63"/>
  <c r="F17" i="63"/>
  <c r="F16" i="63"/>
  <c r="F24" i="63"/>
  <c r="F7" i="63"/>
  <c r="H28" i="48"/>
  <c r="X5" i="74"/>
  <c r="U88" i="63"/>
  <c r="T61" i="63"/>
  <c r="T78" i="63"/>
  <c r="T81" i="63"/>
  <c r="H52" i="63"/>
  <c r="H51" i="63"/>
  <c r="H92" i="63"/>
  <c r="J35" i="52"/>
  <c r="Y39" i="62"/>
  <c r="Y43" i="62"/>
  <c r="Y8" i="74"/>
  <c r="O88" i="63"/>
  <c r="O61" i="63"/>
  <c r="O78" i="63"/>
  <c r="O81" i="63"/>
  <c r="P88" i="63"/>
  <c r="T24" i="63"/>
  <c r="T17" i="63"/>
  <c r="T7" i="63"/>
  <c r="T9" i="63"/>
  <c r="W85" i="63"/>
  <c r="W39" i="63"/>
  <c r="X8" i="63"/>
  <c r="J34" i="52"/>
  <c r="J36" i="52"/>
  <c r="O17" i="63"/>
  <c r="O16" i="63"/>
  <c r="O24" i="63"/>
  <c r="O7" i="63"/>
  <c r="V24" i="63"/>
  <c r="V17" i="63"/>
  <c r="V7" i="63"/>
  <c r="F27" i="62"/>
  <c r="H27" i="62"/>
  <c r="H21" i="62"/>
  <c r="H5" i="74"/>
  <c r="H26" i="62"/>
  <c r="H6" i="74"/>
  <c r="H39" i="62"/>
  <c r="H43" i="62"/>
  <c r="H8" i="74"/>
  <c r="K27" i="48"/>
  <c r="AB78" i="63"/>
  <c r="AB81" i="63"/>
  <c r="AA5" i="74"/>
  <c r="V16" i="63"/>
  <c r="L35" i="52"/>
  <c r="AA39" i="62"/>
  <c r="AA43" i="62"/>
  <c r="AA8" i="74"/>
  <c r="AB7" i="68"/>
  <c r="AB10" i="68"/>
  <c r="E11" i="52"/>
  <c r="D11" i="52"/>
  <c r="H19" i="68"/>
  <c r="H18" i="68"/>
  <c r="H7" i="68"/>
  <c r="AA9" i="68"/>
  <c r="T16" i="63"/>
  <c r="T18" i="63"/>
  <c r="T10" i="74"/>
  <c r="AA12" i="74"/>
  <c r="AA22" i="65"/>
  <c r="AA26" i="65"/>
  <c r="AA22" i="63"/>
  <c r="AA5" i="63"/>
  <c r="AA21" i="63"/>
  <c r="AA14" i="63"/>
  <c r="AA14" i="74"/>
  <c r="K7" i="48"/>
  <c r="AB84" i="63"/>
  <c r="T84" i="63"/>
  <c r="Q16" i="63"/>
  <c r="Q18" i="63"/>
  <c r="Q10" i="74"/>
  <c r="Q84" i="63"/>
  <c r="L8" i="48"/>
  <c r="AB13" i="74"/>
  <c r="AB92" i="63"/>
  <c r="AB5" i="74"/>
  <c r="L28" i="48"/>
  <c r="AB31" i="67"/>
  <c r="AB5" i="67"/>
  <c r="L11" i="48"/>
  <c r="AB7" i="64"/>
  <c r="AB6" i="63"/>
  <c r="T41" i="52"/>
  <c r="R41" i="52"/>
  <c r="AB18" i="68"/>
  <c r="AB22" i="68"/>
  <c r="AB6" i="74"/>
  <c r="L27" i="48"/>
  <c r="N18" i="52"/>
  <c r="T15" i="52"/>
  <c r="R15" i="52"/>
  <c r="E27" i="52"/>
  <c r="E16" i="52"/>
  <c r="D16" i="52"/>
  <c r="F39" i="62"/>
  <c r="F43" i="62"/>
  <c r="F8" i="74"/>
  <c r="S16" i="63"/>
  <c r="S18" i="63"/>
  <c r="S10" i="74"/>
  <c r="R84" i="63"/>
  <c r="G16" i="63"/>
  <c r="U84" i="63"/>
  <c r="V84" i="63"/>
  <c r="X17" i="63"/>
  <c r="X24" i="63"/>
  <c r="F34" i="63"/>
  <c r="F23" i="63"/>
  <c r="G23" i="63"/>
  <c r="M36" i="52"/>
  <c r="R36" i="52"/>
  <c r="R34" i="63"/>
  <c r="S23" i="63"/>
  <c r="S34" i="63"/>
  <c r="T23" i="63"/>
  <c r="T34" i="63"/>
  <c r="U23" i="63"/>
  <c r="P16" i="63"/>
  <c r="P18" i="63"/>
  <c r="P10" i="74"/>
  <c r="Y88" i="63"/>
  <c r="F84" i="63"/>
  <c r="H35" i="63"/>
  <c r="S58" i="63"/>
  <c r="S84" i="63"/>
  <c r="W61" i="63"/>
  <c r="W84" i="63"/>
  <c r="X88" i="63"/>
  <c r="H58" i="63"/>
  <c r="P84" i="63"/>
  <c r="G34" i="63"/>
  <c r="U16" i="63"/>
  <c r="R34" i="52"/>
  <c r="W88" i="63"/>
  <c r="X7" i="63"/>
  <c r="X9" i="63"/>
  <c r="W7" i="63"/>
  <c r="W24" i="63"/>
  <c r="W23" i="63"/>
  <c r="W17" i="63"/>
  <c r="W16" i="63"/>
  <c r="O23" i="63"/>
  <c r="O34" i="63"/>
  <c r="P23" i="63"/>
  <c r="W58" i="63"/>
  <c r="E18" i="52"/>
  <c r="D18" i="52"/>
  <c r="O34" i="52"/>
  <c r="V34" i="63"/>
  <c r="U34" i="63"/>
  <c r="V23" i="63"/>
  <c r="O36" i="52"/>
  <c r="T36" i="52"/>
  <c r="G58" i="63"/>
  <c r="G84" i="63"/>
  <c r="T9" i="74"/>
  <c r="D32" i="48"/>
  <c r="AB7" i="63"/>
  <c r="AA24" i="63"/>
  <c r="AA17" i="63"/>
  <c r="AB16" i="63"/>
  <c r="R16" i="63"/>
  <c r="R18" i="63"/>
  <c r="R10" i="74"/>
  <c r="C32" i="48"/>
  <c r="S9" i="74"/>
  <c r="T34" i="52"/>
  <c r="O84" i="63"/>
  <c r="AB34" i="63"/>
  <c r="R23" i="63"/>
  <c r="Q34" i="63"/>
  <c r="Q23" i="63"/>
  <c r="P34" i="63"/>
  <c r="D33" i="48"/>
  <c r="AB12" i="68"/>
  <c r="AB16" i="74"/>
  <c r="AA20" i="68"/>
  <c r="AA18" i="68"/>
  <c r="AA22" i="68"/>
  <c r="AA7" i="68"/>
  <c r="AA10" i="68"/>
  <c r="AA12" i="68"/>
  <c r="AA31" i="63"/>
  <c r="AA13" i="63"/>
  <c r="C33" i="48"/>
  <c r="AB5" i="63"/>
  <c r="AB9" i="63"/>
  <c r="AB9" i="74"/>
  <c r="AB14" i="63"/>
  <c r="AB22" i="63"/>
  <c r="AB15" i="74"/>
  <c r="AB22" i="65"/>
  <c r="AB6" i="64"/>
  <c r="AB9" i="79"/>
  <c r="L13" i="48"/>
  <c r="AB26" i="18"/>
  <c r="AB16" i="67"/>
  <c r="N23" i="52"/>
  <c r="T18" i="52"/>
  <c r="R18" i="52"/>
  <c r="Q26" i="63"/>
  <c r="Q33" i="63"/>
  <c r="Q36" i="63"/>
  <c r="R26" i="63"/>
  <c r="R33" i="63"/>
  <c r="R36" i="63"/>
  <c r="V33" i="63"/>
  <c r="W78" i="63"/>
  <c r="W81" i="63"/>
  <c r="X84" i="63"/>
  <c r="G33" i="63"/>
  <c r="Y84" i="63"/>
  <c r="Y78" i="63"/>
  <c r="F33" i="63"/>
  <c r="W33" i="63"/>
  <c r="X23" i="63"/>
  <c r="W34" i="63"/>
  <c r="T26" i="63"/>
  <c r="T33" i="63"/>
  <c r="T36" i="63"/>
  <c r="U33" i="63"/>
  <c r="S34" i="52"/>
  <c r="Q34" i="52"/>
  <c r="O37" i="52"/>
  <c r="X9" i="74"/>
  <c r="H32" i="48"/>
  <c r="K34" i="52"/>
  <c r="K36" i="52"/>
  <c r="AA88" i="63"/>
  <c r="S33" i="63"/>
  <c r="S36" i="63"/>
  <c r="S26" i="63"/>
  <c r="P26" i="63"/>
  <c r="P33" i="63"/>
  <c r="P36" i="63"/>
  <c r="AA34" i="63"/>
  <c r="AB23" i="63"/>
  <c r="Q36" i="52"/>
  <c r="S36" i="52"/>
  <c r="O33" i="63"/>
  <c r="L34" i="52"/>
  <c r="L36" i="52"/>
  <c r="X34" i="63"/>
  <c r="O40" i="52"/>
  <c r="X16" i="63"/>
  <c r="X18" i="63"/>
  <c r="L34" i="48"/>
  <c r="AA16" i="74"/>
  <c r="K34" i="48"/>
  <c r="AA30" i="63"/>
  <c r="AA12" i="63"/>
  <c r="AA29" i="63"/>
  <c r="AB26" i="65"/>
  <c r="AB13" i="63"/>
  <c r="AB31" i="63"/>
  <c r="N26" i="52"/>
  <c r="T23" i="52"/>
  <c r="R23" i="52"/>
  <c r="E12" i="52"/>
  <c r="D12" i="52"/>
  <c r="O12" i="52"/>
  <c r="AB15" i="79"/>
  <c r="AB8" i="79"/>
  <c r="AB21" i="63"/>
  <c r="L32" i="48"/>
  <c r="AB14" i="74"/>
  <c r="L7" i="48"/>
  <c r="AB9" i="64"/>
  <c r="N35" i="52"/>
  <c r="AB39" i="62"/>
  <c r="AB43" i="62"/>
  <c r="AA16" i="63"/>
  <c r="AA7" i="63"/>
  <c r="AA9" i="63"/>
  <c r="AA84" i="63"/>
  <c r="Y7" i="63"/>
  <c r="O43" i="52"/>
  <c r="Q37" i="52"/>
  <c r="S37" i="52"/>
  <c r="X33" i="63"/>
  <c r="X36" i="63"/>
  <c r="X26" i="63"/>
  <c r="X10" i="74"/>
  <c r="H33" i="48"/>
  <c r="AB33" i="63"/>
  <c r="S40" i="52"/>
  <c r="Q40" i="52"/>
  <c r="O11" i="52"/>
  <c r="H7" i="63"/>
  <c r="H16" i="63"/>
  <c r="H88" i="63"/>
  <c r="Y81" i="63"/>
  <c r="AA18" i="63"/>
  <c r="K33" i="48"/>
  <c r="O22" i="52"/>
  <c r="Q22" i="52"/>
  <c r="AB26" i="63"/>
  <c r="AB11" i="79"/>
  <c r="AB30" i="63"/>
  <c r="AB12" i="63"/>
  <c r="AB8" i="74"/>
  <c r="E14" i="52"/>
  <c r="D14" i="52"/>
  <c r="AB16" i="79"/>
  <c r="E15" i="52"/>
  <c r="D15" i="52"/>
  <c r="T35" i="52"/>
  <c r="R35" i="52"/>
  <c r="O35" i="52"/>
  <c r="AB11" i="74"/>
  <c r="E25" i="52"/>
  <c r="E26" i="52"/>
  <c r="R26" i="52"/>
  <c r="T26" i="52"/>
  <c r="Y9" i="63"/>
  <c r="Y34" i="63"/>
  <c r="Y23" i="63"/>
  <c r="H78" i="63"/>
  <c r="H81" i="63"/>
  <c r="H84" i="63"/>
  <c r="K32" i="48"/>
  <c r="AA9" i="74"/>
  <c r="S11" i="52"/>
  <c r="Q11" i="52"/>
  <c r="S12" i="52"/>
  <c r="O15" i="52"/>
  <c r="Q12" i="52"/>
  <c r="O10" i="52"/>
  <c r="Q43" i="52"/>
  <c r="S43" i="52"/>
  <c r="AA23" i="63"/>
  <c r="Y16" i="63"/>
  <c r="H34" i="63"/>
  <c r="H23" i="63"/>
  <c r="AA10" i="74"/>
  <c r="S22" i="52"/>
  <c r="AB29" i="63"/>
  <c r="AB18" i="63"/>
  <c r="AB12" i="74"/>
  <c r="S35" i="52"/>
  <c r="Q35" i="52"/>
  <c r="O17" i="52"/>
  <c r="O18" i="52"/>
  <c r="AA26" i="63"/>
  <c r="AA33" i="63"/>
  <c r="AA36" i="63"/>
  <c r="Y26" i="63"/>
  <c r="Y33" i="63"/>
  <c r="D27" i="52"/>
  <c r="O21" i="52"/>
  <c r="Q15" i="52"/>
  <c r="S15" i="52"/>
  <c r="Y18" i="63"/>
  <c r="H33" i="63"/>
  <c r="Q10" i="52"/>
  <c r="S10" i="52"/>
  <c r="Y9" i="74"/>
  <c r="I32" i="48"/>
  <c r="L33" i="48"/>
  <c r="AB10" i="74"/>
  <c r="AB36" i="63"/>
  <c r="Q17" i="52"/>
  <c r="S17" i="52"/>
  <c r="Q18" i="52"/>
  <c r="S18" i="52"/>
  <c r="S21" i="52"/>
  <c r="Q21" i="52"/>
  <c r="O20" i="52"/>
  <c r="I33" i="48"/>
  <c r="Y10" i="74"/>
  <c r="Y36" i="63"/>
  <c r="O23" i="52"/>
  <c r="Q20" i="52"/>
  <c r="S20" i="52"/>
  <c r="Q23" i="52"/>
  <c r="S23" i="52"/>
  <c r="O25" i="52"/>
  <c r="S25" i="52"/>
  <c r="Q25" i="52"/>
  <c r="O26" i="52"/>
  <c r="O42" i="52"/>
  <c r="D26" i="52"/>
  <c r="S26" i="52"/>
  <c r="Q26" i="52"/>
  <c r="D25" i="52"/>
  <c r="Q42" i="52"/>
  <c r="S42" i="52"/>
  <c r="O41" i="52"/>
  <c r="S41" i="52"/>
  <c r="Q41" i="52"/>
  <c r="U34" i="58"/>
  <c r="U38" i="58"/>
  <c r="U6" i="63"/>
  <c r="U14" i="63"/>
  <c r="U13" i="63"/>
  <c r="U12" i="63"/>
  <c r="U29" i="63"/>
  <c r="U36" i="63"/>
  <c r="U5" i="63"/>
  <c r="U21" i="63"/>
  <c r="U26" i="63"/>
  <c r="G34" i="58"/>
  <c r="G38" i="58"/>
  <c r="G6" i="63"/>
  <c r="G14" i="63"/>
  <c r="G13" i="63"/>
  <c r="G12" i="63"/>
  <c r="G29" i="63"/>
  <c r="G36" i="63"/>
  <c r="G5" i="63"/>
  <c r="G21" i="63"/>
  <c r="G26" i="63"/>
  <c r="U18" i="63"/>
  <c r="E33" i="48"/>
  <c r="U10" i="74"/>
  <c r="V34" i="58"/>
  <c r="V38" i="58"/>
  <c r="V6" i="63"/>
  <c r="V5" i="63"/>
  <c r="V21" i="63"/>
  <c r="V26" i="63"/>
  <c r="V14" i="63"/>
  <c r="V13" i="63"/>
  <c r="V12" i="63"/>
  <c r="V29" i="63"/>
  <c r="V36" i="63"/>
  <c r="V18" i="63"/>
  <c r="F33" i="48"/>
  <c r="U9" i="63"/>
  <c r="E32" i="48"/>
  <c r="U9" i="74"/>
  <c r="V9" i="63"/>
  <c r="V9" i="74"/>
  <c r="F32" i="48"/>
  <c r="G18" i="63"/>
  <c r="G10" i="74"/>
  <c r="V10" i="74"/>
  <c r="G9" i="63"/>
  <c r="G9" i="74"/>
  <c r="G30" i="63"/>
  <c r="V5" i="68"/>
  <c r="V10" i="68"/>
  <c r="V12" i="68"/>
  <c r="V16" i="74"/>
  <c r="F34" i="48"/>
  <c r="U30" i="63"/>
  <c r="G31" i="63"/>
  <c r="V15" i="68"/>
  <c r="V22" i="68"/>
  <c r="V30" i="63"/>
  <c r="U31" i="63"/>
  <c r="G22" i="63"/>
  <c r="G23" i="65"/>
  <c r="G22" i="65"/>
  <c r="G26" i="65"/>
  <c r="V23" i="65"/>
  <c r="V22" i="65"/>
  <c r="V26" i="65"/>
  <c r="U5" i="68"/>
  <c r="U10" i="68"/>
  <c r="U12" i="68"/>
  <c r="E34" i="48"/>
  <c r="G7" i="64"/>
  <c r="G6" i="64"/>
  <c r="G9" i="64"/>
  <c r="G11" i="74"/>
  <c r="U22" i="63"/>
  <c r="U23" i="65"/>
  <c r="U10" i="65"/>
  <c r="U9" i="65"/>
  <c r="U15" i="65"/>
  <c r="U12" i="74"/>
  <c r="U22" i="65"/>
  <c r="U26" i="65"/>
  <c r="G10" i="65"/>
  <c r="G9" i="65"/>
  <c r="G15" i="65"/>
  <c r="G12" i="74"/>
  <c r="U16" i="74"/>
  <c r="U15" i="68"/>
  <c r="U22" i="68"/>
  <c r="U7" i="64"/>
  <c r="U6" i="64"/>
  <c r="U9" i="64"/>
  <c r="U11" i="74"/>
  <c r="V10" i="65"/>
  <c r="V9" i="65"/>
  <c r="V15" i="65"/>
  <c r="V12" i="74"/>
  <c r="V22" i="63"/>
  <c r="V7" i="64"/>
  <c r="V6" i="64"/>
  <c r="V9" i="64"/>
  <c r="V11" i="74"/>
  <c r="V31" i="63"/>
  <c r="U20" i="67"/>
  <c r="U19" i="67"/>
  <c r="U31" i="67"/>
  <c r="U15" i="74"/>
  <c r="V20" i="67"/>
  <c r="V19" i="67"/>
  <c r="V31" i="67"/>
  <c r="V15" i="74"/>
  <c r="E12" i="48"/>
  <c r="F12" i="48"/>
  <c r="F35" i="48"/>
  <c r="E35" i="48"/>
  <c r="H9" i="79"/>
  <c r="H8" i="79"/>
  <c r="H11" i="79"/>
  <c r="H15" i="79"/>
  <c r="H16" i="79"/>
  <c r="H26" i="18"/>
  <c r="L11" i="52"/>
  <c r="L12" i="52"/>
  <c r="L15" i="52"/>
  <c r="L18" i="52"/>
  <c r="L23" i="52"/>
  <c r="L26" i="52"/>
  <c r="AG5" i="18"/>
  <c r="AG7" i="18"/>
  <c r="AG12" i="18"/>
  <c r="AG15" i="18"/>
  <c r="AG23" i="18"/>
  <c r="Z26" i="18"/>
  <c r="AG26" i="18"/>
  <c r="AG14" i="58"/>
  <c r="AG34" i="58"/>
  <c r="AG38" i="58"/>
  <c r="Z9" i="74"/>
  <c r="AG9" i="74"/>
  <c r="Z10" i="74"/>
  <c r="AG10" i="74"/>
  <c r="Z7" i="64"/>
  <c r="Z6" i="64"/>
  <c r="Z9" i="64"/>
  <c r="Z11" i="74"/>
  <c r="AG11" i="74"/>
  <c r="Z12" i="74"/>
  <c r="AG12" i="74"/>
  <c r="Z20" i="67"/>
  <c r="Z19" i="67"/>
  <c r="Z31" i="67"/>
  <c r="Z15" i="74"/>
  <c r="AG15" i="74"/>
  <c r="Z16" i="74"/>
  <c r="AG16" i="74"/>
  <c r="AG5" i="63"/>
  <c r="AG6" i="63"/>
  <c r="AG9" i="63"/>
  <c r="AG12" i="63"/>
  <c r="AG13" i="63"/>
  <c r="AG14" i="63"/>
  <c r="AG18" i="63"/>
  <c r="Z21" i="63"/>
  <c r="AG21" i="63"/>
  <c r="Z22" i="63"/>
  <c r="AG22" i="63"/>
  <c r="Z26" i="63"/>
  <c r="AG26" i="63"/>
  <c r="Z29" i="63"/>
  <c r="AG29" i="63"/>
  <c r="Z30" i="63"/>
  <c r="AG30" i="63"/>
  <c r="Z31" i="63"/>
  <c r="AG31" i="63"/>
  <c r="Z36" i="63"/>
  <c r="AG36" i="63"/>
  <c r="AG6" i="64"/>
  <c r="AG7" i="64"/>
  <c r="AG9" i="64"/>
  <c r="AG9" i="65"/>
  <c r="AG10" i="65"/>
  <c r="AG15" i="65"/>
  <c r="Z22" i="65"/>
  <c r="AG22" i="65"/>
  <c r="AG23" i="65"/>
  <c r="Z26" i="65"/>
  <c r="AG26" i="65"/>
  <c r="AG19" i="67"/>
  <c r="AG20" i="67"/>
  <c r="AG27" i="67"/>
  <c r="AG31" i="67"/>
  <c r="AG5" i="68"/>
  <c r="AG6" i="68"/>
  <c r="AG10" i="68"/>
  <c r="AG12" i="68"/>
  <c r="Z15" i="68"/>
  <c r="AG15" i="68"/>
  <c r="AG16" i="68"/>
  <c r="Z22" i="68"/>
  <c r="AG22" i="68"/>
  <c r="Z9" i="79"/>
  <c r="Z8" i="79"/>
  <c r="AG8" i="79"/>
  <c r="AG9" i="79"/>
  <c r="Z11" i="79"/>
  <c r="AG11" i="79"/>
  <c r="Z15" i="79"/>
  <c r="AG15" i="79"/>
  <c r="Z16" i="79"/>
  <c r="AG16" i="79"/>
  <c r="W34" i="58"/>
  <c r="W38" i="58"/>
  <c r="W23" i="65"/>
  <c r="W10" i="65"/>
  <c r="W9" i="65"/>
  <c r="W15" i="65"/>
  <c r="G35" i="48"/>
  <c r="G12" i="48"/>
  <c r="W20" i="67"/>
  <c r="W19" i="67"/>
  <c r="W31" i="67"/>
  <c r="W15" i="74"/>
  <c r="W7" i="64"/>
  <c r="W6" i="64"/>
  <c r="W9" i="64"/>
  <c r="W11" i="74"/>
  <c r="W12" i="74"/>
  <c r="W6" i="63"/>
  <c r="W22" i="63"/>
  <c r="W22" i="65"/>
  <c r="W26" i="65"/>
  <c r="W14" i="63"/>
  <c r="W31" i="63"/>
  <c r="W13" i="63"/>
  <c r="W30" i="63"/>
  <c r="W15" i="68"/>
  <c r="W22" i="68"/>
  <c r="W5" i="68"/>
  <c r="W10" i="68"/>
  <c r="W12" i="68"/>
  <c r="G34" i="48"/>
  <c r="W16" i="74"/>
  <c r="H20" i="67"/>
  <c r="H19" i="67"/>
  <c r="H31" i="67"/>
  <c r="H15" i="74"/>
  <c r="H15" i="68"/>
  <c r="H22" i="68"/>
  <c r="H5" i="68"/>
  <c r="H10" i="68"/>
  <c r="H12" i="68"/>
  <c r="H16" i="74"/>
  <c r="H34" i="58"/>
  <c r="H38" i="58"/>
  <c r="H7" i="64"/>
  <c r="H6" i="64"/>
  <c r="H9" i="64"/>
  <c r="H11" i="74"/>
  <c r="H23" i="65"/>
  <c r="H10" i="65"/>
  <c r="H9" i="65"/>
  <c r="H15" i="65"/>
  <c r="H12" i="74"/>
  <c r="H22" i="65"/>
  <c r="H26" i="65"/>
  <c r="H6" i="63"/>
  <c r="H22" i="63"/>
  <c r="W12" i="63"/>
  <c r="W18" i="63"/>
  <c r="G33" i="48"/>
  <c r="W10" i="74"/>
  <c r="W29" i="63"/>
  <c r="W36" i="63"/>
  <c r="W5" i="63"/>
  <c r="W21" i="63"/>
  <c r="W26" i="63"/>
  <c r="W9" i="63"/>
  <c r="W9" i="74"/>
  <c r="G32" i="48"/>
  <c r="H14" i="63"/>
  <c r="H31" i="63"/>
  <c r="H5" i="63"/>
  <c r="H9" i="63"/>
  <c r="H9" i="74"/>
  <c r="H13" i="63"/>
  <c r="H30" i="63"/>
  <c r="H12" i="63"/>
  <c r="H18" i="63"/>
  <c r="H10" i="74"/>
  <c r="H29" i="63"/>
  <c r="H36" i="63"/>
  <c r="H21" i="63"/>
  <c r="H26" i="63"/>
  <c r="O36" i="58"/>
  <c r="O38" i="58"/>
  <c r="O6" i="63"/>
  <c r="O5" i="63"/>
  <c r="O21" i="63"/>
  <c r="O26" i="63"/>
  <c r="O14" i="63"/>
  <c r="O13" i="63"/>
  <c r="O12" i="63"/>
  <c r="O29" i="63"/>
  <c r="O36" i="63"/>
  <c r="F23" i="58"/>
  <c r="F36" i="58"/>
  <c r="F38" i="58"/>
  <c r="F6" i="63"/>
  <c r="F5" i="63"/>
  <c r="F21" i="63"/>
  <c r="F26" i="63"/>
  <c r="F14" i="63"/>
  <c r="F13" i="63"/>
  <c r="F12" i="63"/>
  <c r="F29" i="63"/>
  <c r="F36" i="63"/>
  <c r="O53" i="63"/>
  <c r="O52" i="63"/>
  <c r="O51" i="63"/>
  <c r="O58" i="63"/>
  <c r="F53" i="63"/>
  <c r="F52" i="63"/>
  <c r="F51" i="63"/>
  <c r="F58" i="63"/>
  <c r="O9" i="63"/>
  <c r="O9" i="74"/>
  <c r="O18" i="63"/>
  <c r="O10" i="74"/>
  <c r="F9" i="63"/>
  <c r="F9" i="74"/>
  <c r="F18" i="63"/>
  <c r="F10" i="74"/>
  <c r="O92" i="63"/>
  <c r="F92" i="63"/>
  <c r="F28" i="58"/>
  <c r="F30" i="63"/>
  <c r="F31" i="63"/>
  <c r="O30" i="63"/>
  <c r="F23" i="65"/>
  <c r="F22" i="65"/>
  <c r="F26" i="65"/>
  <c r="O31" i="63"/>
  <c r="F22" i="63"/>
  <c r="F10" i="65"/>
  <c r="F9" i="65"/>
  <c r="F15" i="65"/>
  <c r="F12" i="74"/>
  <c r="O23" i="65"/>
  <c r="O10" i="65"/>
  <c r="O9" i="65"/>
  <c r="O15" i="65"/>
  <c r="O12" i="74"/>
  <c r="O22" i="65"/>
  <c r="O26" i="65"/>
  <c r="F7" i="64"/>
  <c r="F6" i="64"/>
  <c r="F9" i="64"/>
  <c r="F11" i="74"/>
  <c r="O9" i="79"/>
  <c r="O15" i="79"/>
  <c r="O16" i="79"/>
  <c r="O8" i="79"/>
  <c r="O11" i="79"/>
  <c r="O7" i="64"/>
  <c r="O6" i="64"/>
  <c r="O9" i="64"/>
  <c r="O11" i="74"/>
  <c r="O22" i="63"/>
  <c r="O20" i="67"/>
  <c r="O19" i="67"/>
  <c r="O31" i="67"/>
  <c r="O15" i="74"/>
  <c r="F18" i="58"/>
  <c r="F8" i="67"/>
  <c r="F6" i="67"/>
  <c r="F5" i="67"/>
  <c r="F16" i="67"/>
  <c r="F14" i="74"/>
  <c r="O8" i="67"/>
  <c r="O6" i="67"/>
  <c r="O5" i="67"/>
  <c r="O16" i="67"/>
  <c r="O14" i="74"/>
  <c r="O26" i="18"/>
  <c r="F25" i="58"/>
  <c r="F30" i="58"/>
</calcChain>
</file>

<file path=xl/sharedStrings.xml><?xml version="1.0" encoding="utf-8"?>
<sst xmlns="http://schemas.openxmlformats.org/spreadsheetml/2006/main" count="1776" uniqueCount="1191">
  <si>
    <t>N#</t>
  </si>
  <si>
    <t>Language</t>
  </si>
  <si>
    <t>Quarters</t>
  </si>
  <si>
    <t>Trimestres</t>
  </si>
  <si>
    <t>Quarters 1</t>
  </si>
  <si>
    <t>Trimestres 1</t>
  </si>
  <si>
    <t>x</t>
  </si>
  <si>
    <t>y</t>
  </si>
  <si>
    <t>Menu - EN</t>
  </si>
  <si>
    <t>Menu - PT</t>
  </si>
  <si>
    <t>Balance Sheet (IFRS, R$ Thousands)</t>
  </si>
  <si>
    <t>Balanço Patrimonial (IFRS, R$ Mil)</t>
  </si>
  <si>
    <t>Income Statement (IFRS, R$ Thousands)</t>
  </si>
  <si>
    <t>Demonstração de Resultado (IFRS, R$ Mil)</t>
  </si>
  <si>
    <t>Credit (IFRS, R$ Thousands)</t>
  </si>
  <si>
    <t>NIM &amp; Yields (IFRS, R$ Thousands)</t>
  </si>
  <si>
    <t>NIM &amp; Yields (IFRS, R$ Mil)</t>
  </si>
  <si>
    <t>Asset Quality (IFRS, R$ Thousands)</t>
  </si>
  <si>
    <t>Asset Quality (IFRS, R$ Mil)</t>
  </si>
  <si>
    <t>NII (IFRS, R$ Thousands)</t>
  </si>
  <si>
    <t>NII (IFRS, R$ Mil)</t>
  </si>
  <si>
    <t>IEP (IFRS, R$ Thousands)</t>
  </si>
  <si>
    <t>IEP (IFRS, R$ Mil)</t>
  </si>
  <si>
    <t>Expenses (IFRS, R$ Thousands)</t>
  </si>
  <si>
    <t>Despesas (IFRS, R$ Mil)</t>
  </si>
  <si>
    <t>Carteira de Crédito (IFRS, R$ Mil)</t>
  </si>
  <si>
    <t>Funding (IFRS, R$ Thousands)</t>
  </si>
  <si>
    <t>Funding (IFRS, R$ Mil)</t>
  </si>
  <si>
    <t>Fee Revenues (IFRS, R$ Thousands)</t>
  </si>
  <si>
    <t>Receitas de serviços e comissões (IFRS, R$ Mil)</t>
  </si>
  <si>
    <t>Financials KPIs</t>
  </si>
  <si>
    <t>KPIs Financeiros</t>
  </si>
  <si>
    <t>Capital Ratio (Banco Inter S.A., R$ Thousands)</t>
  </si>
  <si>
    <t>Índice de Basiléia (Banco Inter S.A., R$ Mil)</t>
  </si>
  <si>
    <t>NIMs (R$ Thousands)</t>
  </si>
  <si>
    <t>NIMs (R$ Mil)</t>
  </si>
  <si>
    <t>Cost of Risk (R$ Thousands)</t>
  </si>
  <si>
    <t>Cost of Risk (R$ Mil)</t>
  </si>
  <si>
    <t>Asset Quality</t>
  </si>
  <si>
    <t>Monthly Cost-to-serve (R$ Thousands)</t>
  </si>
  <si>
    <t>Custo de Servir Mensal (R$ Mil)</t>
  </si>
  <si>
    <t>Monthly ARPAC (R$ Thousands)</t>
  </si>
  <si>
    <t>ARPAC Mensal (R$ Mil)</t>
  </si>
  <si>
    <t>Inter Seguros (Managerial, Million)</t>
  </si>
  <si>
    <t>Inter Seguros (Gerencial, Milhão)</t>
  </si>
  <si>
    <t>Inter Shop (Managerial, Million)</t>
  </si>
  <si>
    <t>Inter Shop (Gerencial, Milhões)</t>
  </si>
  <si>
    <t>Digital Account (Managerial, Million)</t>
  </si>
  <si>
    <t>Conta Digital (Gerencial, Milhões)</t>
  </si>
  <si>
    <t>Operational KPIs</t>
  </si>
  <si>
    <t>KPIs Operacionais</t>
  </si>
  <si>
    <t>Back to summary</t>
  </si>
  <si>
    <t>Voltar ao sumário</t>
  </si>
  <si>
    <t>Note 1: New methodology for NIMs since 1Q23. Considering derivatives.</t>
  </si>
  <si>
    <t>Nota 1: Nova metodologia para NIMs desde o 1T23. Considerando derivativos.</t>
  </si>
  <si>
    <t> Efficiency Ratio (R$ Thousands)</t>
  </si>
  <si>
    <t>Índice de Eficiência (R$ Mil)</t>
  </si>
  <si>
    <t>Inter Invest (Managerial, R$ Million)</t>
  </si>
  <si>
    <t>Inter Invest (Gerencial, R$ Milhão)</t>
  </si>
  <si>
    <t>Market Data - Brazil (Millions)</t>
  </si>
  <si>
    <t>Dados de Mercado - Brasil (Milhões)</t>
  </si>
  <si>
    <t>Inter Pag (Managerial, R$ Million)</t>
  </si>
  <si>
    <t>Inter Pag (Gerencial, R$ Milhão)</t>
  </si>
  <si>
    <t>ROE (IFRS, R$ Thousands)</t>
  </si>
  <si>
    <t>ROE (IFRS, R$ Mil)</t>
  </si>
  <si>
    <t>Português</t>
  </si>
  <si>
    <t>4Q19</t>
  </si>
  <si>
    <t>4T19</t>
  </si>
  <si>
    <t>Operational Data</t>
  </si>
  <si>
    <t>Dados Operacionais</t>
  </si>
  <si>
    <t>Balance Sheet</t>
  </si>
  <si>
    <t>Balanço Patrimonial</t>
  </si>
  <si>
    <t>Assets</t>
  </si>
  <si>
    <t>Ativos</t>
  </si>
  <si>
    <t>Interest income</t>
  </si>
  <si>
    <t>Receita de juros</t>
  </si>
  <si>
    <t>Loan portfolio</t>
  </si>
  <si>
    <t>(-) Hedge accounting from real estate loans</t>
  </si>
  <si>
    <t>(-) Resultado de hedge accounting de crédito imobiliário</t>
  </si>
  <si>
    <t>Average portfolio that generates provision expenses</t>
  </si>
  <si>
    <t>Portfólio médio que gera despesas de provisão</t>
  </si>
  <si>
    <t>Amounts due from financial institutions excl. interbank onlending</t>
  </si>
  <si>
    <t xml:space="preserve"> Empréstimos e adiantamento a instituições financeiras excl. repasses interfinanceiros</t>
  </si>
  <si>
    <t>Total Expenses</t>
  </si>
  <si>
    <t>Despesas Totais</t>
  </si>
  <si>
    <t>Carteira de crédito</t>
  </si>
  <si>
    <t>Funding - including other interest bearing liabilities</t>
  </si>
  <si>
    <t>Funding - incluindo outros passivos que geram despesas de juros</t>
  </si>
  <si>
    <t>KPIs financeiros</t>
  </si>
  <si>
    <t>Cost of risk  (Excl. Antic. of CC Receivables)</t>
  </si>
  <si>
    <t>Cost of risk  (Excl. Antec. de Recebíveis CC)</t>
  </si>
  <si>
    <t>Cost of risk (%)</t>
  </si>
  <si>
    <t>Inter seguros</t>
  </si>
  <si>
    <t>Inter shop</t>
  </si>
  <si>
    <t>Digital account</t>
  </si>
  <si>
    <t>Conta digital</t>
  </si>
  <si>
    <t>KPIs operacionais</t>
  </si>
  <si>
    <t>Note 1: New methodology for Efficiency Ratio since 1Q23. Considering D&amp;A as expanses and excluding tax expenses from revenues.</t>
  </si>
  <si>
    <t>Note 1: Nova metodologia para Índice de Eficiência desde o 1T23. Considerando D&amp;A em despesas e excluindo despesas tributárias na receita.</t>
  </si>
  <si>
    <t>Variation %</t>
  </si>
  <si>
    <t>Variação %</t>
  </si>
  <si>
    <t>Source</t>
  </si>
  <si>
    <t>Fonte</t>
  </si>
  <si>
    <t>English</t>
  </si>
  <si>
    <t>4Q20</t>
  </si>
  <si>
    <t>4T20</t>
  </si>
  <si>
    <t>Others</t>
  </si>
  <si>
    <t>Outros</t>
  </si>
  <si>
    <t>Income Statement</t>
  </si>
  <si>
    <t>DRE</t>
  </si>
  <si>
    <t>Caixa e equivalentes de caixa</t>
  </si>
  <si>
    <t>Interest expenses</t>
  </si>
  <si>
    <t>Despesas de juros</t>
  </si>
  <si>
    <t>Gross loans and advances to customers</t>
  </si>
  <si>
    <t>(-) Hedge accounting from personal loans</t>
  </si>
  <si>
    <t>(-) Resultado de hedge accounting de crédito pessoal</t>
  </si>
  <si>
    <t>Portfolio that generates provision expenses</t>
  </si>
  <si>
    <t>Portfólio que gera despesas de provisão</t>
  </si>
  <si>
    <t>(-) Repasses interfinanceiros</t>
  </si>
  <si>
    <t>Total expenses</t>
  </si>
  <si>
    <t>Depesas totais</t>
  </si>
  <si>
    <t>Empréstimos e adiantamentos a clientes</t>
  </si>
  <si>
    <t>Passivos com clientes</t>
  </si>
  <si>
    <t xml:space="preserve">Revenues from services and commissions </t>
  </si>
  <si>
    <t>Receitas de serviços e comissões</t>
  </si>
  <si>
    <t>Tier I Ratio</t>
  </si>
  <si>
    <t>Tier I ratio (%)</t>
  </si>
  <si>
    <t>Índice de basileia (%)</t>
  </si>
  <si>
    <t>Capital ratio</t>
  </si>
  <si>
    <t>Índice de basiléia</t>
  </si>
  <si>
    <t>NIM 1.0 - IEP + non-interest credit card receivables</t>
  </si>
  <si>
    <t>NIM 1.0 - carteira remunerada + recebíveis CC que não geram juros</t>
  </si>
  <si>
    <t>Anuallized impairment losses on financial assets</t>
  </si>
  <si>
    <t>Resultado de perdas esperadas anualizado</t>
  </si>
  <si>
    <t>NPL &gt; 90 days (including anticipation of credit card receivables, %)</t>
  </si>
  <si>
    <t>NPL &gt; 90 dias (incluindo antecipação de recebíveis de cartão de crédito, %)</t>
  </si>
  <si>
    <t>Cost-to-serve</t>
  </si>
  <si>
    <t>Custo de servir</t>
  </si>
  <si>
    <t>ARPAC (gross of cost of funding)</t>
  </si>
  <si>
    <t>ARPAC (bruto de custo de funding)</t>
  </si>
  <si>
    <t>Active contracts</t>
  </si>
  <si>
    <t>Contratos ativos</t>
  </si>
  <si>
    <t>Gross merchandise volume</t>
  </si>
  <si>
    <t>Volume transacionado</t>
  </si>
  <si>
    <t>Number of cards used (in thousands)</t>
  </si>
  <si>
    <t>Número de cartões utilizados (em mil)</t>
  </si>
  <si>
    <t>CAC</t>
  </si>
  <si>
    <t>Note 1: New methodology for Total cost-to-serve since 1Q23 Considering D&amp;A as expanses.</t>
  </si>
  <si>
    <t>Note 1: Nova metodologia para Custo de servir desde o 1T23. Considerando D&amp;A nas depesas e excluindo despesas tributárias.</t>
  </si>
  <si>
    <t>Efficiency ratio </t>
  </si>
  <si>
    <t>Índice de eficiência</t>
  </si>
  <si>
    <t>Inter invest</t>
  </si>
  <si>
    <t>KPIs</t>
  </si>
  <si>
    <t>KPI Inputs</t>
  </si>
  <si>
    <t>Input KPI</t>
  </si>
  <si>
    <t>Inter Pag</t>
  </si>
  <si>
    <t>ROE Including Minority Interest (%)</t>
  </si>
  <si>
    <t>ROE Incluindo Minoritários (%)</t>
  </si>
  <si>
    <t>1Q21</t>
  </si>
  <si>
    <t>1T21</t>
  </si>
  <si>
    <t xml:space="preserve">Credit </t>
  </si>
  <si>
    <t>Crédito</t>
  </si>
  <si>
    <t>Amounts due from financial institutions</t>
  </si>
  <si>
    <t>Empréstimos e adiantamento a instituições financeiras</t>
  </si>
  <si>
    <t>Income from securities and derivatives and foreing exchange</t>
  </si>
  <si>
    <t>Resultado de títulos e valores mobiliários e derivativos e câmbio</t>
  </si>
  <si>
    <t>Real estate</t>
  </si>
  <si>
    <t>Income from derivatives excl. loan hedge accouting</t>
  </si>
  <si>
    <t>Resultado de derivativos excl. excl. hedge accouting de empréstimos</t>
  </si>
  <si>
    <t>All-in Cost of Risk (%)</t>
  </si>
  <si>
    <t>Custo de Risco Amplo (%)</t>
  </si>
  <si>
    <t>Total Interest Earning Assets</t>
  </si>
  <si>
    <t>Total de Ativos que Geram Juros</t>
  </si>
  <si>
    <t>Imobiliário</t>
  </si>
  <si>
    <t>Demand deposits</t>
  </si>
  <si>
    <t>Depósitos à vista</t>
  </si>
  <si>
    <t>Interchange</t>
  </si>
  <si>
    <t xml:space="preserve">Receitas de intercâmbio </t>
  </si>
  <si>
    <t>NIM 1.0 - IEP + Non-interest credit card receivables</t>
  </si>
  <si>
    <t>NIM 1.0 - IEP + non-interest credit card receivables (%)</t>
  </si>
  <si>
    <t>NIM 1.0 - Carteira remunerada + recebíveis CC que não geram juros (%)</t>
  </si>
  <si>
    <t>Referential equity (RE)</t>
  </si>
  <si>
    <t xml:space="preserve">Patrimônio de referência (PR) </t>
  </si>
  <si>
    <t>Annualized NII</t>
  </si>
  <si>
    <t>NII anualizado</t>
  </si>
  <si>
    <t>Impairment losses on financial assets</t>
  </si>
  <si>
    <t>Resultado de perdas esperadas</t>
  </si>
  <si>
    <t>NPL 15-90 days (including anticipation of credit card receivables, %)</t>
  </si>
  <si>
    <t>NPL 15-90 dias (incluindo antecipação de recebíveis de cartão de crédito, %)</t>
  </si>
  <si>
    <t>Monthly average of cost-to-serve</t>
  </si>
  <si>
    <t>Custo de servir médio mensal</t>
  </si>
  <si>
    <t>Monthly average of total gross revenues</t>
  </si>
  <si>
    <t>Receita bruta total mensal média</t>
  </si>
  <si>
    <t>Inter Seguros net revenues</t>
  </si>
  <si>
    <t>Receita líquida Inter Seguros</t>
  </si>
  <si>
    <t>Inter Shop net revenues</t>
  </si>
  <si>
    <t>Receita líquida Inter Shop</t>
  </si>
  <si>
    <t>Debit cards used</t>
  </si>
  <si>
    <t>Débito</t>
  </si>
  <si>
    <t>NPS</t>
  </si>
  <si>
    <t>Source: CDI Rate according to CETIP</t>
  </si>
  <si>
    <t>Fonte: Taxa do CDI de acordo com a CETIP</t>
  </si>
  <si>
    <t>Total operational expenses</t>
  </si>
  <si>
    <t>Despesas operacionais totais</t>
  </si>
  <si>
    <t>Total AUC</t>
  </si>
  <si>
    <t>AuC/AuM Total</t>
  </si>
  <si>
    <t>Unit Economics</t>
  </si>
  <si>
    <t>Banking Accounts - Brazil</t>
  </si>
  <si>
    <t>Contas Bancárias - Brasil</t>
  </si>
  <si>
    <t>Active Clients</t>
  </si>
  <si>
    <t>Clientes Ativos</t>
  </si>
  <si>
    <t>Annualized net income including minority interest</t>
  </si>
  <si>
    <t>Lucro líquido incluindo minoritários anualizado</t>
  </si>
  <si>
    <t>2Q21</t>
  </si>
  <si>
    <t>2T21</t>
  </si>
  <si>
    <t>Funding</t>
  </si>
  <si>
    <t>Net interest income and income from securities, derivatives and foreing exchange</t>
  </si>
  <si>
    <t>Resultado líquido de  juros e receita de títulos, derivativos e câmbio</t>
  </si>
  <si>
    <t>Personal</t>
  </si>
  <si>
    <t>Gross interest income</t>
  </si>
  <si>
    <t>Receita bruta de juros</t>
  </si>
  <si>
    <t>All-in cost of risk (%)</t>
  </si>
  <si>
    <t>Custo de risco amplo (%)</t>
  </si>
  <si>
    <t>Sovereign securities</t>
  </si>
  <si>
    <t>Títulos soberanos</t>
  </si>
  <si>
    <t>Pessoal</t>
  </si>
  <si>
    <t>Time deposits</t>
  </si>
  <si>
    <t>Depósitos a prazo</t>
  </si>
  <si>
    <t>Comissions</t>
  </si>
  <si>
    <t xml:space="preserve">Receitas de comissões </t>
  </si>
  <si>
    <t>NIM 2.0 - IEP only</t>
  </si>
  <si>
    <t>NIM 2.0 - IEP only (%)</t>
  </si>
  <si>
    <t>NIM 2.0 - Apenas carteira remunerada (%)</t>
  </si>
  <si>
    <t>Tier I referential equity</t>
  </si>
  <si>
    <t xml:space="preserve">Patrimônio de referência nível I </t>
  </si>
  <si>
    <t>NII</t>
  </si>
  <si>
    <t>(÷) Avg of the last two periods of gross loans and advances to customers</t>
  </si>
  <si>
    <t>(÷) Média dos últimos dois períodos de empréstimos e adiantamentos a clientes</t>
  </si>
  <si>
    <t>Efficiency</t>
  </si>
  <si>
    <t>Eficiência</t>
  </si>
  <si>
    <t>Total cost-to-serve</t>
  </si>
  <si>
    <t>Custo de servir total</t>
  </si>
  <si>
    <t>Total gross revenues</t>
  </si>
  <si>
    <t>Receita bruta total</t>
  </si>
  <si>
    <t>Inter Seguros net fee revenues</t>
  </si>
  <si>
    <t>Receita líquida de serviços e comissões Inter Seguros</t>
  </si>
  <si>
    <t>Inter Shop net fee revenues</t>
  </si>
  <si>
    <t>Receita líquida de serviços e comissões Inter Shop</t>
  </si>
  <si>
    <t>Credit cards used</t>
  </si>
  <si>
    <t>Total clients (million)</t>
  </si>
  <si>
    <t>Clientes totais (milhões)</t>
  </si>
  <si>
    <t>Personnel expenses</t>
  </si>
  <si>
    <t>Despesa de pessoal</t>
  </si>
  <si>
    <t>Funding (includes deposits and other on-balance funding)</t>
  </si>
  <si>
    <t>Funding (incluindo outras operações)</t>
  </si>
  <si>
    <t>Total Clients (mm)</t>
  </si>
  <si>
    <t>Total de Clientes (mm)</t>
  </si>
  <si>
    <t>Cost of funding (%)</t>
  </si>
  <si>
    <t>Custo de funding (%)</t>
  </si>
  <si>
    <t>Individuals with Banking Accounts</t>
  </si>
  <si>
    <t>CPFs com Contas Bancárias</t>
  </si>
  <si>
    <t>Estatísticas do CCS - Banco Central do Brasil</t>
  </si>
  <si>
    <t>Total TPV</t>
  </si>
  <si>
    <t>TPV Total</t>
  </si>
  <si>
    <t>Net income including minority interest</t>
  </si>
  <si>
    <t>Lucro líquido incluindo minoritários</t>
  </si>
  <si>
    <t>3Q21</t>
  </si>
  <si>
    <t>3T21</t>
  </si>
  <si>
    <t>Fee Revenue</t>
  </si>
  <si>
    <t>Receita Líquida</t>
  </si>
  <si>
    <t>Securities</t>
  </si>
  <si>
    <t>Títulos e valores mobiliários</t>
  </si>
  <si>
    <t>SME</t>
  </si>
  <si>
    <t>Other IEPs Rate (%)</t>
  </si>
  <si>
    <t>Taxa de outros IEPs (%)</t>
  </si>
  <si>
    <t>Private securities</t>
  </si>
  <si>
    <t>Títulos e valores mobiliários privados</t>
  </si>
  <si>
    <t>Empresas</t>
  </si>
  <si>
    <t>Savings deposits</t>
  </si>
  <si>
    <t>Depósitos de poupança</t>
  </si>
  <si>
    <t>Banking</t>
  </si>
  <si>
    <t xml:space="preserve">Receitas de tarifas bancárias </t>
  </si>
  <si>
    <t>Efficiency Ratio</t>
  </si>
  <si>
    <t>Efficiency ratio (%)</t>
  </si>
  <si>
    <t>Índice de eficiência (%)</t>
  </si>
  <si>
    <t>Core capital (CC)</t>
  </si>
  <si>
    <t xml:space="preserve">Capital principal (CP) </t>
  </si>
  <si>
    <t>Net interest income</t>
  </si>
  <si>
    <t>Resultado líquido de juros</t>
  </si>
  <si>
    <t>CAC (R$)</t>
  </si>
  <si>
    <t>Inter Seguros net interest revenues</t>
  </si>
  <si>
    <t>Receita líquida de juros Inter Seguros</t>
  </si>
  <si>
    <t>Inter Shop net interest revenues</t>
  </si>
  <si>
    <t>Receita líquida de juros Inter Shop</t>
  </si>
  <si>
    <t>Total cards used</t>
  </si>
  <si>
    <t>Número total de cartões utilizados</t>
  </si>
  <si>
    <t>Active clients (million)</t>
  </si>
  <si>
    <t>Clientes ativos (milhões)</t>
  </si>
  <si>
    <t>Administrative expenses</t>
  </si>
  <si>
    <t>Despesas administrativas</t>
  </si>
  <si>
    <t>Inter Asset AuM + Inter Securities AuM</t>
  </si>
  <si>
    <t>Active Clients (mm)</t>
  </si>
  <si>
    <t>Clientes Ativos (mm)</t>
  </si>
  <si>
    <t>NIM (%) 2.0 - IEP only</t>
  </si>
  <si>
    <t>NIM 2.0 - carteira remunerada</t>
  </si>
  <si>
    <t>Business with Banking Accounts</t>
  </si>
  <si>
    <t>CNPJs com Contas Bancárias</t>
  </si>
  <si>
    <t>Credit TPV</t>
  </si>
  <si>
    <t>TPV Crédito</t>
  </si>
  <si>
    <t xml:space="preserve"> (÷) Average total equity of the last two periods</t>
  </si>
  <si>
    <t xml:space="preserve"> (÷) Total do patrimônio líquido médio dos últimos dois períodos</t>
  </si>
  <si>
    <t>4Q21</t>
  </si>
  <si>
    <t>4T21</t>
  </si>
  <si>
    <t>Financial KPIs</t>
  </si>
  <si>
    <t>Derivative financial assets</t>
  </si>
  <si>
    <t>Instrumentos financeiros derivativos</t>
  </si>
  <si>
    <t>Expenses from services and commissions</t>
  </si>
  <si>
    <t>Despesas de serviços e comissões</t>
  </si>
  <si>
    <t>Credit cards</t>
  </si>
  <si>
    <t>Non-transactor credit card portfolio</t>
  </si>
  <si>
    <t>Carteira de cartão de crédito que geram juros</t>
  </si>
  <si>
    <t>Cartão de crédito</t>
  </si>
  <si>
    <t>Creditors by resources to release</t>
  </si>
  <si>
    <t>Credores por recursos a liberar</t>
  </si>
  <si>
    <t>Management (Inter DTVM &amp; Asset)</t>
  </si>
  <si>
    <t>Receita de gestão (Inter DTVM &amp; Asset)</t>
  </si>
  <si>
    <t>Cost-to-serve (R$)</t>
  </si>
  <si>
    <t>Custo de servir (R$)</t>
  </si>
  <si>
    <t>Risk weighted assets - RWA</t>
  </si>
  <si>
    <t>Ativos ponderados por risco - RWA</t>
  </si>
  <si>
    <t>Net gains / (losses) from derivatives</t>
  </si>
  <si>
    <t>Resultado de instrumentos financeiros derivativos</t>
  </si>
  <si>
    <t>Gross loans and advances to customers in the previous period</t>
  </si>
  <si>
    <t>Empréstimos e adiantamentos a clientes no período anterior</t>
  </si>
  <si>
    <t>Income from securities and derivatives</t>
  </si>
  <si>
    <t>Resultado de títulos e valores mobiliários e derivativos</t>
  </si>
  <si>
    <t>EBITDA</t>
  </si>
  <si>
    <t>Cashback expenses</t>
  </si>
  <si>
    <t>Despesas de Cashback</t>
  </si>
  <si>
    <t>Longevity ratio (clients more than 1 year old at Inter) (%)</t>
  </si>
  <si>
    <t>Índice de longevidade (clientes com mais de um ano no inter) %</t>
  </si>
  <si>
    <t>Depreciation and amortization</t>
  </si>
  <si>
    <t>Depreciação e amortização</t>
  </si>
  <si>
    <t>Inter DTVM - management, distribution and custody</t>
  </si>
  <si>
    <t>Inter DTVM - gestão, distribuição e custódia</t>
  </si>
  <si>
    <t>Gross ARPAC (R$)</t>
  </si>
  <si>
    <t>ARPAC Bruto (R$)</t>
  </si>
  <si>
    <t>Net fee income growth (%, QoQ)</t>
  </si>
  <si>
    <t>Crescimento das receitas líquidas de serviços (%, QoQ)</t>
  </si>
  <si>
    <t>Debt TPV</t>
  </si>
  <si>
    <t>TPV Débito</t>
  </si>
  <si>
    <t>Total equity</t>
  </si>
  <si>
    <t>Total do patrimônio líquido</t>
  </si>
  <si>
    <t>1Q22</t>
  </si>
  <si>
    <t>1T22</t>
  </si>
  <si>
    <t>Índice de Basileia</t>
  </si>
  <si>
    <t>Net loans and advances to customers</t>
  </si>
  <si>
    <t>Net result from services and commissions</t>
  </si>
  <si>
    <t>Resultado líquido de serviços e comissões</t>
  </si>
  <si>
    <t>Agribusiness</t>
  </si>
  <si>
    <t>Loans and advances to customers excl. transactor credit card portfolio</t>
  </si>
  <si>
    <t>Empréstimos e adiantamentos a clientes excl. carteira de cartão de crédito que não geram juros</t>
  </si>
  <si>
    <t>Rural</t>
  </si>
  <si>
    <t>Securities issued</t>
  </si>
  <si>
    <t>Títulos emitidos</t>
  </si>
  <si>
    <t>Other</t>
  </si>
  <si>
    <t>ARPAC Gross of Cost of Funding</t>
  </si>
  <si>
    <t>ARPAC gross of cost of funding (R$)</t>
  </si>
  <si>
    <t>ARPAC bruto de custo de funding (R$)</t>
  </si>
  <si>
    <t>RWA for credit risk by standardized approach - RWACPAD</t>
  </si>
  <si>
    <t>RWA para risco de crédito por abordagem padronizada - RWACPAD</t>
  </si>
  <si>
    <t>(÷) Avg of the last two periods of IEP + non-interest credit card receivables</t>
  </si>
  <si>
    <t>(÷) Média dos últimos dois períodos de Carteira remunerada + recebíveis CC que não geram juros</t>
  </si>
  <si>
    <t>Cost of risk (%) (Excl. Antic. of CC Receivables)</t>
  </si>
  <si>
    <t>Cost of risk (%) (Excl. Antec. de Recebíveis CC)</t>
  </si>
  <si>
    <t>Managerial EBITDA Margin</t>
  </si>
  <si>
    <t>Margem EBITDA Gerencial</t>
  </si>
  <si>
    <t>Take rate</t>
  </si>
  <si>
    <t>Cards + PIX TPV (in million)</t>
  </si>
  <si>
    <t>Cartões + PIX TPV (em milhões)</t>
  </si>
  <si>
    <t>Activity rate (%)</t>
  </si>
  <si>
    <t>Índice de ativação (%)</t>
  </si>
  <si>
    <t>(÷) Total net revenues excluding tax expenses</t>
  </si>
  <si>
    <t>(÷) Receitais totais excluindo despesas tributárias</t>
  </si>
  <si>
    <t>Inter Invest net revenues</t>
  </si>
  <si>
    <t xml:space="preserve">Receita líquida Inter Invest </t>
  </si>
  <si>
    <t>CTS (R$)</t>
  </si>
  <si>
    <t>PIX TPV</t>
  </si>
  <si>
    <t>TPV PIX</t>
  </si>
  <si>
    <t>ROE including minority interest (%)</t>
  </si>
  <si>
    <t>ROE incluindo minoritários (%)</t>
  </si>
  <si>
    <t>2Q22</t>
  </si>
  <si>
    <t>2T22</t>
  </si>
  <si>
    <t>NIMs</t>
  </si>
  <si>
    <t>Non-current assets held for sale</t>
  </si>
  <si>
    <t>Ativos não circulantes mantidos para venda</t>
  </si>
  <si>
    <t>Prepayment of receivables</t>
  </si>
  <si>
    <t>Total interest earning assets</t>
  </si>
  <si>
    <t>Total de ativos que geram juros</t>
  </si>
  <si>
    <t>Antecipação de recebíveis de cartão de crédito</t>
  </si>
  <si>
    <t>Total funding</t>
  </si>
  <si>
    <t>Funding total</t>
  </si>
  <si>
    <t>Securities placement</t>
  </si>
  <si>
    <t xml:space="preserve">Colocação de valores mobiliários </t>
  </si>
  <si>
    <t>ARPAC Net of Cost of of Funding</t>
  </si>
  <si>
    <t>ARPAC net of cost of of funding (R$)</t>
  </si>
  <si>
    <t>ARPAC líquido de custo de funding (R$)</t>
  </si>
  <si>
    <t>RWA for market risk - RWAMPAD</t>
  </si>
  <si>
    <t>RWA para risco de mercado - RWAMPAD</t>
  </si>
  <si>
    <t>IEP + non-interest credit card receivables</t>
  </si>
  <si>
    <t>Carteira remunerada + recebíveis CC que não geram juros</t>
  </si>
  <si>
    <t>Note 1: 1Q22 managerial figure, excluding non-recurrent provision.</t>
  </si>
  <si>
    <t>Nota 2: Despesa gerencial em 1T22 excluindo provisão não recorrente.</t>
  </si>
  <si>
    <t>CAC expenses</t>
  </si>
  <si>
    <t>Despesas de CAC</t>
  </si>
  <si>
    <t>Inter Seguros net income</t>
  </si>
  <si>
    <t>Lucro líquido Inter Seguros</t>
  </si>
  <si>
    <t>Net take rate</t>
  </si>
  <si>
    <t>Debit TPV</t>
  </si>
  <si>
    <t>Headcount</t>
  </si>
  <si>
    <t>Número de funcionários</t>
  </si>
  <si>
    <t>Inter Invest net fee revenues</t>
  </si>
  <si>
    <t xml:space="preserve">Receita líquida de serviços e comissões Inter Invest </t>
  </si>
  <si>
    <t>TPV</t>
  </si>
  <si>
    <t>Anticipated TPV</t>
  </si>
  <si>
    <t>TPV Antecipado</t>
  </si>
  <si>
    <t>3Q22</t>
  </si>
  <si>
    <t>3T22</t>
  </si>
  <si>
    <t>Índice de Eficiência</t>
  </si>
  <si>
    <t>Equity accounted investees</t>
  </si>
  <si>
    <t>Investimentos</t>
  </si>
  <si>
    <t>Other revenues</t>
  </si>
  <si>
    <t>Outras receitas</t>
  </si>
  <si>
    <t>Gross loan portfolio</t>
  </si>
  <si>
    <t>(-) Provision for expected loss on loans on loans to customers</t>
  </si>
  <si>
    <t>Carteira de crédito bruta</t>
  </si>
  <si>
    <t>Cost of funding</t>
  </si>
  <si>
    <t>Custo de funding</t>
  </si>
  <si>
    <t>Despesas de cashback</t>
  </si>
  <si>
    <t>ROAA</t>
  </si>
  <si>
    <t>ROAA (%)</t>
  </si>
  <si>
    <t>RWA for operating risk by standard approach - RWAOPAD</t>
  </si>
  <si>
    <t>RWA para risco operacional por abordagem padronizada - RWAOPAD</t>
  </si>
  <si>
    <t>(÷) Average active clients</t>
  </si>
  <si>
    <t>(÷) Média de clientes ativos</t>
  </si>
  <si>
    <t>Active clients per employee (thousands)</t>
  </si>
  <si>
    <t>Clientes ativos por funcionário (mil)</t>
  </si>
  <si>
    <t>Inter Invest net interest revenues</t>
  </si>
  <si>
    <t xml:space="preserve">Receita líquida de juros Inter Invest </t>
  </si>
  <si>
    <t>Tax expenses as % of total revenues</t>
  </si>
  <si>
    <t>Tributos como % de receitas totais</t>
  </si>
  <si>
    <t>PIX</t>
  </si>
  <si>
    <t>Anticipated TPV (%)</t>
  </si>
  <si>
    <t>TPV Antecipado (%)</t>
  </si>
  <si>
    <t>4Q22</t>
  </si>
  <si>
    <t>4T22</t>
  </si>
  <si>
    <t>Cost-to-Serve</t>
  </si>
  <si>
    <t>Custo de Servir</t>
  </si>
  <si>
    <t>Property and equipment</t>
  </si>
  <si>
    <t>Imobilizado</t>
  </si>
  <si>
    <t>Total net revenues</t>
  </si>
  <si>
    <t>Receitas líquidas</t>
  </si>
  <si>
    <t>(-) Provision for expected loss on loans on loans to financial institutions</t>
  </si>
  <si>
    <t>(-) Perda esperada por redução ao valor recuperável de empréstimos a clientes</t>
  </si>
  <si>
    <t>Empréstimos a instituições financeiras</t>
  </si>
  <si>
    <t>Empréstimos e adiantamentos a clientes, líquido de provisão</t>
  </si>
  <si>
    <t>Annualized interest expenses</t>
  </si>
  <si>
    <t>Despesa de juros anualizadas</t>
  </si>
  <si>
    <t>ROAE</t>
  </si>
  <si>
    <t>ROAE (%)</t>
  </si>
  <si>
    <t>Capital requirement</t>
  </si>
  <si>
    <t>Requerimento de capital</t>
  </si>
  <si>
    <t>Cost of risk</t>
  </si>
  <si>
    <t>Cost of funding % of CDI</t>
  </si>
  <si>
    <t>Custo de funding % do CDI</t>
  </si>
  <si>
    <t>Active clients</t>
  </si>
  <si>
    <t>Clientes ativos</t>
  </si>
  <si>
    <t>(+) Cashback expenses</t>
  </si>
  <si>
    <t>(+) Despesas de cashback</t>
  </si>
  <si>
    <t>PIX Transactions</t>
  </si>
  <si>
    <t>Transações PIX</t>
  </si>
  <si>
    <t>Sistema de Pagamentos Brasileiro (SPB) - Estatísticas do Pix - Banco Central do Brasil</t>
  </si>
  <si>
    <t>Take Rate (%)</t>
  </si>
  <si>
    <t>1Q23</t>
  </si>
  <si>
    <t>1T23</t>
  </si>
  <si>
    <t>ARPAC</t>
  </si>
  <si>
    <t>Intangible assets</t>
  </si>
  <si>
    <t>Intangível</t>
  </si>
  <si>
    <t>Other income</t>
  </si>
  <si>
    <t>Outros rendimentos</t>
  </si>
  <si>
    <t>(-) Perda esperada por redução ao valor recuperável de empréstimos a instituições financeiras</t>
  </si>
  <si>
    <t>Interbank deposit investments</t>
  </si>
  <si>
    <t>Aplicações em depósitos interfinanceiros</t>
  </si>
  <si>
    <t>Despesa de juros</t>
  </si>
  <si>
    <t>Minimum principal capital required for RWA</t>
  </si>
  <si>
    <t>Capital principal mínimo requerido para o RWA</t>
  </si>
  <si>
    <t>Revenues</t>
  </si>
  <si>
    <t>Receitas</t>
  </si>
  <si>
    <t>Active clients in the previous period</t>
  </si>
  <si>
    <t>Clientes ativos no período anterior</t>
  </si>
  <si>
    <t>(÷) Average of active clients</t>
  </si>
  <si>
    <t>Note: 3Q24 net fee revenue reflects the reclassification of provisions for canceled sales, moving these amounts from administrative expenses to expenses for services and commissions in 2024.</t>
  </si>
  <si>
    <t>Nota: A receita líquida de taxas do 3T24 reflete a reclassificação das provisões para vendas canceladas, movendo esses valores de despesas administrativas para despesas com serviços e comissões em 2024.</t>
  </si>
  <si>
    <t>Cards + PIX TPV</t>
  </si>
  <si>
    <t>Cartões + PIX TPV</t>
  </si>
  <si>
    <t>Gross Revenue (R$ mm)</t>
  </si>
  <si>
    <t>Receita Bruta (R$ mm)</t>
  </si>
  <si>
    <t>IEP growth (%, QoQ)</t>
  </si>
  <si>
    <t>Crescimento dos ativos rentáveis (QoQ, %)</t>
  </si>
  <si>
    <t>PIX TPV (R$)</t>
  </si>
  <si>
    <t>TPV PIX (R$)</t>
  </si>
  <si>
    <t>Net income excluding minority interest</t>
  </si>
  <si>
    <t>Lucro líquido excluindo minoritários</t>
  </si>
  <si>
    <t>2Q23</t>
  </si>
  <si>
    <t>2T23</t>
  </si>
  <si>
    <t>Inter Invest</t>
  </si>
  <si>
    <t>Deferred tax assets</t>
  </si>
  <si>
    <t>Ativos fiscal diferido</t>
  </si>
  <si>
    <t>(-) Provision for expected loss</t>
  </si>
  <si>
    <t>Reverse repurchase agreements</t>
  </si>
  <si>
    <t xml:space="preserve">Aplicações interfinanceiras de liquidez </t>
  </si>
  <si>
    <t>(-) Perda esperada por redução ao valor recuperável</t>
  </si>
  <si>
    <t>(÷) Average funding</t>
  </si>
  <si>
    <t>(÷) Funding médio</t>
  </si>
  <si>
    <t>Tier I minimum reference equity required to RWA</t>
  </si>
  <si>
    <t>Patrimônio de referência nível I mínimo requerido para o RWA</t>
  </si>
  <si>
    <t>Total gross revenues (R$ million)</t>
  </si>
  <si>
    <t>Receita bruta total (R$ milhões)</t>
  </si>
  <si>
    <t>Tax expenses</t>
  </si>
  <si>
    <t>Despesas tributárias</t>
  </si>
  <si>
    <t>Net Revenues (R$ mm)</t>
  </si>
  <si>
    <t>Receita Líquida (R$ mm)</t>
  </si>
  <si>
    <t>Funding growth (%, QoQ)</t>
  </si>
  <si>
    <t>Crescimento do funding (QoQ, %)</t>
  </si>
  <si>
    <t xml:space="preserve"> (÷) Average equity attributable to owners of the Company of the last two periods</t>
  </si>
  <si>
    <t>Patrimônio líquido dos acionistas controladores médio dos últimos dois períodos</t>
  </si>
  <si>
    <t>3Q23</t>
  </si>
  <si>
    <t>3T23</t>
  </si>
  <si>
    <t>Inter Seguros</t>
  </si>
  <si>
    <t>Other assets</t>
  </si>
  <si>
    <t>Outros ativos</t>
  </si>
  <si>
    <t>Gross IEP</t>
  </si>
  <si>
    <t>ROAA (%) - Excluding Minority Interest</t>
  </si>
  <si>
    <t>ROAA (%) - Excluindo Participação de Acionistas Minoritários</t>
  </si>
  <si>
    <t>Minimum Reference Equity required to RWA</t>
  </si>
  <si>
    <t>Patrimônio de referência mínimo requerido para o RWA</t>
  </si>
  <si>
    <t>(=) NIM 1.0 - IEP + non-interest credit card receivables (%)</t>
  </si>
  <si>
    <t>(=) NIM 1.0 - carteira remunerada + recebíveis CC que não geram juros (%)</t>
  </si>
  <si>
    <t>Net fee revenues (R$ million)</t>
  </si>
  <si>
    <t>Receitas líquida de serviços (R$ millhões)</t>
  </si>
  <si>
    <t>Active clients in the previus period</t>
  </si>
  <si>
    <t>Efficiency ratio (%)</t>
  </si>
  <si>
    <t>Pre Tax Net Income (R$ mm)</t>
  </si>
  <si>
    <t>Lucro Líquido antes de Impostos (R$ mm)</t>
  </si>
  <si>
    <t>KPI Outputs</t>
  </si>
  <si>
    <t>KPIs Output</t>
  </si>
  <si>
    <t>Cards</t>
  </si>
  <si>
    <t>Equity attributable to owners of the Company</t>
  </si>
  <si>
    <t>Patrimônio líquido dos acionistas controladores</t>
  </si>
  <si>
    <t>4Q23</t>
  </si>
  <si>
    <t>4T23</t>
  </si>
  <si>
    <t>Inter Shop</t>
  </si>
  <si>
    <t>Total assets</t>
  </si>
  <si>
    <t>Total de ativos</t>
  </si>
  <si>
    <t>NPL &gt; 90 days</t>
  </si>
  <si>
    <t>Other IEPs</t>
  </si>
  <si>
    <t>Outros IEPs</t>
  </si>
  <si>
    <t>NPL &gt; 90 dias</t>
  </si>
  <si>
    <t>Total funding in the previous period</t>
  </si>
  <si>
    <t>Funding total no período anterior</t>
  </si>
  <si>
    <t>Other revenues + foreign exchange</t>
  </si>
  <si>
    <t>Outras receitas + operações de câmbio e variação cambial</t>
  </si>
  <si>
    <t>ROAE (%) - Excluding Minority Interest</t>
  </si>
  <si>
    <t>ROAE (%) - Excluindo Participação de Acionistas Minoritários</t>
  </si>
  <si>
    <t>Margin on capital requirements</t>
  </si>
  <si>
    <t>Margem sobre os requerimentos de capital</t>
  </si>
  <si>
    <t>Fee income ratio (%)</t>
  </si>
  <si>
    <t>Percentual de receitas líquida de serviços (%)</t>
  </si>
  <si>
    <t>ARPAC bruto (R$)</t>
  </si>
  <si>
    <t>ROEA (%)</t>
  </si>
  <si>
    <t>Credit Cards TPV (R$)</t>
  </si>
  <si>
    <t>TPV Cartão de Crédito (R$)</t>
  </si>
  <si>
    <t>Associação Brasileira das Empresas de Cartões de Crédito e Serviços - Sistema de Informações – Monitor Abecs</t>
  </si>
  <si>
    <t>1Q24</t>
  </si>
  <si>
    <t>1T24</t>
  </si>
  <si>
    <t>Digital Account</t>
  </si>
  <si>
    <t>Conta Digital</t>
  </si>
  <si>
    <t>Liabilities</t>
  </si>
  <si>
    <t>Passivo</t>
  </si>
  <si>
    <t xml:space="preserve">Despesas tributárias </t>
  </si>
  <si>
    <t>(-) Reverse repurchase agreements</t>
  </si>
  <si>
    <t xml:space="preserve">(-) Aplicações interfinanceiras de liquidez </t>
  </si>
  <si>
    <t>(=) Custo de funding (%)</t>
  </si>
  <si>
    <t>Performance fees</t>
  </si>
  <si>
    <t>Receitas de performance</t>
  </si>
  <si>
    <t>Margin on required principal capital</t>
  </si>
  <si>
    <t>Margem sobre o capital principal requerido</t>
  </si>
  <si>
    <t>NIM 2.0 - IEP</t>
  </si>
  <si>
    <t>NIM 2.0 - apenas carteira remunerada</t>
  </si>
  <si>
    <t>Gross loan portfolio in the previous period</t>
  </si>
  <si>
    <t>NII (R$ million)</t>
  </si>
  <si>
    <t>NII (R$ millhões)</t>
  </si>
  <si>
    <t>Debt Card TPV (R$)</t>
  </si>
  <si>
    <t>TPV Cartão de Débito (R$)</t>
  </si>
  <si>
    <t>2Q24</t>
  </si>
  <si>
    <t>2T24</t>
  </si>
  <si>
    <t>NPL &gt; 90 days (%)</t>
  </si>
  <si>
    <t xml:space="preserve">Caixa e equivalentes excl. plicações interfinanceiras de liquidez </t>
  </si>
  <si>
    <t>NPL &gt; 90 dias (%)</t>
  </si>
  <si>
    <t>(÷) Average daily CDI rate in the period (%)</t>
  </si>
  <si>
    <t>(÷) CDI médio diário no período (%)</t>
  </si>
  <si>
    <t>Capital gains (losses)</t>
  </si>
  <si>
    <t>Ganhos de capital</t>
  </si>
  <si>
    <t>Margin on the tier I required reference equity</t>
  </si>
  <si>
    <t>Margem sobre o patrimônio de referência nível I requerido</t>
  </si>
  <si>
    <t>ARPAC (net of cost of funding)</t>
  </si>
  <si>
    <t>ARPAC (líquido de custo de funding)</t>
  </si>
  <si>
    <t>Personnel efficiency ratio </t>
  </si>
  <si>
    <t>Índice de eficiência de pessoal</t>
  </si>
  <si>
    <t>Balance Sheet &amp; Capital</t>
  </si>
  <si>
    <t>Balanço Patriomonial e Capital</t>
  </si>
  <si>
    <t>Crescimento das receitas líquidas de serviços (%)</t>
  </si>
  <si>
    <t>3Q24</t>
  </si>
  <si>
    <t>3T24</t>
  </si>
  <si>
    <t>Cost of Risk</t>
  </si>
  <si>
    <t>Income before taxes and interests in associates</t>
  </si>
  <si>
    <t>Resultados antes dos impostos e participações em coligadas</t>
  </si>
  <si>
    <t>Gross loans and advances to customers excl. rural</t>
  </si>
  <si>
    <t>Empréstimos e adiantamento a clientes excl. rural</t>
  </si>
  <si>
    <t>(=) Custo de funding % do CDI</t>
  </si>
  <si>
    <t>Foreign exchange</t>
  </si>
  <si>
    <t>Operações de câmbio e variação cambial</t>
  </si>
  <si>
    <t>Core capital ratio (CC/RWA)</t>
  </si>
  <si>
    <t xml:space="preserve">Índice de capital principal (CP/RWA) </t>
  </si>
  <si>
    <t>Net ARPAC (R$)</t>
  </si>
  <si>
    <t>ARPAC Líquido (R$)</t>
  </si>
  <si>
    <t>Monthly average total revenues net of cost of funding</t>
  </si>
  <si>
    <t>Receita total mensal média líquida de custo de funding</t>
  </si>
  <si>
    <t>Gross Loan Portfolio (R$ bn)</t>
  </si>
  <si>
    <t>Carteira de Crédito Bruta (R$ bn)</t>
  </si>
  <si>
    <t>Input Values:</t>
  </si>
  <si>
    <t>Valores para input:</t>
  </si>
  <si>
    <t>Loan Portfolio (R$)</t>
  </si>
  <si>
    <t>Carteira de Crédito (R$)</t>
  </si>
  <si>
    <t>4Q24</t>
  </si>
  <si>
    <t>4T24</t>
  </si>
  <si>
    <t>Financial Statements Simulation</t>
  </si>
  <si>
    <t xml:space="preserve">Simulação de Demonstrações Financeiras </t>
  </si>
  <si>
    <t>Resultado de participação em coligadas</t>
  </si>
  <si>
    <t>Coverage ratio (%)</t>
  </si>
  <si>
    <t>Índice de cobertura (%)</t>
  </si>
  <si>
    <t>Other revenue</t>
  </si>
  <si>
    <t xml:space="preserve">Outras receitas </t>
  </si>
  <si>
    <t>Tier I capital ratio (tier I /RWA)</t>
  </si>
  <si>
    <t xml:space="preserve">Índice de capital nível I (nível I /RWA) </t>
  </si>
  <si>
    <t>Proftability</t>
  </si>
  <si>
    <t>Lucratividade</t>
  </si>
  <si>
    <t>Total revenues net of cost of funding</t>
  </si>
  <si>
    <t>Receita total líquida de custo de funding</t>
  </si>
  <si>
    <t>Funding (R$ bn)</t>
  </si>
  <si>
    <t>Funding (R$ bi)</t>
  </si>
  <si>
    <t>1Q25 Actual</t>
  </si>
  <si>
    <t>1T25 Realizado</t>
  </si>
  <si>
    <t>1Q25</t>
  </si>
  <si>
    <t>1T25</t>
  </si>
  <si>
    <t>Disclaimer</t>
  </si>
  <si>
    <t>Derivative financial liabilities</t>
  </si>
  <si>
    <t>Profit / (loss) before income tax</t>
  </si>
  <si>
    <t>Lucro / (prejuízo) antes da tributação sobre o lucro</t>
  </si>
  <si>
    <t>NPL  15-90 days</t>
  </si>
  <si>
    <t>NPL 15-90 dias</t>
  </si>
  <si>
    <t>Obrigações por operações compromissadas</t>
  </si>
  <si>
    <t>Revenue from goods</t>
  </si>
  <si>
    <t>Receita de mercadorias</t>
  </si>
  <si>
    <t>Basel ratio (RE/RWA)</t>
  </si>
  <si>
    <t xml:space="preserve">Índice de basiléia (PR/RWA) </t>
  </si>
  <si>
    <t>Shareholders` Equity (R$ bn)</t>
  </si>
  <si>
    <t>Patrimônio Líquido (R$ bi)</t>
  </si>
  <si>
    <t>Output</t>
  </si>
  <si>
    <t>Total Loan Portfolio</t>
  </si>
  <si>
    <t>Carteira de Crédito Total</t>
  </si>
  <si>
    <t>Banco Central do Brasil - SGS (20539)</t>
  </si>
  <si>
    <t>Glossary</t>
  </si>
  <si>
    <t>Glossário</t>
  </si>
  <si>
    <t>Empréstimos e repasses</t>
  </si>
  <si>
    <t>Current income tax and social contribution</t>
  </si>
  <si>
    <t>Imposto de renda e contribuição social corrente</t>
  </si>
  <si>
    <t>NPL 15-90 days</t>
  </si>
  <si>
    <t>Interbank deposits</t>
  </si>
  <si>
    <t>Depósitos interfinanceiros</t>
  </si>
  <si>
    <t>RWA for payments services - RWASP</t>
  </si>
  <si>
    <t>RWA para serviços de pagamento - RWASP</t>
  </si>
  <si>
    <t>(÷) Avg of the last two periods of IEP</t>
  </si>
  <si>
    <t>(÷) Média dos últimos dois períodos de carteira remunerada</t>
  </si>
  <si>
    <t>Tier 1 Ratio (%)</t>
  </si>
  <si>
    <t>Índice de Basileia (%)</t>
  </si>
  <si>
    <t>Highlights</t>
  </si>
  <si>
    <t>Destaques</t>
  </si>
  <si>
    <t>Tax liabilities</t>
  </si>
  <si>
    <t>Impostos correntes</t>
  </si>
  <si>
    <t>Deferred income tax and social contribution</t>
  </si>
  <si>
    <t>Imposto de renda e contribuição social diferidos</t>
  </si>
  <si>
    <t>NPL 15-90 days (%)</t>
  </si>
  <si>
    <t>NPL 15-90 dias (%)</t>
  </si>
  <si>
    <t>IEP</t>
  </si>
  <si>
    <t>Carteira remunerada</t>
  </si>
  <si>
    <t>Managerial Income Statement (R$ Millions)</t>
  </si>
  <si>
    <t>DRE Gerencial (R$ milhões)</t>
  </si>
  <si>
    <t>Credit Cards</t>
  </si>
  <si>
    <t>Cartão de Crédito</t>
  </si>
  <si>
    <t>Banco Central do Brasil - SGS - Individual and Business / Pessoa Física  e Pessoa Jurídica (20564, 20590)</t>
  </si>
  <si>
    <t>Income tax and social contribution</t>
  </si>
  <si>
    <t>Imposto de renda e contribuição social</t>
  </si>
  <si>
    <t>Income tax benefit</t>
  </si>
  <si>
    <t>Imposto de renda</t>
  </si>
  <si>
    <t>Fee revenues</t>
  </si>
  <si>
    <t>Receitas de serviços</t>
  </si>
  <si>
    <t>Profit / (loss) for the period</t>
  </si>
  <si>
    <t>Lucro/ (prejuízo) líquido</t>
  </si>
  <si>
    <t>Volume KPIs</t>
  </si>
  <si>
    <t>KPIs de Volume</t>
  </si>
  <si>
    <t>Interest income + income from securites and derivatives</t>
  </si>
  <si>
    <t>Receita de juros + receita de títulos e valores mobiliários e derivativos</t>
  </si>
  <si>
    <t>Banco Central do Brasil - SGS - Total Personal Loans / Crédito pessoal total (20580)</t>
  </si>
  <si>
    <t>QoQ Variation</t>
  </si>
  <si>
    <t>Variação QoQ</t>
  </si>
  <si>
    <t>Other tax liabilities</t>
  </si>
  <si>
    <t>Credit card loan portfolio</t>
  </si>
  <si>
    <t>Carteira de cartão de crédito</t>
  </si>
  <si>
    <t>Cards + PIX TPV (R$ bn)</t>
  </si>
  <si>
    <t>TPV de Cartões + PIX (R$ bi)</t>
  </si>
  <si>
    <t>Real Estate</t>
  </si>
  <si>
    <t>Banco Central do Brasil - SGS - Total Real Estate Loans  / Crédito Imobiliário Total (20600 e 20612)</t>
  </si>
  <si>
    <t>YoY Variation</t>
  </si>
  <si>
    <t>Variação YoY</t>
  </si>
  <si>
    <t>Provisions</t>
  </si>
  <si>
    <t>Provisões</t>
  </si>
  <si>
    <t>Net result of losses</t>
  </si>
  <si>
    <t>Resultado líquido de perdas</t>
  </si>
  <si>
    <t>Revolving + overdue</t>
  </si>
  <si>
    <t>Rotativo + créditos Vencidos</t>
  </si>
  <si>
    <t>Net loans and advances to customers excluding non int. CC Receivables</t>
  </si>
  <si>
    <t>Empréstimos e adiantamentos a clientes, excl. recebiveis de CC que não geram juros</t>
  </si>
  <si>
    <t>Personnel efficiency ratio (%)</t>
  </si>
  <si>
    <t>Índice de eficiência de pessoal (%)</t>
  </si>
  <si>
    <t>GMV Inter Shop (R$ mm)</t>
  </si>
  <si>
    <t>Receita líquida de juros</t>
  </si>
  <si>
    <t>Business</t>
  </si>
  <si>
    <t>Banco Central do Brasil - SGS - Total non-financial corporations, excluding cards and real estate / Pessoas jurídicas total, excluindo cartões e imob. (20543)</t>
  </si>
  <si>
    <t>Deferred tax liabilities</t>
  </si>
  <si>
    <t>Revolving (1 to 30 days)</t>
  </si>
  <si>
    <t>Rotativo (1 a 30 dias)</t>
  </si>
  <si>
    <t>Net fee revenues</t>
  </si>
  <si>
    <t>Receitas líquida de serviços</t>
  </si>
  <si>
    <t>AUC  (R$ bn)</t>
  </si>
  <si>
    <t>AUC (R$ bi)</t>
  </si>
  <si>
    <t>Market Data</t>
  </si>
  <si>
    <t>Dados de Mercado</t>
  </si>
  <si>
    <t>Other liabilities</t>
  </si>
  <si>
    <t>Outros passivos</t>
  </si>
  <si>
    <t>Overdue &gt; 31 days</t>
  </si>
  <si>
    <t>Vencidos &gt; 31 dias</t>
  </si>
  <si>
    <t>Term deposits</t>
  </si>
  <si>
    <t>(-) Non int. CC receivables</t>
  </si>
  <si>
    <t>(-) Recebiveis de CC que não geram juros</t>
  </si>
  <si>
    <t>Administrative efficiency ratio </t>
  </si>
  <si>
    <t>Índice de eficiência administrativo</t>
  </si>
  <si>
    <t>Net fee revenue + other revenues</t>
  </si>
  <si>
    <t>Receita líquida de serviços + outras receitas</t>
  </si>
  <si>
    <t>Total liabilities</t>
  </si>
  <si>
    <t>Installments with interest</t>
  </si>
  <si>
    <t>Parcelado com juros</t>
  </si>
  <si>
    <t>Open market capture</t>
  </si>
  <si>
    <t>Captação de mercado aberto</t>
  </si>
  <si>
    <t>Fee income ratio</t>
  </si>
  <si>
    <t xml:space="preserve">Percentual de receitas líquida de serviços </t>
  </si>
  <si>
    <t>Equity</t>
  </si>
  <si>
    <t>Patrimônio líquido</t>
  </si>
  <si>
    <t>Profit attributable to:</t>
  </si>
  <si>
    <t>Lucro atribuível a:</t>
  </si>
  <si>
    <t>Transactor</t>
  </si>
  <si>
    <t>À vista</t>
  </si>
  <si>
    <t>Financial instituicions deposits</t>
  </si>
  <si>
    <t xml:space="preserve">Receitas líquida de serviços </t>
  </si>
  <si>
    <t>(=) NIM 2.0 - IEP (%)</t>
  </si>
  <si>
    <t>(=) NIM 2.0 - apenas carteira remunerada (%)</t>
  </si>
  <si>
    <t>Note 1: Excluding transactions made outside the SPI</t>
  </si>
  <si>
    <t>Nota 1: Excluindo transações feitas fora do SPI</t>
  </si>
  <si>
    <t>Owners of the Company</t>
  </si>
  <si>
    <t>Acionistas controladores</t>
  </si>
  <si>
    <t>Total credit card loan portfolio</t>
  </si>
  <si>
    <t>Carteira de cartão de crédito total</t>
  </si>
  <si>
    <t>Saving</t>
  </si>
  <si>
    <t>(÷) Total net revenues</t>
  </si>
  <si>
    <t>(÷) Receira líquidas totais</t>
  </si>
  <si>
    <t>ARPAC líquido (R$)</t>
  </si>
  <si>
    <t>NPL 15- 90 dias</t>
  </si>
  <si>
    <t>Note 2: Including both debit and prepaid cards</t>
  </si>
  <si>
    <t>Nota 2: Including cartão de débito e cartão pré-pago</t>
  </si>
  <si>
    <t>Share capital</t>
  </si>
  <si>
    <t>Capital social</t>
  </si>
  <si>
    <t>Non-controlling shareholders</t>
  </si>
  <si>
    <t>Acionistas não controladores</t>
  </si>
  <si>
    <t>Risk-Adjusted NIM 1.0 - IEP + non-interest credit card receivables</t>
  </si>
  <si>
    <t>NIM 1.0 Ajustado pela Provisão - carteira remunerada + recebíveis CC que não geram juros</t>
  </si>
  <si>
    <t>Coverage Ratio (%)</t>
  </si>
  <si>
    <t>Índice de Cobertura</t>
  </si>
  <si>
    <t>Reserves</t>
  </si>
  <si>
    <t>Reservas</t>
  </si>
  <si>
    <t>Annualized NII after impairment losses on financial assets</t>
  </si>
  <si>
    <t>NII anualizado excluindo o resultado de perdas esperadas</t>
  </si>
  <si>
    <t>Outros resultados abrangentes</t>
  </si>
  <si>
    <t>Loans and advances to customers</t>
  </si>
  <si>
    <t>Funding - excluding other interest bearing liabilities</t>
  </si>
  <si>
    <t>Funding - excludindo outros passivos que geram despesas de juros</t>
  </si>
  <si>
    <t>NII after impairment losses on financial assets</t>
  </si>
  <si>
    <t>NII excluindo o resultado de perdas esperadas</t>
  </si>
  <si>
    <t>Performance KPIs</t>
  </si>
  <si>
    <t>KPIs de Performance</t>
  </si>
  <si>
    <t>Operational expenses</t>
  </si>
  <si>
    <t>Despesas operacionais</t>
  </si>
  <si>
    <t>Interest Earning Portfolio</t>
  </si>
  <si>
    <t>Ativos Sensíveis a Juros</t>
  </si>
  <si>
    <t>Treasury shares</t>
  </si>
  <si>
    <t>Ações em tesouraria</t>
  </si>
  <si>
    <t>Cost of funding - excluding other interest bearing liabilities</t>
  </si>
  <si>
    <t>Custo de funding - excludindo outros passivos que geram despesas de juros</t>
  </si>
  <si>
    <t>NIM 1.0 (%)</t>
  </si>
  <si>
    <t>Net Interest Income</t>
  </si>
  <si>
    <t>Receita Líquida de Juros</t>
  </si>
  <si>
    <t>Non-controlling interest</t>
  </si>
  <si>
    <t>Participações de acionistas não controladores</t>
  </si>
  <si>
    <t>All-in cost of funding % of CDI</t>
  </si>
  <si>
    <t>Receitas líquida de serviços (%)</t>
  </si>
  <si>
    <t>(=) Risk-Adjusted NIM 1.0 - IEP + non-interest credit card receivables (%)</t>
  </si>
  <si>
    <t>(=) Risk-Adjusted NIM 1.0 - carteira remunerada + recebíveis CC que não geram juros (%)</t>
  </si>
  <si>
    <t>Administrative efficiency ratio (%)</t>
  </si>
  <si>
    <t>Índice de eficiência administrativo (%)</t>
  </si>
  <si>
    <t>NIM 2.0 - IEP Only (%)</t>
  </si>
  <si>
    <t>NIM 2.0 - Carteira remunerada</t>
  </si>
  <si>
    <t>Other expenses</t>
  </si>
  <si>
    <t>Outras despesas</t>
  </si>
  <si>
    <t>All-in cost of funding (%)</t>
  </si>
  <si>
    <t>Risk Adjusted NIM 2.0 - IEP</t>
  </si>
  <si>
    <t>NIM 2.0 Ajustado pela Provisão - apenas carteira remunerada</t>
  </si>
  <si>
    <t>All-in Cost of Funding (% of CDI)</t>
  </si>
  <si>
    <t>Custo de Funding (% do CDI)</t>
  </si>
  <si>
    <t>Expenses</t>
  </si>
  <si>
    <t>Despesas</t>
  </si>
  <si>
    <t>Liabilities + equity</t>
  </si>
  <si>
    <t>Passivos + patrimônio líquido</t>
  </si>
  <si>
    <t>All-in cost of funding</t>
  </si>
  <si>
    <t>(=) Risk-adjusted NIM 2.0 - IEP (%)</t>
  </si>
  <si>
    <t>(=) NIM 2.0 ajustado pela provisão - apenas carteira remunerada (%)</t>
  </si>
  <si>
    <t>Administrative expenses + D&amp;A</t>
  </si>
  <si>
    <t>Despesas administrativas + D&amp;A</t>
  </si>
  <si>
    <t>Efficiency Ratio (%)</t>
  </si>
  <si>
    <t>Índice de Eficiência (%)</t>
  </si>
  <si>
    <t>Total do passivo e patrimônio líquido</t>
  </si>
  <si>
    <t>ROE (%)</t>
  </si>
  <si>
    <t>Banking and credit operations</t>
  </si>
  <si>
    <t>Tarifas bancárias e operações de crédito</t>
  </si>
  <si>
    <t>Risk-Adjusted NIM 1.0 (%)</t>
  </si>
  <si>
    <t>NIM 1.0 (%) - Ajustada pela Provisão</t>
  </si>
  <si>
    <t>Lucro / (prejuízo) do período</t>
  </si>
  <si>
    <t>NIM &amp; Yields</t>
  </si>
  <si>
    <t>NIM &amp; Taxas</t>
  </si>
  <si>
    <t>Income from cash and cash equivalents in foreign currency</t>
  </si>
  <si>
    <t>Rendas e disponibilidades em moeda estrangeira</t>
  </si>
  <si>
    <t>Commission and brokerage fees</t>
  </si>
  <si>
    <t>Tarifas de comissão e coretagem</t>
  </si>
  <si>
    <t>NIM 1.1 - IEP + non-interest credit card receivables incl. income tax benefits from securities issued abroad</t>
  </si>
  <si>
    <t>NIM 1.1 - carteira remunerada + recebíveis CC que não geram juros incl. benefício fiscal de títulos emitidos no exterior</t>
  </si>
  <si>
    <t>Efficiency ratio incl. income tax benefits from securities issued abroad</t>
  </si>
  <si>
    <t>Índice de eficiência incl. benefício fiscal de títulos emitidos no exterior</t>
  </si>
  <si>
    <t>Risk-Adjusted NIM 2.0 (%)</t>
  </si>
  <si>
    <t>NIM 2.0 (%) - Ajustada pela Provisão</t>
  </si>
  <si>
    <t>Fee Income Ratio</t>
  </si>
  <si>
    <t xml:space="preserve">Others </t>
  </si>
  <si>
    <t>Annualized NII incl. income tax benefits from securities issued abroad</t>
  </si>
  <si>
    <t>NII anualizado incl. benefício fiscal de títulos emitidos no exterior</t>
  </si>
  <si>
    <t>(÷) Total net revenues excluding tax expenses incl. income tax benefits from securities issued abroad</t>
  </si>
  <si>
    <t>(÷) Receitais totais excluindo despesas tributárias incl. benefício fiscal de títulos emitidos no exterior</t>
  </si>
  <si>
    <t>Managerial Balance Sheet (R$ Billions)</t>
  </si>
  <si>
    <t>Balanço Patrimonial Gerencial (R$ bilhões)</t>
  </si>
  <si>
    <t>Credits from payables with credit card networks</t>
  </si>
  <si>
    <t>Créditos de contas a pagar com redes de cartão de crédito</t>
  </si>
  <si>
    <t>NII incl. income tax benefits from securities issued abroad</t>
  </si>
  <si>
    <t>NII incl. benefício fiscal de títulos emitidos no exterior</t>
  </si>
  <si>
    <t>Efficiency ratio incl. income tax benefits from securities issued abroad (%)</t>
  </si>
  <si>
    <t>Índice de eficiência incl. benefício fiscal de títulos emitidos no exterior (%)</t>
  </si>
  <si>
    <t>Note: Revenue from foreign exchange was reallocated from Other Revenues to Income from Securities, Derivatives, and Foreign Exchange in Q4 2024. To ensure better comparability between quarters and years, this adjustment has been applied historically in this material.</t>
  </si>
  <si>
    <t xml:space="preserve">(=) NIM 1.1 - IEP + non-interest credit card receivables incl. income tax benefits from securities issued abroad (%) </t>
  </si>
  <si>
    <t>(=) NIM 1.1 - carteira remunerada + recebíveis CC que não geram juros incl. benefício fiscal de títulos emitidos no exterior (%)</t>
  </si>
  <si>
    <t>Personnel efficiency ratio incl. income tax benefits from securities issued abroad</t>
  </si>
  <si>
    <t>Índice de eficiência de pessoal incl. benefício fiscal de títulos emitidos no exterior</t>
  </si>
  <si>
    <t>Interest earning portfolio (IEP)</t>
  </si>
  <si>
    <t>Ativos rentáveis</t>
  </si>
  <si>
    <t>NIM 2.1 - IEP incl. income tax benefits from securities issued abroad</t>
  </si>
  <si>
    <t>NIM 2.1 - apenas carteira remunerada incl. benefício fiscal de títulos emitidos no exterior</t>
  </si>
  <si>
    <t>Personnel efficiency ratio incl. income tax benefits from securities issued abroad (%)</t>
  </si>
  <si>
    <t>Índice de eficiência de pessoal incl. benefício fiscal de títulos emitidos no exterior (%)</t>
  </si>
  <si>
    <t>Cost of Funding</t>
  </si>
  <si>
    <t>Custo de Funding</t>
  </si>
  <si>
    <t>Antecipação de recebíveis</t>
  </si>
  <si>
    <t>Administrative efficiency ratio incl. income tax benefits from securities issued abroad</t>
  </si>
  <si>
    <t>Índice de eficiência administrativo incl. benefício fiscal de títulos emitidos no exterior</t>
  </si>
  <si>
    <t>Capital</t>
  </si>
  <si>
    <t>Administrative efficiency ratio incl. income tax benefits from securities issued abroad (%)</t>
  </si>
  <si>
    <t>Índice de eficiência administrativo incl. benefício fiscal de títulos emitidos no exterior (%)</t>
  </si>
  <si>
    <t>Non-transactor</t>
  </si>
  <si>
    <t>Não à vista</t>
  </si>
  <si>
    <t>(=) NIM 2.1 - IEP incl. income tax benefits from securities issued abroad (%)</t>
  </si>
  <si>
    <t>(=) NIM 2.1 - apenas carteira remunerada incl. benefício fiscal de títulos emitidos no exterior (%)</t>
  </si>
  <si>
    <t>Discontinued Data</t>
  </si>
  <si>
    <t>Dados Descontinuados</t>
  </si>
  <si>
    <t>Risk-Adjusted NIM 1.1 - IEP + non-interest credit card receivables incl. income tax benefits from securities issued abroad</t>
  </si>
  <si>
    <t>NIM 1.1 Ajustado pela Provisão - carteira remunerada + recebíveis CC que não geram juros</t>
  </si>
  <si>
    <t>(+) Income tax benefits from securities issued abroad</t>
  </si>
  <si>
    <t>(+) Benefício fiscal de títulos emitidos no exterior</t>
  </si>
  <si>
    <t>Annualized NII after impairment losses on financial assets incl. income tax benefits from securities issued abroad</t>
  </si>
  <si>
    <t>(=) Risk-Adjusted NIM 1.1 - IEP + non-interest credit card receivables incl. income tax benefits from securities issued abroad (%)</t>
  </si>
  <si>
    <t>(=) Risk-Adjusted NIM 1.1 - carteira remunerada + recebíveis CC que não geram juros (%)</t>
  </si>
  <si>
    <t>Risk Adjusted NIM 2.1 - IEP incl. income tax benefits from securities issued abroad</t>
  </si>
  <si>
    <t>NIM 2.1 Ajustado pela Provisão - apenas carteira remunerada incl. benefício fiscal de títulos emitidos no exterior</t>
  </si>
  <si>
    <t>Total de passivos</t>
  </si>
  <si>
    <t>(=) Risk-adjusted NIM 2.1 - IEP incl. income tax benefits from securities issued abroad (%)</t>
  </si>
  <si>
    <t>(=) NIM 2.1 ajustado pela provisão - apenas carteira remunerada incl. benefício fiscal de títulos emitidos no exterior (%)</t>
  </si>
  <si>
    <t>Financial institutions deposits</t>
  </si>
  <si>
    <t>Variação</t>
  </si>
  <si>
    <t>Savings</t>
  </si>
  <si>
    <t>Benefício fiscal de títulos emitidos no exterior</t>
  </si>
  <si>
    <t>Δ QoQS</t>
  </si>
  <si>
    <t>Δ QoQ Actual</t>
  </si>
  <si>
    <t>Δ QoQ Realizado</t>
  </si>
  <si>
    <t>Income from securities</t>
  </si>
  <si>
    <t>Resultado de títulos e valores mobiliários</t>
  </si>
  <si>
    <t>NII after impairment losses on financial assets incl. income tax benefits from securities issued abroad</t>
  </si>
  <si>
    <t>NII excluindo o resultado de perdas esperadas incl. income tax benefits from securities issued abroad</t>
  </si>
  <si>
    <t>ΔYoYS</t>
  </si>
  <si>
    <t>Fair value throught other comprehensive income</t>
  </si>
  <si>
    <t>Valor justo por meio de outros resultados abrangentes</t>
  </si>
  <si>
    <t>ΔYoY Actual</t>
  </si>
  <si>
    <t>ΔYoY Realizado</t>
  </si>
  <si>
    <t>Fair value through proft or loss</t>
  </si>
  <si>
    <t>Valor justo por meio do resultado</t>
  </si>
  <si>
    <t>Amortized cost</t>
  </si>
  <si>
    <t>Custo amortizado</t>
  </si>
  <si>
    <t>Disclaimer:
Please note that this simulation is for illustrative purposes only, does not represent actual financial data and the results may not accurately reflect real-world outcomes. The information provided is based on hypothetical scenarios and assumptions. The simulation is intended as a learning tool and does not provide any investment advice, recommendations, or guidance.
Users are advised to exercise caution when interpreting the results and are encouraged to consult with qualified financial professionals.</t>
  </si>
  <si>
    <t>Esta simulação é apenas para fins ilustrativo, não representa dados financeiros reais e os resultados podem não refletir precisamente os resultados do mundo real. As informações fornecidas baseiam-se em cenários hipotéticos e suposições. A simulação destina-se como uma ferramenta didática e não oferece nenhum conselho de investimento, recomendações ou orientações.
Recomenda-se que os usuários tenham cuidado ao interpretar os resultados e que busquem aconselhamento de profissionais financeiros qualificados</t>
  </si>
  <si>
    <t>Income from derivatives</t>
  </si>
  <si>
    <t>Resultado de derivativos</t>
  </si>
  <si>
    <t>Future contracts dolar</t>
  </si>
  <si>
    <t>Futuro dólar</t>
  </si>
  <si>
    <t>Fixed-term contracts</t>
  </si>
  <si>
    <t>À termo</t>
  </si>
  <si>
    <t>Futures contrats and swaps</t>
  </si>
  <si>
    <t>Futuro e swap</t>
  </si>
  <si>
    <t>Gross loans and advances to customers growth (%)</t>
  </si>
  <si>
    <t>Crescimento de empréstimos e adiantamentos a clientes (%)</t>
  </si>
  <si>
    <t>Hedge accounting real estate loans</t>
  </si>
  <si>
    <t>Hedge accounting de crédito imobiliário</t>
  </si>
  <si>
    <t>Hedge accounting from personal loans</t>
  </si>
  <si>
    <t>Hedge accounting de crédito pessoal</t>
  </si>
  <si>
    <t>Other results</t>
  </si>
  <si>
    <t>Outros resultados</t>
  </si>
  <si>
    <t>Revenue foreign exchange</t>
  </si>
  <si>
    <t>Resultado de operações de câmbio e variação cambial</t>
  </si>
  <si>
    <t>Loan interest income including hedge accounting results</t>
  </si>
  <si>
    <t>Resultado da carteira de crédito incluindo resultados de hedge accounting</t>
  </si>
  <si>
    <t>Real estate net of hedge accounting</t>
  </si>
  <si>
    <t>Imobiliário líquido resultado de hedge accounting</t>
  </si>
  <si>
    <t>(+) Hedge accounting from real estate loans</t>
  </si>
  <si>
    <t>(+) Resultado de hedge accounting de crédito imobiliário</t>
  </si>
  <si>
    <t>Personal net of hedge accounting</t>
  </si>
  <si>
    <t>Pessoal líquido resultado de hedge accounting</t>
  </si>
  <si>
    <t>(+) Hedge accounting from personal loans</t>
  </si>
  <si>
    <t>(+) Resultado de hedge accounting de crédito pessoal</t>
  </si>
  <si>
    <t>Aplicações interfinanceiras</t>
  </si>
  <si>
    <t>Implied rates</t>
  </si>
  <si>
    <t>Taxa implícita</t>
  </si>
  <si>
    <t>All-in loan rate (%)</t>
  </si>
  <si>
    <t>Taxa de juros de empréstimos consolidada (%)</t>
  </si>
  <si>
    <t>Real estate net of hedge accounting (%)</t>
  </si>
  <si>
    <t>Imobiliário líquido resultado de hedge accounting (%)</t>
  </si>
  <si>
    <t>Personal net of hedge accounting (%)</t>
  </si>
  <si>
    <t>Pessoal líquido resultado de hedge accounting (%)</t>
  </si>
  <si>
    <t>SME (%)</t>
  </si>
  <si>
    <t>Empresas (%)</t>
  </si>
  <si>
    <t>Credit cards (%)</t>
  </si>
  <si>
    <t>Cartão de crédito (%)</t>
  </si>
  <si>
    <t>Agribusiness (%)</t>
  </si>
  <si>
    <t>Rural (%)</t>
  </si>
  <si>
    <t>Prepayment of receivables (%)</t>
  </si>
  <si>
    <t>Antecipação de recebíveis de cartão de crédito (%)</t>
  </si>
  <si>
    <t>Amounts due from financial institutions (%)</t>
  </si>
  <si>
    <t>Aplicações interfinanceiras (%)</t>
  </si>
  <si>
    <t>All-in securities rate (%)</t>
  </si>
  <si>
    <t>Taxa de juros de títulos de valores mobiliários (%)</t>
  </si>
  <si>
    <t>Interest earning credit portfolio</t>
  </si>
  <si>
    <t>Carteira de crédito que gera juros</t>
  </si>
  <si>
    <t>Interest earning credit card portfolio</t>
  </si>
  <si>
    <t>Carteira de cartão de crédito que gera juros</t>
  </si>
  <si>
    <t>(-) Transactor</t>
  </si>
  <si>
    <t>(-) À vista</t>
  </si>
  <si>
    <t>Renegotiated Portfolio</t>
  </si>
  <si>
    <t>Carteira Renegociada</t>
  </si>
  <si>
    <t>Renegotiated portfolio</t>
  </si>
  <si>
    <t>Carteira renegociada</t>
  </si>
  <si>
    <t>Renegotiated portfolio (% of total gross loan portfolio)</t>
  </si>
  <si>
    <t>Carteira renegociada (% da carteira de crédito bruta)</t>
  </si>
  <si>
    <t>Coverage Ratio</t>
  </si>
  <si>
    <t>(÷) Total provision</t>
  </si>
  <si>
    <t>(÷) Provisão total</t>
  </si>
  <si>
    <t>Provision for expected loss</t>
  </si>
  <si>
    <t>Perda esperada por redução ao valor recuperável</t>
  </si>
  <si>
    <t>Provision for expected credit losses on loan commitments</t>
  </si>
  <si>
    <t>Provisões sobre compromissos de empréstimos</t>
  </si>
  <si>
    <t>Securities balance</t>
  </si>
  <si>
    <t>Títulos e Valores Mobiliários</t>
  </si>
  <si>
    <t>Income from securities incl. income tax benefits from securities issued abroad</t>
  </si>
  <si>
    <t>Resultado de títulos e valores imobiliários incl. benefício fiscal de títulos emitidos no exterior</t>
  </si>
  <si>
    <t>Total provision</t>
  </si>
  <si>
    <t>Provisão total</t>
  </si>
  <si>
    <t>(÷) NPL &gt; 90 days</t>
  </si>
  <si>
    <t>(÷) NPL &gt; 90 dias</t>
  </si>
  <si>
    <t>Choose Language /Escolha o Idioma:</t>
  </si>
  <si>
    <t>1.</t>
  </si>
  <si>
    <t>2.</t>
  </si>
  <si>
    <t>3.</t>
  </si>
  <si>
    <t>4.</t>
  </si>
  <si>
    <t>5.</t>
  </si>
  <si>
    <t>6.</t>
  </si>
  <si>
    <t>7.</t>
  </si>
  <si>
    <t>8.</t>
  </si>
  <si>
    <t>9.</t>
  </si>
  <si>
    <t>1</t>
  </si>
  <si>
    <t>2</t>
  </si>
  <si>
    <t>3</t>
  </si>
  <si>
    <t>4</t>
  </si>
  <si>
    <t>5</t>
  </si>
  <si>
    <t>6</t>
  </si>
  <si>
    <t>7</t>
  </si>
  <si>
    <t>8</t>
  </si>
  <si>
    <t>ROE</t>
  </si>
  <si>
    <t>9</t>
  </si>
  <si>
    <t xml:space="preserve"> </t>
  </si>
  <si>
    <t xml:space="preserve">  </t>
  </si>
  <si>
    <t>-</t>
  </si>
  <si>
    <t>7,147,341
Margin on the Tier I Required Reference Equity 5,719,735 6</t>
  </si>
  <si>
    <t>Debit TPV 1</t>
  </si>
  <si>
    <t>Receita Líquida de Serviços</t>
  </si>
  <si>
    <t>Nota: A receita de câmbio foi realocada de Outras receitas para Renda de títulos e derivativos e câmbio no 4T24. Para criar uma melhor comparabilidade entre trimestres e anos, esse ajuste foi realizado historicamente neste material.</t>
  </si>
  <si>
    <t>Net Income Including Minority Interest (R$ mm)</t>
  </si>
  <si>
    <t>Lucro Líquido Incluindo Minoritários (R$ mm)</t>
  </si>
  <si>
    <t>Inter Seguros gross revenues</t>
  </si>
  <si>
    <t>Receita bruta Inter Seguros</t>
  </si>
  <si>
    <t>Inter Seguros gross fee revenues</t>
  </si>
  <si>
    <t>Receita bruta de serviços Inter Seguros</t>
  </si>
  <si>
    <t>Expenses from services and comissions</t>
  </si>
  <si>
    <t>NIM 2.0 (%)</t>
  </si>
  <si>
    <t>All-in NIM 1.0 (%)</t>
  </si>
  <si>
    <t>Non-interest earning credit card receivables</t>
  </si>
  <si>
    <t>Recebíveis CC que não geram juros</t>
  </si>
  <si>
    <t>Avg. of IEP + non-interest credit card receivables</t>
  </si>
  <si>
    <t>Média da carteira remunerada + recebíveis CC que não geram juros</t>
  </si>
  <si>
    <t>Risk-adjusted NIM 2.0 (%)</t>
  </si>
  <si>
    <t>NIM 2.0 Ajustada ao Risco (%)</t>
  </si>
  <si>
    <t>NIM 2.0 ajustada ao risco (%)</t>
  </si>
  <si>
    <t>Risk-adjusted NIM 1.0 (%)</t>
  </si>
  <si>
    <t>NIM 1.0 Ajustada ao Risco (%)</t>
  </si>
  <si>
    <t>NIM 1.0 ajustada ao risco (%)</t>
  </si>
  <si>
    <t>All-in Asset Yield (%)</t>
  </si>
  <si>
    <t>Other IEP rate (%)</t>
  </si>
  <si>
    <t xml:space="preserve">Tax de todos of ativos (%) </t>
  </si>
  <si>
    <t>2Q25</t>
  </si>
  <si>
    <t>2T25</t>
  </si>
  <si>
    <t>Patrimônio de Referência Nível II</t>
  </si>
  <si>
    <t>Tier II referential equity</t>
  </si>
  <si>
    <t>n.a.</t>
  </si>
  <si>
    <t>NPL &gt; 90 days (excluding anticipation of credit card receivables, %)</t>
  </si>
  <si>
    <t>NPL &gt; 90 dias (excluindo antecipação de recebíveis de cartão de crédito, %)</t>
  </si>
  <si>
    <t>NPL 15- 90 dias (excluindo antecipação de recebíveis de cartão de crédito, %)</t>
  </si>
  <si>
    <t>NPL 15 - 90 days (excluding anticipation of credit card receivables, %)</t>
  </si>
  <si>
    <t>(-) Tax expenses from interest on own capital (IOC)</t>
  </si>
  <si>
    <t>(-) Despesas tributárias de juros sobre capital próprio (JCP)</t>
  </si>
  <si>
    <t>Tax expenses excluding tax expenses from interest on own capital (IOC)</t>
  </si>
  <si>
    <t>Despesas tributárias excluindo despesas tributárias de juros sobre capital próprio (JCP)</t>
  </si>
  <si>
    <t>Personnel efficiency ratio - excluding tax expenses from interest on own capital (IOC)</t>
  </si>
  <si>
    <t>Índice de eficiência de pessoal - excluindo despesas tributárias de juros sobre capital próprio (JCP)</t>
  </si>
  <si>
    <t>Administrative efficiency ratio - excluding tax expenses from interest on own capital (IOC)</t>
  </si>
  <si>
    <t>Índice de eficiência administrativo - excluindo despesas tributárias de juros sobre capital próprio (JCP)</t>
  </si>
  <si>
    <t>Administrative efficiency ratio - excluding tax expenses from interest on own capital (%)</t>
  </si>
  <si>
    <t>Índice de eficiência administrativo - excluindo despesas tributárias de juros sobre capital próprio (%)</t>
  </si>
  <si>
    <t>Índice de eficiência de pessoal - excluindo despesas tributárias de juros sobre capital próprio(%)</t>
  </si>
  <si>
    <t>Personnel efficiency ratio - excluding tax expenses from interest on own capital (%)</t>
  </si>
  <si>
    <t>Managerial KPIs Effects in 2Q25 Financial Statements</t>
  </si>
  <si>
    <t>Efeitos Gerenciais dos KPIs nas Demonstrações Financeiras do 2T25</t>
  </si>
  <si>
    <t>Instructions for Use:
1. Read the disclaimer bellow before using this sheet.
2. The simulation is pre-set with Q2'25 Key Performance Indicators (KPIs) in column D. You can modify the simulation by entering your desired KPI values in the green cells in Column D.
3. Once you input the new KPI values, the corresponding results will be updated in column O of the Income Statement, Balance Sheet, or both, depending on the specific KPI. The values that may alter are marked in orange.
4. Additionally, the KPI Output in column D will change dynamically based on your input, allowing you to observe the effects of different KPI values.</t>
  </si>
  <si>
    <t>Instruções de Uso:
1. Leia o disclaimer abaixo antes de utilizar esta planilha.
2. A simulação está pré-configurada com Indicadores-Chave de Desempenho (KPIs) do 2º trimestre de 2025 na coluna D. Você pode modificar a simulação inserindo os valores desejados para os KPIs nas células em verde na coluna D.
3. Uma vez que você inserir os novos valores dos KPIs, os resultados correspondentes serão automaticamente atualizados na coluna O da Demonstração de Resultados, Balanço Patrimonial ou em ambos, dependendo da KPI. Os valores que podem ser alterados estão marcados em laranja.
4. Além disso, o resultado dos KPIs na coluna D mudará dinamicamente de acordo com a sua entrada, permitindo que você observe os efeitos de diferentes valores de KPI.
Aviso Legal: Esta simulação é fornecida apenas para fins ilustrativos e não representa dados financeiros reais. As informações apresentadas são baseadas em cenários hipotéticos e suposições. Ela é destinada apenas como uma ferramenta de aprendizado e não oferece qualquer tipo de conselho de investimento, recomendações ou orientações.
Recomenda-se que os usuários tenham cautela ao interpretar os resultados e que consultem profissionais financeiros qualificados ou se refiram às regras e diretrizes oficiais fornecidas pelas autoridades reguladoras relevantes antes de tomar quaisquer decisões financeiras no mundo real.</t>
  </si>
  <si>
    <t>Tax expenses from interest on own capital (IOC)</t>
  </si>
  <si>
    <t>Despesas tributárias de juros sobre capital próprio (JCP)</t>
  </si>
  <si>
    <t>(+) Tax expenses from interest on own capital (IOC)</t>
  </si>
  <si>
    <t>(+) Despesas tributárias de juros sobre capital próprio (JCP)</t>
  </si>
  <si>
    <t>Income tax and social contribution + tax expenses from interest on own capital (IOC)</t>
  </si>
  <si>
    <t>Imposto de renda e contribuição social + despesas tributárias de juros sobre capital próprio (JCP)</t>
  </si>
  <si>
    <t>Effective tax rate (%)</t>
  </si>
  <si>
    <t>Alíquota de imposto de renda efetiva (%)</t>
  </si>
  <si>
    <t>Effective Tax Rate (%)</t>
  </si>
  <si>
    <t>Alíquota de Imposto de Renda Efetiva (%)</t>
  </si>
  <si>
    <t>(÷) Profit / (loss) before income tax + tax expenses from interest on own capital (IOC)</t>
  </si>
  <si>
    <t>(÷) Lucro / (prejuízo) antes da tributação sobre o lucro + despesas tributárias de juros sobre capital próprio (JCP)</t>
  </si>
  <si>
    <t xml:space="preserve">Imposto de renda e contribuição social </t>
  </si>
  <si>
    <t>(÷) Profit / (loss) before income tax</t>
  </si>
  <si>
    <t>(÷) Lucro / (prejuízo) antes da tributação sobre o lucro</t>
  </si>
  <si>
    <t>Alíquota de imposto de renda efetiva ajustada pelo JCP (%)</t>
  </si>
  <si>
    <t>IOC adjusted effective tax rate (%)</t>
  </si>
  <si>
    <t>Effective tax rate - IOC adjusted (%)</t>
  </si>
  <si>
    <t>Alíquota de Imposto de renda efetiva ajustada pelo JCP (%)</t>
  </si>
  <si>
    <t>Effective tax rate(%)</t>
  </si>
  <si>
    <t>10.</t>
  </si>
  <si>
    <t>Effective Tax Rate</t>
  </si>
  <si>
    <t>Alíquota Efetiva</t>
  </si>
  <si>
    <t>3Q25</t>
  </si>
  <si>
    <t>3T25</t>
  </si>
  <si>
    <t>n.m</t>
  </si>
  <si>
    <t>n.a</t>
  </si>
  <si>
    <t>Net Income (R$ mm)</t>
  </si>
  <si>
    <t>Lucro Líquido (R$ mm)</t>
  </si>
  <si>
    <t>Gross loan portfolio including prepayment of receivables</t>
  </si>
  <si>
    <t>Participação de não controladores</t>
  </si>
  <si>
    <t>Annualized net income</t>
  </si>
  <si>
    <t>Lucro líquido</t>
  </si>
  <si>
    <t>Lucro líquido de controladores  e não controladores</t>
  </si>
  <si>
    <t>Net income from controlling and non-controlling interests</t>
  </si>
  <si>
    <t>Business Days</t>
  </si>
  <si>
    <t>All-in cost of funding % of CDI - Adjusted by Business Days</t>
  </si>
  <si>
    <t>Nota: No terceiro trimestre de 2025, melhoramos nossos processos de divulgação das renegociações de crédito, seguindo as melhores práticas de mercado para assegurar mais precisão e transparência. Como parte desta melhoria, refinamos a definição de contratos renegociados excluindo acordos que não estavam inadimplentes ou aqueles cujos perfis de risco permaneceram inalterados. Este ajuste garante que os números reportados sejam mais precisos e confiáveis para análise de renegociação.</t>
  </si>
  <si>
    <t>Note: During 3Q25, we enhanced our disclosure practices for loan renegotiations, aligning with market best practices to ensure greater accuracy and transparency. As part of this improvement, we refined the definition of renegotiated contracts by excluding agreements that were not delinquent or those whose risk profiles remained unchanged. This adjustment ensures that the reported figures are more precise and reliable for renegotiation analysis.</t>
  </si>
  <si>
    <t>Cash and equivalents</t>
  </si>
  <si>
    <t>Amounts due from financial institutions, net of provisions for expected credit losses</t>
  </si>
  <si>
    <t>Deposits at Central Bank of Brazil</t>
  </si>
  <si>
    <t>Securities, net of provisions for expected credit losses</t>
  </si>
  <si>
    <t>Loans and advances to customers, net of provisions for expected credit losses</t>
  </si>
  <si>
    <t>Deposits from banks</t>
  </si>
  <si>
    <t>Deposits from customers</t>
  </si>
  <si>
    <t xml:space="preserve">Other comprehensive loss </t>
  </si>
  <si>
    <t>Total liabilities and equity</t>
  </si>
  <si>
    <t>Income from securities, derivatives and foreign exchange</t>
  </si>
  <si>
    <t>Net revenues from services and commissions</t>
  </si>
  <si>
    <t>Income tax</t>
  </si>
  <si>
    <t>Net income</t>
  </si>
  <si>
    <t>Income from equity interests in associates</t>
  </si>
  <si>
    <t>Borrowings and on-lending</t>
  </si>
  <si>
    <t>Note: Preliminary data from 3Q25. Approval from the Central Bank is pending.</t>
  </si>
  <si>
    <t>Nota: Dados preliminares do 3T25. Aprovação do Banco Central pendente.</t>
  </si>
  <si>
    <t>Empréstimos e adiantamento a instituições financeiras, líquidos de provisões para perdas esperadas</t>
  </si>
  <si>
    <t>Depósitos compulsórios no Banco Central do Brasil</t>
  </si>
  <si>
    <t>Títulos e valores mobiliários, líquidos de provisões para perdas esperadas</t>
  </si>
  <si>
    <t>Empréstimos e adiantamento a clientes, líquidos de provisões para perdas esperadas</t>
  </si>
  <si>
    <t>Depósitos com instituições financeiras</t>
  </si>
  <si>
    <t>Depósitos com clientes</t>
  </si>
  <si>
    <t>Outras obrigações fiscais</t>
  </si>
  <si>
    <t>Passivo fiscal diferido</t>
  </si>
  <si>
    <t>Total dos passivos</t>
  </si>
  <si>
    <t>Receitas de juros</t>
  </si>
  <si>
    <t>Resultado de títulos e valores mobiliários, derivativos e câmbio</t>
  </si>
  <si>
    <t>Resultado líquido de juros e receita de títulos, derivativos e câmbio</t>
  </si>
  <si>
    <t>Receitas líquidas de serviços e comissões</t>
  </si>
  <si>
    <t>Total de receitas líquidas</t>
  </si>
  <si>
    <t>Resultado de perdas por redução ao valor recuperável de ativos financeiros</t>
  </si>
  <si>
    <t>Efficiency ratio - including tax expenses from interest on own capital (%)</t>
  </si>
  <si>
    <t>Índice de eficiência - incluindo despesas tributárias de juros sobre capital próprio %)</t>
  </si>
  <si>
    <t>Índice de eficiência - incluindo despesas tributárias de juros sobre capital próprio (JCP)</t>
  </si>
  <si>
    <t>Efficiency ratio - including tax expenses from interest on own capital (IOC)</t>
  </si>
  <si>
    <t>Securities sold under agreements to repurchase</t>
  </si>
  <si>
    <t>Interest bearing deposits from banks</t>
  </si>
  <si>
    <t>Depósitos com instituições financeiras que geram despesas de juros</t>
  </si>
  <si>
    <t>(-) Interbank on-lending</t>
  </si>
  <si>
    <t>Funding in the open market</t>
  </si>
  <si>
    <t>Fund managament and investment fees</t>
  </si>
  <si>
    <t>Administração de fundos e taxas de investimentos</t>
  </si>
  <si>
    <t>Inter Loop</t>
  </si>
  <si>
    <t>Cash and equivalents excl. reverse repurchase agreements</t>
  </si>
  <si>
    <t>(+) Inter Loop</t>
  </si>
  <si>
    <t>4Q25</t>
  </si>
  <si>
    <t>4T25</t>
  </si>
  <si>
    <t>4Q25 Historical Data</t>
  </si>
  <si>
    <t>Séries Históricas 4T25</t>
  </si>
  <si>
    <t>Destaques do Trimestre | 4T25</t>
  </si>
  <si>
    <t>Highlights of the Quarter | 4Q25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</si>
</sst>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_(* \(#,##0.00\);_(* &quot;-&quot;??_);_(@_)"/>
    <numFmt numFmtId="164" formatCode="_-* #,##0.00_-;\-* #,##0.00_-;_-* &quot;-&quot;??_-;_-@_-"/>
    <numFmt numFmtId="165" formatCode="_-* #,##0_-;\-* #,##0_-;_-* &quot;-&quot;??_-;_-@_-"/>
    <numFmt numFmtId="166" formatCode="#,###;\(#,###\)"/>
    <numFmt numFmtId="167" formatCode="#,##0_ ;\-#,##0\ "/>
    <numFmt numFmtId="168" formatCode="0.0%"/>
    <numFmt numFmtId="169" formatCode="#,###.0;\(#,###.0\)"/>
    <numFmt numFmtId="170" formatCode="_-* #,##0.0_-;\-* #,##0.0_-;_-* &quot;-&quot;??_-;_-@_-"/>
    <numFmt numFmtId="171" formatCode="\ _(* #,##0_);_(* \(#,##0\);_(* &quot;-&quot;_);_(@_)"/>
    <numFmt numFmtId="172" formatCode="_(* #,##0_);_(* \(#,##0\);_(* &quot;-&quot;??_);_(@_)"/>
    <numFmt numFmtId="173" formatCode="0.000"/>
    <numFmt numFmtId="174" formatCode="0.0"/>
    <numFmt numFmtId="175" formatCode="_(* #,##0.0_);_(* \(#,##0.0\);_(* &quot;-&quot;??_);_(@_)"/>
    <numFmt numFmtId="176" formatCode="#,##0.0_ ;\-#,##0.0\ "/>
    <numFmt numFmtId="177" formatCode="#,##0.0;\(#,##0.0\)"/>
    <numFmt numFmtId="178" formatCode="\+\ 0%;\ \-\ 0\ %"/>
    <numFmt numFmtId="179" formatCode="\+\ #,##0%;\ \-\ #,##0%"/>
    <numFmt numFmtId="180" formatCode="#,##0.0%"/>
    <numFmt numFmtId="181" formatCode="#,##0%"/>
    <numFmt numFmtId="182" formatCode="\+\ 0.0\ &quot;p.p.&quot;;\ \-\ 0.0\ &quot;p.p.&quot;"/>
    <numFmt numFmtId="183" formatCode="\+0.0%;\ \-0.0%"/>
    <numFmt numFmtId="184" formatCode="0.00000000000000%"/>
    <numFmt numFmtId="185" formatCode="\+\ 0.0\ &quot;p.p.&quot;;\-\ 0.0\ &quot;p.p.&quot;"/>
    <numFmt numFmtId="186" formatCode="0.000000000000000%"/>
    <numFmt numFmtId="187" formatCode="#,##0\ ;\(#,##0\)"/>
    <numFmt numFmtId="188" formatCode="_(* #,##0.000_);_(* \(#,##0.000\);_(* &quot;-&quot;??_);_(@_)"/>
    <numFmt numFmtId="189" formatCode="#,##0.0;\(#,###.0\)"/>
    <numFmt numFmtId="190" formatCode="#,##0;\(#,##0\)"/>
    <numFmt numFmtId="191" formatCode="\+0.0\ &quot;p.p.&quot;;\ \-0.0\ &quot;p.p.&quot;"/>
    <numFmt numFmtId="192" formatCode="\+0.0&quot; p.p&quot;;\-0.0&quot; p.p&quot;"/>
  </numFmts>
  <fonts count="61">
    <font>
      <sz val="11"/>
      <color theme="1"/>
      <name val="Calibri"/>
      <family val="2"/>
      <scheme val="minor"/>
    </font>
    <font>
      <sz val="11"/>
      <color theme="1"/>
      <name val="Calibri"/>
      <family val="2"/>
      <scheme val="minor"/>
    </font>
    <font>
      <sz val="10"/>
      <name val="Arial"/>
      <family val="2"/>
    </font>
    <font>
      <sz val="9"/>
      <color theme="1"/>
      <name val="Calibri Light"/>
      <family val="2"/>
    </font>
    <font>
      <sz val="10"/>
      <color theme="1"/>
      <name val="Calibri"/>
      <family val="2"/>
    </font>
    <font>
      <b/>
      <sz val="12"/>
      <color theme="9"/>
      <name val="Gotham"/>
      <family val="3"/>
    </font>
    <font>
      <sz val="8"/>
      <name val="Calibri"/>
      <family val="2"/>
      <scheme val="minor"/>
    </font>
    <font>
      <u/>
      <sz val="11"/>
      <color theme="10"/>
      <name val="Calibri"/>
      <family val="2"/>
      <scheme val="minor"/>
    </font>
    <font>
      <u/>
      <sz val="11"/>
      <color theme="1"/>
      <name val="Calibri"/>
      <family val="2"/>
      <scheme val="minor"/>
    </font>
    <font>
      <sz val="11"/>
      <color theme="1"/>
      <name val="Calibri"/>
      <family val="2"/>
    </font>
    <font>
      <sz val="16"/>
      <color theme="1"/>
      <name val="Calibri"/>
      <family val="2"/>
    </font>
    <font>
      <b/>
      <sz val="16"/>
      <color theme="1"/>
      <name val="Calibri"/>
      <family val="2"/>
    </font>
    <font>
      <sz val="18"/>
      <color theme="1"/>
      <name val="Calibri"/>
      <family val="2"/>
    </font>
    <font>
      <sz val="18"/>
      <color theme="0"/>
      <name val="Calibri"/>
      <family val="2"/>
    </font>
    <font>
      <b/>
      <sz val="18"/>
      <color theme="0"/>
      <name val="Calibri"/>
      <family val="2"/>
    </font>
    <font>
      <b/>
      <i/>
      <sz val="14"/>
      <color theme="0"/>
      <name val="Calibri"/>
      <family val="2"/>
    </font>
    <font>
      <b/>
      <sz val="14"/>
      <color theme="1"/>
      <name val="Calibri"/>
      <family val="2"/>
    </font>
    <font>
      <b/>
      <sz val="36"/>
      <color rgb="FFFF8700"/>
      <name val="Calibri"/>
      <family val="2"/>
    </font>
    <font>
      <b/>
      <i/>
      <sz val="14"/>
      <color theme="1"/>
      <name val="Calibri"/>
      <family val="2"/>
    </font>
    <font>
      <b/>
      <sz val="24"/>
      <color theme="1"/>
      <name val="Calibri"/>
      <family val="2"/>
    </font>
    <font>
      <b/>
      <sz val="16"/>
      <color rgb="FFFF8700"/>
      <name val="Calibri"/>
      <family val="2"/>
    </font>
    <font>
      <b/>
      <sz val="11"/>
      <color theme="1"/>
      <name val="Calibri"/>
      <family val="2"/>
    </font>
    <font>
      <b/>
      <sz val="11"/>
      <color theme="0"/>
      <name val="Calibri"/>
      <family val="2"/>
    </font>
    <font>
      <b/>
      <u/>
      <sz val="11"/>
      <color theme="0"/>
      <name val="Calibri"/>
      <family val="2"/>
    </font>
    <font>
      <b/>
      <i/>
      <u/>
      <sz val="11"/>
      <color theme="0"/>
      <name val="Calibri"/>
      <family val="2"/>
    </font>
    <font>
      <sz val="11"/>
      <name val="Calibri"/>
      <family val="2"/>
    </font>
    <font>
      <b/>
      <sz val="11"/>
      <name val="Calibri"/>
      <family val="2"/>
    </font>
    <font>
      <i/>
      <sz val="11"/>
      <name val="Calibri"/>
      <family val="2"/>
    </font>
    <font>
      <sz val="11"/>
      <color theme="0"/>
      <name val="Calibri"/>
      <family val="2"/>
    </font>
    <font>
      <sz val="11"/>
      <color rgb="FFFF0000"/>
      <name val="Calibri"/>
      <family val="2"/>
    </font>
    <font>
      <i/>
      <sz val="11"/>
      <color theme="1"/>
      <name val="Calibri"/>
      <family val="2"/>
    </font>
    <font>
      <sz val="14"/>
      <color theme="1"/>
      <name val="Calibri"/>
      <family val="2"/>
    </font>
    <font>
      <b/>
      <sz val="12"/>
      <color theme="1"/>
      <name val="Calibri"/>
      <family val="2"/>
    </font>
    <font>
      <sz val="12"/>
      <color theme="1"/>
      <name val="Calibri"/>
      <family val="2"/>
    </font>
    <font>
      <b/>
      <sz val="12"/>
      <color rgb="FFFE7800"/>
      <name val="Calibri"/>
      <family val="2"/>
    </font>
    <font>
      <b/>
      <sz val="12"/>
      <color theme="0" tint="-0.499984740745262"/>
      <name val="Calibri"/>
      <family val="2"/>
    </font>
    <font>
      <b/>
      <sz val="12"/>
      <color rgb="FF808080"/>
      <name val="Calibri"/>
      <family val="2"/>
    </font>
    <font>
      <b/>
      <i/>
      <sz val="12"/>
      <color rgb="FF808080"/>
      <name val="Calibri"/>
      <family val="2"/>
    </font>
    <font>
      <b/>
      <u/>
      <sz val="12"/>
      <color theme="1"/>
      <name val="Calibri"/>
      <family val="2"/>
    </font>
    <font>
      <b/>
      <i/>
      <sz val="10"/>
      <color rgb="FF808080"/>
      <name val="Calibri"/>
      <family val="2"/>
    </font>
    <font>
      <b/>
      <sz val="11"/>
      <color theme="1"/>
      <name val="Calibri"/>
      <family val="2"/>
      <scheme val="minor"/>
    </font>
    <font>
      <sz val="11"/>
      <color rgb="FF000000"/>
      <name val="Calibri"/>
      <family val="2"/>
      <scheme val="minor"/>
    </font>
    <font>
      <b/>
      <sz val="9"/>
      <color theme="0" tint="-0.499984740745262"/>
      <name val="Calibri"/>
      <family val="2"/>
    </font>
    <font>
      <b/>
      <sz val="10"/>
      <color theme="0"/>
      <name val="Calibri"/>
      <family val="2"/>
    </font>
    <font>
      <b/>
      <sz val="10"/>
      <color theme="1"/>
      <name val="Calibri"/>
      <family val="2"/>
    </font>
    <font>
      <sz val="10"/>
      <name val="Calibri"/>
      <family val="2"/>
    </font>
    <font>
      <b/>
      <sz val="8"/>
      <color theme="1"/>
      <name val="Calibri"/>
      <family val="2"/>
    </font>
    <font>
      <b/>
      <i/>
      <sz val="12"/>
      <color theme="0" tint="-0.499984740745262"/>
      <name val="Calibri"/>
      <family val="2"/>
    </font>
    <font>
      <b/>
      <sz val="12"/>
      <color rgb="FFEB7100"/>
      <name val="Calibri"/>
      <family val="2"/>
    </font>
    <font>
      <b/>
      <sz val="20"/>
      <color rgb="FFEB7100"/>
      <name val="Calibri"/>
      <family val="2"/>
    </font>
    <font>
      <b/>
      <sz val="14"/>
      <color rgb="FFEB7100"/>
      <name val="Calibri"/>
      <family val="2"/>
    </font>
    <font>
      <sz val="11"/>
      <name val="Calibri"/>
      <family val="2"/>
      <scheme val="minor"/>
    </font>
    <font>
      <b/>
      <i/>
      <sz val="11"/>
      <name val="Calibri"/>
      <family val="2"/>
    </font>
    <font>
      <sz val="14"/>
      <color rgb="FF72350C"/>
      <name val="Calibri"/>
      <family val="2"/>
    </font>
    <font>
      <u/>
      <sz val="11"/>
      <color theme="1"/>
      <name val="Calibri (Body)"/>
    </font>
    <font>
      <sz val="11"/>
      <color theme="1"/>
      <name val="Calibri (Body)"/>
    </font>
    <font>
      <i/>
      <sz val="11"/>
      <color theme="1"/>
      <name val="Calibri (Body)"/>
    </font>
    <font>
      <b/>
      <sz val="11"/>
      <name val="Calibri"/>
      <family val="2"/>
      <scheme val="minor"/>
    </font>
    <font>
      <u/>
      <sz val="14"/>
      <color rgb="FF72350C"/>
      <name val="Calibri"/>
      <family val="2"/>
    </font>
    <font>
      <u/>
      <sz val="16"/>
      <color theme="10"/>
      <name val="Calibri"/>
      <family val="2"/>
    </font>
    <font>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DE4D6"/>
        <bgColor indexed="64"/>
      </patternFill>
    </fill>
    <fill>
      <patternFill patternType="solid">
        <fgColor rgb="FFFFE9D0"/>
        <bgColor indexed="64"/>
      </patternFill>
    </fill>
    <fill>
      <patternFill patternType="solid">
        <fgColor rgb="FFFFF2E6"/>
        <bgColor indexed="64"/>
      </patternFill>
    </fill>
    <fill>
      <patternFill patternType="solid">
        <fgColor rgb="FFFFFF00"/>
        <bgColor indexed="64"/>
      </patternFill>
    </fill>
    <fill>
      <patternFill patternType="solid">
        <fgColor theme="7" tint="0.79998168889431442"/>
        <bgColor indexed="64"/>
      </patternFill>
    </fill>
  </fills>
  <borders count="28">
    <border>
      <left/>
      <right/>
      <top/>
      <bottom/>
      <diagonal/>
    </border>
    <border>
      <left/>
      <right/>
      <top/>
      <bottom style="thin">
        <color rgb="FFFF8700"/>
      </bottom>
      <diagonal/>
    </border>
    <border>
      <left/>
      <right/>
      <top/>
      <bottom style="medium">
        <color rgb="FFF65E01"/>
      </bottom>
      <diagonal/>
    </border>
    <border>
      <left/>
      <right/>
      <top style="thin">
        <color rgb="FFFB7800"/>
      </top>
      <bottom/>
      <diagonal/>
    </border>
    <border>
      <left/>
      <right/>
      <top style="thin">
        <color rgb="FFFF8700"/>
      </top>
      <bottom/>
      <diagonal/>
    </border>
    <border>
      <left/>
      <right/>
      <top/>
      <bottom style="thin">
        <color rgb="FFFE7800"/>
      </bottom>
      <diagonal/>
    </border>
    <border>
      <left/>
      <right/>
      <top style="thin">
        <color rgb="FFFE7800"/>
      </top>
      <bottom/>
      <diagonal/>
    </border>
    <border>
      <left/>
      <right/>
      <top/>
      <bottom style="thin">
        <color auto="1"/>
      </bottom>
      <diagonal/>
    </border>
    <border>
      <left/>
      <right/>
      <top/>
      <bottom style="thin">
        <color rgb="FFEB7100"/>
      </bottom>
      <diagonal/>
    </border>
    <border>
      <left/>
      <right/>
      <top style="thin">
        <color rgb="FFEB7100"/>
      </top>
      <bottom/>
      <diagonal/>
    </border>
    <border>
      <left/>
      <right/>
      <top style="thin">
        <color rgb="FFEC7100"/>
      </top>
      <bottom/>
      <diagonal/>
    </border>
    <border>
      <left style="medium">
        <color rgb="FFEC7100"/>
      </left>
      <right/>
      <top style="medium">
        <color rgb="FFEC7100"/>
      </top>
      <bottom/>
      <diagonal/>
    </border>
    <border>
      <left/>
      <right/>
      <top style="medium">
        <color rgb="FFEC7100"/>
      </top>
      <bottom/>
      <diagonal/>
    </border>
    <border>
      <left/>
      <right style="medium">
        <color rgb="FFEC7100"/>
      </right>
      <top style="medium">
        <color rgb="FFEC7100"/>
      </top>
      <bottom/>
      <diagonal/>
    </border>
    <border>
      <left style="medium">
        <color rgb="FFEC7100"/>
      </left>
      <right/>
      <top/>
      <bottom/>
      <diagonal/>
    </border>
    <border>
      <left/>
      <right style="medium">
        <color rgb="FFEC7100"/>
      </right>
      <top/>
      <bottom/>
      <diagonal/>
    </border>
    <border>
      <left style="medium">
        <color rgb="FFEC7100"/>
      </left>
      <right/>
      <top/>
      <bottom style="medium">
        <color rgb="FFEC7100"/>
      </bottom>
      <diagonal/>
    </border>
    <border>
      <left/>
      <right/>
      <top/>
      <bottom style="medium">
        <color rgb="FFEC7100"/>
      </bottom>
      <diagonal/>
    </border>
    <border>
      <left/>
      <right style="medium">
        <color rgb="FFEC7100"/>
      </right>
      <top/>
      <bottom style="medium">
        <color rgb="FFEC7100"/>
      </bottom>
      <diagonal/>
    </border>
    <border>
      <left/>
      <right/>
      <top/>
      <bottom style="thin">
        <color rgb="FFEC7100"/>
      </bottom>
      <diagonal/>
    </border>
    <border>
      <left style="thin">
        <color indexed="64"/>
      </left>
      <right style="thin">
        <color indexed="64"/>
      </right>
      <top style="thin">
        <color indexed="64"/>
      </top>
      <bottom style="thin">
        <color indexed="64"/>
      </bottom>
      <diagonal/>
    </border>
    <border>
      <left style="thin">
        <color rgb="FFEC7100"/>
      </left>
      <right/>
      <top style="thin">
        <color rgb="FFEC7100"/>
      </top>
      <bottom/>
      <diagonal/>
    </border>
    <border>
      <left/>
      <right style="thin">
        <color rgb="FFEC7100"/>
      </right>
      <top style="thin">
        <color rgb="FFEC7100"/>
      </top>
      <bottom/>
      <diagonal/>
    </border>
    <border>
      <left style="thin">
        <color rgb="FFEC7100"/>
      </left>
      <right/>
      <top/>
      <bottom/>
      <diagonal/>
    </border>
    <border>
      <left/>
      <right style="thin">
        <color rgb="FFEC7100"/>
      </right>
      <top/>
      <bottom/>
      <diagonal/>
    </border>
    <border>
      <left style="thin">
        <color rgb="FFEC7100"/>
      </left>
      <right/>
      <top/>
      <bottom style="thin">
        <color rgb="FFEC7100"/>
      </bottom>
      <diagonal/>
    </border>
    <border>
      <left/>
      <right style="thin">
        <color rgb="FFEC7100"/>
      </right>
      <top/>
      <bottom style="thin">
        <color rgb="FFEC7100"/>
      </bottom>
      <diagonal/>
    </border>
    <border>
      <left/>
      <right/>
      <top style="thin">
        <color rgb="FFF0975C"/>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43" fontId="2" fillId="0" borderId="0" applyFont="0" applyFill="0" applyBorder="0" applyAlignment="0" applyProtection="0"/>
    <xf numFmtId="0" fontId="5" fillId="0" borderId="2" applyFont="0" applyFill="0" applyAlignment="0">
      <alignment vertical="center"/>
    </xf>
    <xf numFmtId="0" fontId="4" fillId="0" borderId="0"/>
    <xf numFmtId="0" fontId="1" fillId="0" borderId="0"/>
    <xf numFmtId="0" fontId="7" fillId="0" borderId="0" applyNumberFormat="0" applyFill="0" applyBorder="0" applyAlignment="0" applyProtection="0"/>
  </cellStyleXfs>
  <cellXfs count="773">
    <xf numFmtId="0" fontId="0" fillId="0" borderId="0" xfId="0"/>
    <xf numFmtId="0" fontId="2" fillId="0" borderId="0" xfId="0" applyFont="1" applyAlignment="1">
      <alignment vertical="center"/>
    </xf>
    <xf numFmtId="0" fontId="0" fillId="0" borderId="0" xfId="0" applyProtection="1">
      <protection hidden="1"/>
    </xf>
    <xf numFmtId="165" fontId="26" fillId="0" borderId="0" xfId="1" applyNumberFormat="1" applyFont="1" applyFill="1" applyBorder="1" applyAlignment="1" applyProtection="1">
      <alignment horizontal="left" vertical="center" wrapText="1"/>
      <protection locked="0" hidden="1"/>
    </xf>
    <xf numFmtId="165" fontId="9" fillId="0" borderId="0" xfId="1" applyNumberFormat="1" applyFont="1" applyFill="1" applyBorder="1" applyAlignment="1" applyProtection="1">
      <alignment vertical="center" wrapText="1"/>
      <protection locked="0" hidden="1"/>
    </xf>
    <xf numFmtId="165" fontId="26" fillId="0" borderId="1" xfId="1" applyNumberFormat="1" applyFont="1" applyFill="1" applyBorder="1" applyAlignment="1" applyProtection="1">
      <alignment horizontal="left" vertical="center" wrapText="1"/>
      <protection locked="0" hidden="1"/>
    </xf>
    <xf numFmtId="165" fontId="26" fillId="0" borderId="4" xfId="1" applyNumberFormat="1" applyFont="1" applyFill="1" applyBorder="1" applyAlignment="1" applyProtection="1">
      <alignment horizontal="left" vertical="center" wrapText="1"/>
      <protection locked="0" hidden="1"/>
    </xf>
    <xf numFmtId="165" fontId="26" fillId="0" borderId="1" xfId="1" applyNumberFormat="1" applyFont="1" applyFill="1" applyBorder="1" applyAlignment="1" applyProtection="1">
      <alignment vertical="center" wrapText="1"/>
      <protection locked="0" hidden="1"/>
    </xf>
    <xf numFmtId="0" fontId="9" fillId="3" borderId="0" xfId="0" applyFont="1" applyFill="1" applyProtection="1">
      <protection locked="0" hidden="1"/>
    </xf>
    <xf numFmtId="0" fontId="21" fillId="0" borderId="0" xfId="0" applyFont="1" applyAlignment="1" applyProtection="1">
      <alignment vertical="center"/>
      <protection locked="0" hidden="1"/>
    </xf>
    <xf numFmtId="0" fontId="22" fillId="0" borderId="0" xfId="0" applyFont="1" applyAlignment="1" applyProtection="1">
      <alignment vertical="center"/>
      <protection locked="0" hidden="1"/>
    </xf>
    <xf numFmtId="165" fontId="22" fillId="0" borderId="0" xfId="1" applyNumberFormat="1" applyFont="1" applyFill="1" applyBorder="1" applyAlignment="1" applyProtection="1">
      <alignment horizontal="right" vertical="center"/>
      <protection locked="0" hidden="1"/>
    </xf>
    <xf numFmtId="0" fontId="23" fillId="0" borderId="0" xfId="11" applyFont="1" applyFill="1" applyBorder="1" applyAlignment="1" applyProtection="1">
      <alignment horizontal="left" vertical="center"/>
      <protection locked="0" hidden="1"/>
    </xf>
    <xf numFmtId="0" fontId="24" fillId="0" borderId="0" xfId="0" applyFont="1" applyAlignment="1" applyProtection="1">
      <alignment vertical="center"/>
      <protection locked="0" hidden="1"/>
    </xf>
    <xf numFmtId="0" fontId="21" fillId="0" borderId="0" xfId="0" applyFont="1" applyAlignment="1" applyProtection="1">
      <alignment horizontal="left" vertical="center"/>
      <protection locked="0" hidden="1"/>
    </xf>
    <xf numFmtId="0" fontId="9" fillId="0" borderId="0" xfId="0" applyFont="1" applyAlignment="1" applyProtection="1">
      <alignment vertical="center"/>
      <protection locked="0" hidden="1"/>
    </xf>
    <xf numFmtId="0" fontId="25" fillId="0" borderId="0" xfId="0" applyFont="1" applyAlignment="1" applyProtection="1">
      <alignment horizontal="left" vertical="center" indent="1"/>
      <protection locked="0" hidden="1"/>
    </xf>
    <xf numFmtId="0" fontId="27" fillId="0" borderId="0" xfId="0" applyFont="1" applyAlignment="1" applyProtection="1">
      <alignment horizontal="left" vertical="center" indent="4"/>
      <protection locked="0" hidden="1"/>
    </xf>
    <xf numFmtId="0" fontId="9" fillId="0" borderId="0" xfId="0" applyFont="1" applyAlignment="1" applyProtection="1">
      <alignment horizontal="left" vertical="center"/>
      <protection locked="0" hidden="1"/>
    </xf>
    <xf numFmtId="0" fontId="34" fillId="0" borderId="0" xfId="0" applyFont="1" applyAlignment="1" applyProtection="1">
      <alignment horizontal="left" vertical="center"/>
      <protection locked="0" hidden="1"/>
    </xf>
    <xf numFmtId="1" fontId="35" fillId="0" borderId="0" xfId="1" applyNumberFormat="1" applyFont="1" applyFill="1" applyBorder="1" applyAlignment="1" applyProtection="1">
      <alignment horizontal="center" vertical="center"/>
      <protection locked="0" hidden="1"/>
    </xf>
    <xf numFmtId="165" fontId="35" fillId="0" borderId="0" xfId="1" applyNumberFormat="1" applyFont="1" applyFill="1" applyBorder="1" applyAlignment="1" applyProtection="1">
      <alignment horizontal="center" vertical="center"/>
      <protection locked="0" hidden="1"/>
    </xf>
    <xf numFmtId="0" fontId="25" fillId="3" borderId="0" xfId="0" applyFont="1" applyFill="1" applyAlignment="1" applyProtection="1">
      <alignment horizontal="left" vertical="center" indent="1"/>
      <protection locked="0" hidden="1"/>
    </xf>
    <xf numFmtId="0" fontId="27" fillId="3" borderId="0" xfId="0" applyFont="1" applyFill="1" applyAlignment="1" applyProtection="1">
      <alignment horizontal="left" vertical="center" indent="4"/>
      <protection locked="0" hidden="1"/>
    </xf>
    <xf numFmtId="165" fontId="26" fillId="3" borderId="0" xfId="1" applyNumberFormat="1" applyFont="1" applyFill="1" applyBorder="1" applyAlignment="1" applyProtection="1">
      <alignment horizontal="left" vertical="center" wrapText="1"/>
      <protection locked="0" hidden="1"/>
    </xf>
    <xf numFmtId="0" fontId="9" fillId="0" borderId="0" xfId="0" applyFont="1" applyProtection="1">
      <protection locked="0" hidden="1"/>
    </xf>
    <xf numFmtId="0" fontId="21" fillId="0" borderId="0" xfId="0" applyFont="1" applyProtection="1">
      <protection locked="0" hidden="1"/>
    </xf>
    <xf numFmtId="0" fontId="9" fillId="0" borderId="0" xfId="0" applyFont="1" applyAlignment="1" applyProtection="1">
      <alignment horizontal="left" indent="1"/>
      <protection locked="0" hidden="1"/>
    </xf>
    <xf numFmtId="175" fontId="32" fillId="0" borderId="0" xfId="1" applyNumberFormat="1" applyFont="1" applyFill="1" applyBorder="1" applyAlignment="1" applyProtection="1">
      <alignment horizontal="right" vertical="center"/>
      <protection locked="0" hidden="1"/>
    </xf>
    <xf numFmtId="175" fontId="33" fillId="0" borderId="0" xfId="1" applyNumberFormat="1" applyFont="1" applyFill="1" applyBorder="1" applyAlignment="1" applyProtection="1">
      <alignment horizontal="right" vertical="center"/>
      <protection locked="0" hidden="1"/>
    </xf>
    <xf numFmtId="168" fontId="33" fillId="0" borderId="0" xfId="2" applyNumberFormat="1" applyFont="1" applyFill="1" applyBorder="1" applyAlignment="1" applyProtection="1">
      <alignment horizontal="center" vertical="center" wrapText="1"/>
      <protection locked="0" hidden="1"/>
    </xf>
    <xf numFmtId="0" fontId="21" fillId="3" borderId="0" xfId="0" applyFont="1" applyFill="1" applyAlignment="1" applyProtection="1">
      <alignment vertical="center"/>
      <protection locked="0" hidden="1"/>
    </xf>
    <xf numFmtId="175" fontId="32" fillId="0" borderId="6" xfId="1" applyNumberFormat="1" applyFont="1" applyFill="1" applyBorder="1" applyAlignment="1" applyProtection="1">
      <alignment horizontal="right" vertical="center"/>
      <protection locked="0" hidden="1"/>
    </xf>
    <xf numFmtId="172" fontId="32" fillId="3" borderId="0" xfId="1" applyNumberFormat="1" applyFont="1" applyFill="1" applyBorder="1" applyAlignment="1" applyProtection="1">
      <alignment horizontal="right" vertical="center"/>
      <protection locked="0" hidden="1"/>
    </xf>
    <xf numFmtId="175" fontId="32" fillId="3" borderId="6" xfId="1" applyNumberFormat="1" applyFont="1" applyFill="1" applyBorder="1" applyAlignment="1" applyProtection="1">
      <alignment horizontal="right" vertical="center"/>
      <protection locked="0" hidden="1"/>
    </xf>
    <xf numFmtId="0" fontId="32" fillId="0" borderId="6" xfId="0" applyFont="1" applyBorder="1" applyAlignment="1" applyProtection="1">
      <alignment horizontal="left" vertical="center"/>
      <protection locked="0" hidden="1"/>
    </xf>
    <xf numFmtId="0" fontId="32" fillId="3" borderId="6" xfId="0" applyFont="1" applyFill="1" applyBorder="1" applyAlignment="1" applyProtection="1">
      <alignment horizontal="left" vertical="center"/>
      <protection locked="0" hidden="1"/>
    </xf>
    <xf numFmtId="0" fontId="33" fillId="3" borderId="0" xfId="0" applyFont="1" applyFill="1" applyAlignment="1" applyProtection="1">
      <alignment vertical="center"/>
      <protection locked="0" hidden="1"/>
    </xf>
    <xf numFmtId="0" fontId="31" fillId="3" borderId="0" xfId="0" applyFont="1" applyFill="1" applyAlignment="1" applyProtection="1">
      <alignment vertical="center"/>
      <protection locked="0" hidden="1"/>
    </xf>
    <xf numFmtId="0" fontId="33" fillId="3" borderId="0" xfId="0" applyFont="1" applyFill="1" applyAlignment="1" applyProtection="1">
      <alignment horizontal="center" vertical="center"/>
      <protection locked="0" hidden="1"/>
    </xf>
    <xf numFmtId="164" fontId="33" fillId="3" borderId="0" xfId="0" applyNumberFormat="1" applyFont="1" applyFill="1" applyAlignment="1" applyProtection="1">
      <alignment vertical="center"/>
      <protection locked="0" hidden="1"/>
    </xf>
    <xf numFmtId="0" fontId="33" fillId="3" borderId="0" xfId="0" applyFont="1" applyFill="1" applyAlignment="1" applyProtection="1">
      <alignment horizontal="center" vertical="center" wrapText="1"/>
      <protection locked="0" hidden="1"/>
    </xf>
    <xf numFmtId="0" fontId="38" fillId="3" borderId="0" xfId="0" applyFont="1" applyFill="1" applyAlignment="1" applyProtection="1">
      <alignment vertical="center"/>
      <protection locked="0" hidden="1"/>
    </xf>
    <xf numFmtId="0" fontId="32" fillId="3" borderId="0" xfId="0" applyFont="1" applyFill="1" applyAlignment="1" applyProtection="1">
      <alignment horizontal="center" vertical="center"/>
      <protection locked="0" hidden="1"/>
    </xf>
    <xf numFmtId="168" fontId="9" fillId="0" borderId="0" xfId="2" applyNumberFormat="1" applyFont="1" applyFill="1" applyBorder="1" applyAlignment="1" applyProtection="1">
      <alignment horizontal="center" vertical="center"/>
      <protection locked="0" hidden="1"/>
    </xf>
    <xf numFmtId="168" fontId="32" fillId="5" borderId="0" xfId="2" applyNumberFormat="1" applyFont="1" applyFill="1" applyBorder="1" applyAlignment="1" applyProtection="1">
      <alignment horizontal="center" vertical="center" wrapText="1"/>
      <protection locked="0" hidden="1"/>
    </xf>
    <xf numFmtId="9" fontId="33" fillId="3" borderId="0" xfId="2" applyFont="1" applyFill="1" applyBorder="1" applyAlignment="1" applyProtection="1">
      <alignment vertical="center"/>
      <protection locked="0" hidden="1"/>
    </xf>
    <xf numFmtId="0" fontId="22" fillId="0" borderId="0" xfId="0" applyFont="1" applyAlignment="1" applyProtection="1">
      <alignment horizontal="left" vertical="center"/>
      <protection locked="0" hidden="1"/>
    </xf>
    <xf numFmtId="0" fontId="9" fillId="0" borderId="0" xfId="0" applyFont="1" applyAlignment="1" applyProtection="1">
      <alignment horizontal="right"/>
      <protection locked="0" hidden="1"/>
    </xf>
    <xf numFmtId="0" fontId="25" fillId="0" borderId="0" xfId="0" applyFont="1" applyAlignment="1" applyProtection="1">
      <alignment horizontal="left" vertical="center" indent="3"/>
      <protection locked="0" hidden="1"/>
    </xf>
    <xf numFmtId="0" fontId="26" fillId="0" borderId="0" xfId="0" applyFont="1" applyAlignment="1" applyProtection="1">
      <alignment vertical="center"/>
      <protection locked="0" hidden="1"/>
    </xf>
    <xf numFmtId="0" fontId="25" fillId="0" borderId="0" xfId="0" applyFont="1" applyAlignment="1" applyProtection="1">
      <alignment horizontal="left" indent="1"/>
      <protection locked="0" hidden="1"/>
    </xf>
    <xf numFmtId="0" fontId="26" fillId="3" borderId="0" xfId="0" applyFont="1" applyFill="1" applyAlignment="1" applyProtection="1">
      <alignment vertical="center"/>
      <protection locked="0" hidden="1"/>
    </xf>
    <xf numFmtId="0" fontId="25" fillId="3" borderId="0" xfId="0" applyFont="1" applyFill="1" applyAlignment="1" applyProtection="1">
      <alignment horizontal="left" indent="1"/>
      <protection locked="0" hidden="1"/>
    </xf>
    <xf numFmtId="0" fontId="27" fillId="0" borderId="0" xfId="0" applyFont="1" applyAlignment="1" applyProtection="1">
      <alignment horizontal="left" indent="3"/>
      <protection locked="0" hidden="1"/>
    </xf>
    <xf numFmtId="0" fontId="27" fillId="0" borderId="0" xfId="0" applyFont="1" applyAlignment="1" applyProtection="1">
      <alignment horizontal="left" indent="4"/>
      <protection locked="0" hidden="1"/>
    </xf>
    <xf numFmtId="0" fontId="25" fillId="0" borderId="0" xfId="0" applyFont="1" applyAlignment="1" applyProtection="1">
      <alignment horizontal="left" vertical="center" wrapText="1" indent="1"/>
      <protection locked="0" hidden="1"/>
    </xf>
    <xf numFmtId="0" fontId="27" fillId="0" borderId="0" xfId="0" applyFont="1" applyAlignment="1" applyProtection="1">
      <alignment horizontal="left" vertical="center" indent="5"/>
      <protection locked="0" hidden="1"/>
    </xf>
    <xf numFmtId="165" fontId="34" fillId="0" borderId="0" xfId="1" applyNumberFormat="1" applyFont="1" applyFill="1" applyBorder="1" applyAlignment="1" applyProtection="1">
      <alignment horizontal="center" vertical="center"/>
      <protection locked="0" hidden="1"/>
    </xf>
    <xf numFmtId="0" fontId="27" fillId="3" borderId="0" xfId="0" applyFont="1" applyFill="1" applyAlignment="1" applyProtection="1">
      <alignment horizontal="left" indent="3"/>
      <protection locked="0" hidden="1"/>
    </xf>
    <xf numFmtId="0" fontId="27" fillId="3" borderId="0" xfId="0" applyFont="1" applyFill="1" applyAlignment="1" applyProtection="1">
      <alignment horizontal="left" indent="4"/>
      <protection locked="0" hidden="1"/>
    </xf>
    <xf numFmtId="0" fontId="25" fillId="3" borderId="0" xfId="0" applyFont="1" applyFill="1" applyAlignment="1" applyProtection="1">
      <alignment horizontal="left" vertical="center" wrapText="1" indent="1"/>
      <protection locked="0" hidden="1"/>
    </xf>
    <xf numFmtId="0" fontId="30" fillId="0" borderId="0" xfId="0" applyFont="1" applyAlignment="1" applyProtection="1">
      <alignment horizontal="left" vertical="center" wrapText="1" indent="5"/>
      <protection locked="0" hidden="1"/>
    </xf>
    <xf numFmtId="0" fontId="9" fillId="0" borderId="0" xfId="0" applyFont="1" applyAlignment="1" applyProtection="1">
      <alignment horizontal="left" vertical="center" wrapText="1" indent="1"/>
      <protection locked="0" hidden="1"/>
    </xf>
    <xf numFmtId="0" fontId="30" fillId="0" borderId="0" xfId="0" applyFont="1" applyAlignment="1" applyProtection="1">
      <alignment horizontal="left" vertical="center" wrapText="1" indent="4"/>
      <protection locked="0" hidden="1"/>
    </xf>
    <xf numFmtId="0" fontId="30" fillId="0" borderId="0" xfId="0" applyFont="1" applyAlignment="1" applyProtection="1">
      <alignment horizontal="left" indent="5"/>
      <protection locked="0" hidden="1"/>
    </xf>
    <xf numFmtId="0" fontId="30" fillId="0" borderId="0" xfId="0" applyFont="1" applyAlignment="1" applyProtection="1">
      <alignment horizontal="left" indent="7"/>
      <protection locked="0" hidden="1"/>
    </xf>
    <xf numFmtId="0" fontId="30" fillId="3" borderId="0" xfId="0" applyFont="1" applyFill="1" applyAlignment="1" applyProtection="1">
      <alignment horizontal="left" vertical="center" wrapText="1" indent="5"/>
      <protection locked="0" hidden="1"/>
    </xf>
    <xf numFmtId="0" fontId="30" fillId="3" borderId="0" xfId="0" applyFont="1" applyFill="1" applyAlignment="1" applyProtection="1">
      <alignment horizontal="left" vertical="center" wrapText="1" indent="4"/>
      <protection locked="0" hidden="1"/>
    </xf>
    <xf numFmtId="0" fontId="9" fillId="3" borderId="0" xfId="0" applyFont="1" applyFill="1" applyAlignment="1" applyProtection="1">
      <alignment horizontal="left" vertical="center" wrapText="1" indent="1"/>
      <protection locked="0" hidden="1"/>
    </xf>
    <xf numFmtId="0" fontId="9" fillId="0" borderId="0" xfId="0" applyFont="1" applyAlignment="1" applyProtection="1">
      <alignment horizontal="left" vertical="center" wrapText="1"/>
      <protection locked="0" hidden="1"/>
    </xf>
    <xf numFmtId="0" fontId="26" fillId="0" borderId="0" xfId="0" applyFont="1" applyAlignment="1" applyProtection="1">
      <alignment horizontal="left" indent="1"/>
      <protection locked="0" hidden="1"/>
    </xf>
    <xf numFmtId="0" fontId="25" fillId="0" borderId="0" xfId="0" applyFont="1" applyAlignment="1" applyProtection="1">
      <alignment horizontal="left" indent="4"/>
      <protection locked="0" hidden="1"/>
    </xf>
    <xf numFmtId="0" fontId="21" fillId="0" borderId="0" xfId="0" applyFont="1" applyAlignment="1" applyProtection="1">
      <alignment horizontal="left" vertical="center" wrapText="1" indent="2"/>
      <protection locked="0" hidden="1"/>
    </xf>
    <xf numFmtId="165" fontId="25" fillId="3" borderId="0" xfId="1" applyNumberFormat="1" applyFont="1" applyFill="1" applyBorder="1" applyAlignment="1" applyProtection="1">
      <alignment horizontal="left" vertical="center" wrapText="1"/>
      <protection locked="0" hidden="1"/>
    </xf>
    <xf numFmtId="0" fontId="30" fillId="0" borderId="0" xfId="0" applyFont="1" applyAlignment="1" applyProtection="1">
      <alignment horizontal="left" indent="4"/>
      <protection locked="0" hidden="1"/>
    </xf>
    <xf numFmtId="0" fontId="27" fillId="3" borderId="0" xfId="0" applyFont="1" applyFill="1" applyAlignment="1" applyProtection="1">
      <alignment horizontal="left" vertical="center" wrapText="1" indent="3"/>
      <protection locked="0" hidden="1"/>
    </xf>
    <xf numFmtId="0" fontId="27" fillId="0" borderId="0" xfId="0" applyFont="1" applyAlignment="1" applyProtection="1">
      <alignment horizontal="left" vertical="center" wrapText="1" indent="3"/>
      <protection locked="0" hidden="1"/>
    </xf>
    <xf numFmtId="0" fontId="9" fillId="3" borderId="0" xfId="0" applyFont="1" applyFill="1" applyAlignment="1" applyProtection="1">
      <alignment horizontal="left" indent="1"/>
      <protection locked="0" hidden="1"/>
    </xf>
    <xf numFmtId="0" fontId="30" fillId="3" borderId="0" xfId="0" applyFont="1" applyFill="1" applyAlignment="1" applyProtection="1">
      <alignment horizontal="left" indent="4"/>
      <protection locked="0" hidden="1"/>
    </xf>
    <xf numFmtId="165" fontId="26" fillId="4" borderId="4" xfId="1" applyNumberFormat="1" applyFont="1" applyFill="1" applyBorder="1" applyAlignment="1" applyProtection="1">
      <alignment horizontal="left" vertical="center" wrapText="1"/>
      <protection locked="0" hidden="1"/>
    </xf>
    <xf numFmtId="165" fontId="25" fillId="4" borderId="0" xfId="1" applyNumberFormat="1" applyFont="1" applyFill="1" applyBorder="1" applyAlignment="1" applyProtection="1">
      <alignment horizontal="left" vertical="center" wrapText="1"/>
      <protection locked="0" hidden="1"/>
    </xf>
    <xf numFmtId="0" fontId="30" fillId="4" borderId="0" xfId="0" applyFont="1" applyFill="1" applyAlignment="1" applyProtection="1">
      <alignment horizontal="left" vertical="center" wrapText="1" indent="5"/>
      <protection locked="0" hidden="1"/>
    </xf>
    <xf numFmtId="175" fontId="33" fillId="0" borderId="6" xfId="1" applyNumberFormat="1" applyFont="1" applyFill="1" applyBorder="1" applyAlignment="1" applyProtection="1">
      <alignment horizontal="right" vertical="center"/>
      <protection locked="0" hidden="1"/>
    </xf>
    <xf numFmtId="9" fontId="33" fillId="3" borderId="0" xfId="2" applyFont="1" applyFill="1" applyAlignment="1" applyProtection="1">
      <alignment vertical="center"/>
      <protection locked="0" hidden="1"/>
    </xf>
    <xf numFmtId="175" fontId="31" fillId="7" borderId="0" xfId="1" applyNumberFormat="1" applyFont="1" applyFill="1" applyBorder="1" applyAlignment="1" applyProtection="1">
      <alignment horizontal="right" vertical="center"/>
      <protection locked="0" hidden="1"/>
    </xf>
    <xf numFmtId="175" fontId="16" fillId="7" borderId="6" xfId="1" applyNumberFormat="1" applyFont="1" applyFill="1" applyBorder="1" applyAlignment="1" applyProtection="1">
      <alignment horizontal="right" vertical="center"/>
      <protection locked="0" hidden="1"/>
    </xf>
    <xf numFmtId="175" fontId="33" fillId="4" borderId="0" xfId="1" applyNumberFormat="1" applyFont="1" applyFill="1" applyBorder="1" applyAlignment="1" applyProtection="1">
      <alignment horizontal="right" vertical="center"/>
      <protection locked="0" hidden="1"/>
    </xf>
    <xf numFmtId="0" fontId="17" fillId="3" borderId="0" xfId="0" applyFont="1" applyFill="1" applyAlignment="1" applyProtection="1">
      <alignment vertical="center"/>
      <protection locked="0" hidden="1"/>
    </xf>
    <xf numFmtId="0" fontId="9" fillId="3" borderId="0" xfId="0" applyFont="1" applyFill="1" applyAlignment="1" applyProtection="1">
      <alignment horizontal="center"/>
      <protection locked="0" hidden="1"/>
    </xf>
    <xf numFmtId="0" fontId="39" fillId="0" borderId="7" xfId="0" applyFont="1" applyBorder="1" applyAlignment="1" applyProtection="1">
      <alignment horizontal="center" vertical="center" wrapText="1"/>
      <protection locked="0" hidden="1"/>
    </xf>
    <xf numFmtId="168" fontId="32" fillId="3" borderId="0" xfId="2" applyNumberFormat="1" applyFont="1" applyFill="1" applyBorder="1" applyAlignment="1" applyProtection="1">
      <alignment horizontal="center" vertical="center"/>
      <protection locked="0" hidden="1"/>
    </xf>
    <xf numFmtId="168" fontId="32" fillId="6" borderId="0" xfId="2" applyNumberFormat="1" applyFont="1" applyFill="1" applyBorder="1" applyAlignment="1" applyProtection="1">
      <alignment horizontal="center" vertical="center"/>
      <protection locked="0" hidden="1"/>
    </xf>
    <xf numFmtId="179" fontId="32" fillId="0" borderId="6" xfId="1" applyNumberFormat="1" applyFont="1" applyFill="1" applyBorder="1" applyAlignment="1" applyProtection="1">
      <alignment horizontal="right" vertical="center"/>
      <protection locked="0" hidden="1"/>
    </xf>
    <xf numFmtId="179" fontId="32" fillId="3" borderId="6" xfId="1" applyNumberFormat="1" applyFont="1" applyFill="1" applyBorder="1" applyAlignment="1" applyProtection="1">
      <alignment horizontal="right" vertical="center"/>
      <protection locked="0" hidden="1"/>
    </xf>
    <xf numFmtId="168" fontId="21" fillId="3" borderId="0" xfId="2" applyNumberFormat="1" applyFont="1" applyFill="1" applyBorder="1" applyAlignment="1" applyProtection="1">
      <alignment horizontal="center" vertical="center"/>
      <protection locked="0" hidden="1"/>
    </xf>
    <xf numFmtId="179" fontId="32" fillId="0" borderId="0" xfId="1" applyNumberFormat="1" applyFont="1" applyFill="1" applyBorder="1" applyAlignment="1" applyProtection="1">
      <alignment horizontal="right" vertical="center"/>
      <protection locked="0" hidden="1"/>
    </xf>
    <xf numFmtId="179" fontId="33" fillId="4" borderId="0" xfId="1" applyNumberFormat="1" applyFont="1" applyFill="1" applyBorder="1" applyAlignment="1" applyProtection="1">
      <alignment horizontal="right" vertical="center"/>
      <protection locked="0" hidden="1"/>
    </xf>
    <xf numFmtId="179" fontId="33" fillId="0" borderId="0" xfId="1" applyNumberFormat="1" applyFont="1" applyFill="1" applyBorder="1" applyAlignment="1" applyProtection="1">
      <alignment horizontal="right" vertical="center"/>
      <protection locked="0" hidden="1"/>
    </xf>
    <xf numFmtId="0" fontId="27" fillId="3" borderId="0" xfId="0" applyFont="1" applyFill="1" applyAlignment="1" applyProtection="1">
      <alignment horizontal="left" vertical="center" indent="7"/>
      <protection locked="0" hidden="1"/>
    </xf>
    <xf numFmtId="0" fontId="27" fillId="3" borderId="0" xfId="0" applyFont="1" applyFill="1" applyAlignment="1" applyProtection="1">
      <alignment horizontal="left" vertical="center" indent="3"/>
      <protection locked="0" hidden="1"/>
    </xf>
    <xf numFmtId="165" fontId="9" fillId="3" borderId="0" xfId="1" applyNumberFormat="1" applyFont="1" applyFill="1" applyBorder="1" applyAlignment="1" applyProtection="1">
      <alignment horizontal="left" vertical="center" wrapText="1" indent="1"/>
      <protection locked="0" hidden="1"/>
    </xf>
    <xf numFmtId="165" fontId="9" fillId="0" borderId="0" xfId="1" applyNumberFormat="1" applyFont="1" applyFill="1" applyBorder="1" applyAlignment="1" applyProtection="1">
      <alignment horizontal="left" vertical="center" wrapText="1" indent="1"/>
      <protection locked="0" hidden="1"/>
    </xf>
    <xf numFmtId="165" fontId="30" fillId="3" borderId="0" xfId="1" applyNumberFormat="1" applyFont="1" applyFill="1" applyBorder="1" applyAlignment="1" applyProtection="1">
      <alignment horizontal="left" vertical="center" wrapText="1" indent="4"/>
      <protection locked="0" hidden="1"/>
    </xf>
    <xf numFmtId="1" fontId="42" fillId="0" borderId="0" xfId="1" applyNumberFormat="1" applyFont="1" applyFill="1" applyBorder="1" applyAlignment="1" applyProtection="1">
      <alignment horizontal="center" vertical="center"/>
      <protection locked="0" hidden="1"/>
    </xf>
    <xf numFmtId="0" fontId="4" fillId="0" borderId="0" xfId="0" applyFont="1" applyProtection="1">
      <protection locked="0" hidden="1"/>
    </xf>
    <xf numFmtId="0" fontId="43" fillId="0" borderId="0" xfId="0" applyFont="1" applyAlignment="1" applyProtection="1">
      <alignment horizontal="left" vertical="center"/>
      <protection locked="0" hidden="1"/>
    </xf>
    <xf numFmtId="0" fontId="45" fillId="0" borderId="0" xfId="0" applyFont="1" applyAlignment="1" applyProtection="1">
      <alignment horizontal="left" indent="1"/>
      <protection locked="0" hidden="1"/>
    </xf>
    <xf numFmtId="165" fontId="4" fillId="0" borderId="0" xfId="1" applyNumberFormat="1" applyFont="1" applyFill="1" applyBorder="1" applyAlignment="1" applyProtection="1">
      <alignment vertical="center" wrapText="1"/>
      <protection locked="0" hidden="1"/>
    </xf>
    <xf numFmtId="0" fontId="46" fillId="0" borderId="0" xfId="0" applyFont="1" applyAlignment="1" applyProtection="1">
      <alignment horizontal="left" vertical="center"/>
      <protection locked="0" hidden="1"/>
    </xf>
    <xf numFmtId="0" fontId="27" fillId="0" borderId="0" xfId="0" applyFont="1" applyAlignment="1" applyProtection="1">
      <alignment horizontal="left" vertical="center" indent="2"/>
      <protection locked="0" hidden="1"/>
    </xf>
    <xf numFmtId="0" fontId="27" fillId="3" borderId="0" xfId="0" applyFont="1" applyFill="1" applyAlignment="1" applyProtection="1">
      <alignment horizontal="left" vertical="center" indent="2"/>
      <protection locked="0" hidden="1"/>
    </xf>
    <xf numFmtId="0" fontId="25" fillId="3" borderId="0" xfId="0" applyFont="1" applyFill="1" applyAlignment="1" applyProtection="1">
      <alignment horizontal="left" vertical="center" indent="2"/>
      <protection locked="0" hidden="1"/>
    </xf>
    <xf numFmtId="0" fontId="27" fillId="3" borderId="0" xfId="0" applyFont="1" applyFill="1" applyAlignment="1" applyProtection="1">
      <alignment horizontal="left" vertical="center" indent="9"/>
      <protection locked="0" hidden="1"/>
    </xf>
    <xf numFmtId="1" fontId="47" fillId="0" borderId="0" xfId="1" applyNumberFormat="1" applyFont="1" applyFill="1" applyBorder="1" applyAlignment="1" applyProtection="1">
      <alignment horizontal="center" vertical="center"/>
      <protection locked="0" hidden="1"/>
    </xf>
    <xf numFmtId="1" fontId="47" fillId="0" borderId="0" xfId="1" applyNumberFormat="1" applyFont="1" applyAlignment="1" applyProtection="1">
      <alignment horizontal="center" vertical="center"/>
      <protection locked="0" hidden="1"/>
    </xf>
    <xf numFmtId="0" fontId="9" fillId="0" borderId="0" xfId="0" applyFont="1" applyProtection="1">
      <protection locked="0"/>
    </xf>
    <xf numFmtId="0" fontId="9" fillId="0" borderId="0" xfId="0" applyFont="1" applyAlignment="1" applyProtection="1">
      <alignment horizontal="right"/>
      <protection locked="0"/>
    </xf>
    <xf numFmtId="1" fontId="35" fillId="0" borderId="0" xfId="1" applyNumberFormat="1" applyFont="1" applyFill="1" applyBorder="1" applyAlignment="1" applyProtection="1">
      <alignment horizontal="center" vertical="center"/>
      <protection locked="0"/>
    </xf>
    <xf numFmtId="165" fontId="35" fillId="0" borderId="0" xfId="1" applyNumberFormat="1" applyFont="1" applyFill="1" applyBorder="1" applyAlignment="1" applyProtection="1">
      <alignment horizontal="center" vertical="center"/>
      <protection locked="0"/>
    </xf>
    <xf numFmtId="165" fontId="34" fillId="0" borderId="0" xfId="1" applyNumberFormat="1" applyFont="1" applyFill="1" applyBorder="1" applyAlignment="1" applyProtection="1">
      <alignment horizontal="center" vertical="center"/>
      <protection locked="0"/>
    </xf>
    <xf numFmtId="165" fontId="22" fillId="0" borderId="0" xfId="1" applyNumberFormat="1" applyFont="1" applyFill="1" applyBorder="1" applyAlignment="1" applyProtection="1">
      <alignment horizontal="right" vertical="center"/>
      <protection locked="0"/>
    </xf>
    <xf numFmtId="0" fontId="22" fillId="0" borderId="0" xfId="0" applyFont="1" applyAlignment="1" applyProtection="1">
      <alignment vertical="center"/>
      <protection locked="0"/>
    </xf>
    <xf numFmtId="0" fontId="23" fillId="0" borderId="0" xfId="11" applyFont="1" applyFill="1" applyBorder="1" applyAlignment="1" applyProtection="1">
      <alignment horizontal="left" vertical="center"/>
      <protection locked="0"/>
    </xf>
    <xf numFmtId="0" fontId="24" fillId="0" borderId="0" xfId="0" applyFont="1" applyAlignment="1" applyProtection="1">
      <alignment vertical="center"/>
      <protection locked="0"/>
    </xf>
    <xf numFmtId="0" fontId="21" fillId="0" borderId="0" xfId="0" applyFont="1" applyAlignment="1" applyProtection="1">
      <alignment horizontal="left" vertical="center"/>
      <protection locked="0"/>
    </xf>
    <xf numFmtId="1" fontId="21" fillId="0" borderId="0" xfId="1" applyNumberFormat="1" applyFont="1" applyFill="1" applyBorder="1" applyAlignment="1" applyProtection="1">
      <alignment horizontal="right" vertical="center"/>
      <protection locked="0"/>
    </xf>
    <xf numFmtId="165" fontId="21" fillId="0" borderId="0" xfId="1" applyNumberFormat="1" applyFont="1" applyFill="1" applyBorder="1" applyAlignment="1" applyProtection="1">
      <alignment horizontal="right" vertical="center"/>
      <protection locked="0"/>
    </xf>
    <xf numFmtId="165" fontId="26" fillId="0" borderId="1" xfId="1" applyNumberFormat="1" applyFont="1" applyFill="1" applyBorder="1" applyAlignment="1" applyProtection="1">
      <alignment vertical="center" wrapText="1"/>
      <protection locked="0"/>
    </xf>
    <xf numFmtId="170" fontId="9" fillId="0" borderId="0" xfId="1" applyNumberFormat="1" applyFont="1" applyFill="1" applyBorder="1" applyAlignment="1" applyProtection="1">
      <alignment horizontal="right" vertical="center" wrapText="1"/>
      <protection locked="0"/>
    </xf>
    <xf numFmtId="165" fontId="9" fillId="0" borderId="0" xfId="1" applyNumberFormat="1" applyFont="1" applyFill="1" applyBorder="1" applyAlignment="1" applyProtection="1">
      <alignment horizontal="right" vertical="center" wrapText="1"/>
      <protection locked="0"/>
    </xf>
    <xf numFmtId="174" fontId="9" fillId="0" borderId="0" xfId="0" applyNumberFormat="1" applyFont="1" applyAlignment="1" applyProtection="1">
      <alignment horizontal="right"/>
      <protection locked="0"/>
    </xf>
    <xf numFmtId="164" fontId="9" fillId="0" borderId="0" xfId="0" applyNumberFormat="1" applyFont="1" applyProtection="1">
      <protection locked="0"/>
    </xf>
    <xf numFmtId="170" fontId="9" fillId="0" borderId="0" xfId="1" applyNumberFormat="1" applyFont="1" applyFill="1" applyBorder="1" applyAlignment="1" applyProtection="1">
      <alignment horizontal="right" wrapText="1"/>
      <protection locked="0"/>
    </xf>
    <xf numFmtId="9" fontId="9" fillId="0" borderId="0" xfId="2" applyFont="1" applyFill="1" applyBorder="1" applyAlignment="1" applyProtection="1">
      <alignment horizontal="right" wrapText="1"/>
      <protection locked="0"/>
    </xf>
    <xf numFmtId="168" fontId="9" fillId="0" borderId="0" xfId="2" applyNumberFormat="1" applyFont="1" applyFill="1" applyBorder="1" applyAlignment="1" applyProtection="1">
      <alignment horizontal="right" wrapText="1"/>
      <protection locked="0"/>
    </xf>
    <xf numFmtId="174" fontId="9" fillId="0" borderId="0" xfId="2" applyNumberFormat="1" applyFont="1" applyFill="1" applyBorder="1" applyAlignment="1" applyProtection="1">
      <alignment horizontal="right" wrapText="1"/>
      <protection locked="0"/>
    </xf>
    <xf numFmtId="0" fontId="9" fillId="0" borderId="0" xfId="0" applyFont="1" applyAlignment="1" applyProtection="1">
      <alignment horizontal="left" vertical="center" wrapText="1" indent="2"/>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indent="1"/>
      <protection locked="0"/>
    </xf>
    <xf numFmtId="184" fontId="9" fillId="0" borderId="0" xfId="0" applyNumberFormat="1" applyFont="1" applyAlignment="1" applyProtection="1">
      <alignment horizontal="right"/>
      <protection locked="0"/>
    </xf>
    <xf numFmtId="165" fontId="9" fillId="0" borderId="0" xfId="0" applyNumberFormat="1" applyFont="1" applyAlignment="1" applyProtection="1">
      <alignment horizontal="right"/>
      <protection locked="0"/>
    </xf>
    <xf numFmtId="165" fontId="26" fillId="0" borderId="0" xfId="1" applyNumberFormat="1" applyFont="1" applyFill="1" applyBorder="1" applyAlignment="1" applyProtection="1">
      <alignment horizontal="left" vertical="center" wrapText="1" indent="1"/>
      <protection locked="0"/>
    </xf>
    <xf numFmtId="0" fontId="25" fillId="0" borderId="0" xfId="0" applyFont="1" applyAlignment="1" applyProtection="1">
      <alignment horizontal="left"/>
      <protection locked="0"/>
    </xf>
    <xf numFmtId="166" fontId="25" fillId="3" borderId="0" xfId="1" applyNumberFormat="1" applyFont="1" applyFill="1" applyBorder="1" applyAlignment="1" applyProtection="1">
      <alignment horizontal="right" vertical="center"/>
      <protection locked="0"/>
    </xf>
    <xf numFmtId="0" fontId="9" fillId="0" borderId="0" xfId="0" applyFont="1" applyAlignment="1" applyProtection="1">
      <alignment horizontal="left"/>
      <protection locked="0"/>
    </xf>
    <xf numFmtId="166" fontId="25" fillId="0" borderId="0" xfId="1" applyNumberFormat="1" applyFont="1" applyFill="1" applyBorder="1" applyAlignment="1" applyProtection="1">
      <alignment horizontal="right" vertical="center"/>
      <protection locked="0"/>
    </xf>
    <xf numFmtId="165" fontId="26" fillId="0" borderId="0" xfId="1" applyNumberFormat="1" applyFont="1" applyFill="1" applyBorder="1" applyAlignment="1" applyProtection="1">
      <alignment horizontal="left" vertical="center" wrapText="1"/>
      <protection locked="0"/>
    </xf>
    <xf numFmtId="167" fontId="26" fillId="0" borderId="0" xfId="1" applyNumberFormat="1" applyFont="1" applyFill="1" applyBorder="1" applyAlignment="1" applyProtection="1">
      <alignment horizontal="right" vertical="center" wrapText="1"/>
      <protection locked="0"/>
    </xf>
    <xf numFmtId="172" fontId="25" fillId="0" borderId="0" xfId="1" applyNumberFormat="1" applyFont="1" applyFill="1" applyAlignment="1" applyProtection="1">
      <alignment horizontal="right" vertical="center"/>
      <protection locked="0"/>
    </xf>
    <xf numFmtId="0" fontId="28" fillId="0" borderId="0" xfId="0" applyFont="1" applyProtection="1">
      <protection locked="0"/>
    </xf>
    <xf numFmtId="0" fontId="28" fillId="0" borderId="0" xfId="0" applyFont="1" applyAlignment="1" applyProtection="1">
      <alignment horizontal="right"/>
      <protection locked="0"/>
    </xf>
    <xf numFmtId="1" fontId="22" fillId="0" borderId="0" xfId="1" applyNumberFormat="1" applyFont="1" applyFill="1" applyBorder="1" applyAlignment="1" applyProtection="1">
      <alignment horizontal="right" vertical="center"/>
      <protection locked="0"/>
    </xf>
    <xf numFmtId="169" fontId="9" fillId="0" borderId="0" xfId="1" applyNumberFormat="1" applyFont="1" applyFill="1" applyBorder="1" applyAlignment="1" applyProtection="1">
      <alignment horizontal="right" vertical="center"/>
      <protection locked="0"/>
    </xf>
    <xf numFmtId="169" fontId="9" fillId="3" borderId="0" xfId="1" applyNumberFormat="1" applyFont="1" applyFill="1" applyBorder="1" applyAlignment="1" applyProtection="1">
      <alignment horizontal="right" vertical="center"/>
      <protection locked="0"/>
    </xf>
    <xf numFmtId="168" fontId="9" fillId="0" borderId="0" xfId="2" applyNumberFormat="1" applyFont="1" applyFill="1" applyAlignment="1" applyProtection="1">
      <alignment horizontal="right"/>
      <protection locked="0"/>
    </xf>
    <xf numFmtId="168" fontId="9" fillId="3" borderId="0" xfId="2" applyNumberFormat="1" applyFont="1" applyFill="1" applyAlignment="1" applyProtection="1">
      <alignment horizontal="right"/>
      <protection locked="0"/>
    </xf>
    <xf numFmtId="1" fontId="9" fillId="0" borderId="0" xfId="0" applyNumberFormat="1" applyFont="1" applyProtection="1">
      <protection locked="0"/>
    </xf>
    <xf numFmtId="175" fontId="9" fillId="0" borderId="0" xfId="1" applyNumberFormat="1" applyFont="1" applyFill="1" applyProtection="1">
      <protection locked="0"/>
    </xf>
    <xf numFmtId="9" fontId="9" fillId="0" borderId="0" xfId="2" applyFont="1" applyFill="1" applyProtection="1">
      <protection locked="0"/>
    </xf>
    <xf numFmtId="168" fontId="9" fillId="0" borderId="0" xfId="2" applyNumberFormat="1" applyFont="1" applyFill="1" applyProtection="1">
      <protection locked="0"/>
    </xf>
    <xf numFmtId="0" fontId="9" fillId="0" borderId="0" xfId="0" applyFont="1" applyAlignment="1" applyProtection="1">
      <alignment vertical="center"/>
      <protection locked="0"/>
    </xf>
    <xf numFmtId="177" fontId="9" fillId="3" borderId="0" xfId="1" applyNumberFormat="1" applyFont="1" applyFill="1" applyBorder="1" applyAlignment="1" applyProtection="1">
      <alignment horizontal="right" vertical="center"/>
      <protection locked="0"/>
    </xf>
    <xf numFmtId="174" fontId="9" fillId="0" borderId="0" xfId="1" applyNumberFormat="1" applyFont="1" applyFill="1" applyBorder="1" applyAlignment="1" applyProtection="1">
      <alignment horizontal="right" vertical="center"/>
      <protection locked="0"/>
    </xf>
    <xf numFmtId="0" fontId="21" fillId="0" borderId="0" xfId="0" applyFont="1" applyProtection="1">
      <protection locked="0"/>
    </xf>
    <xf numFmtId="0" fontId="30" fillId="0" borderId="0" xfId="0" applyFont="1" applyProtection="1">
      <protection locked="0"/>
    </xf>
    <xf numFmtId="168" fontId="9" fillId="0" borderId="0" xfId="2" applyNumberFormat="1" applyFont="1" applyFill="1" applyBorder="1" applyAlignment="1" applyProtection="1">
      <alignment horizontal="left"/>
      <protection locked="0"/>
    </xf>
    <xf numFmtId="176" fontId="25" fillId="0" borderId="0" xfId="1" applyNumberFormat="1" applyFont="1" applyFill="1" applyBorder="1" applyAlignment="1" applyProtection="1">
      <alignment vertical="center"/>
      <protection locked="0"/>
    </xf>
    <xf numFmtId="176" fontId="25" fillId="3" borderId="0" xfId="1" applyNumberFormat="1" applyFont="1" applyFill="1" applyBorder="1" applyAlignment="1" applyProtection="1">
      <alignment vertical="center"/>
      <protection locked="0"/>
    </xf>
    <xf numFmtId="168" fontId="9" fillId="0" borderId="0" xfId="2" applyNumberFormat="1" applyFont="1" applyFill="1" applyBorder="1" applyAlignment="1" applyProtection="1">
      <alignment horizontal="left" vertical="center"/>
      <protection locked="0"/>
    </xf>
    <xf numFmtId="166" fontId="9" fillId="0" borderId="0" xfId="1"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protection locked="0"/>
    </xf>
    <xf numFmtId="166" fontId="9" fillId="0" borderId="0" xfId="1" applyNumberFormat="1" applyFont="1" applyFill="1" applyBorder="1" applyAlignment="1" applyProtection="1">
      <alignment horizontal="left" vertical="center"/>
      <protection locked="0"/>
    </xf>
    <xf numFmtId="168" fontId="26" fillId="0" borderId="1" xfId="2" applyNumberFormat="1" applyFont="1" applyFill="1" applyBorder="1" applyAlignment="1" applyProtection="1">
      <alignment horizontal="right"/>
      <protection locked="0"/>
    </xf>
    <xf numFmtId="172" fontId="25" fillId="3" borderId="0" xfId="1" applyNumberFormat="1" applyFont="1" applyFill="1" applyBorder="1" applyAlignment="1" applyProtection="1">
      <alignment horizontal="right"/>
      <protection locked="0"/>
    </xf>
    <xf numFmtId="172" fontId="9" fillId="0" borderId="0" xfId="1" applyNumberFormat="1" applyFont="1" applyFill="1" applyBorder="1" applyAlignment="1" applyProtection="1">
      <alignment horizontal="right"/>
      <protection locked="0"/>
    </xf>
    <xf numFmtId="172" fontId="9" fillId="3" borderId="0" xfId="1" applyNumberFormat="1" applyFont="1" applyFill="1" applyBorder="1" applyAlignment="1" applyProtection="1">
      <alignment horizontal="right"/>
      <protection locked="0"/>
    </xf>
    <xf numFmtId="0" fontId="9" fillId="3" borderId="0" xfId="0" applyFont="1" applyFill="1" applyProtection="1">
      <protection locked="0"/>
    </xf>
    <xf numFmtId="0" fontId="9" fillId="3" borderId="0" xfId="0" applyFont="1" applyFill="1" applyAlignment="1" applyProtection="1">
      <alignment horizontal="right"/>
      <protection locked="0"/>
    </xf>
    <xf numFmtId="172" fontId="25" fillId="0" borderId="0" xfId="1" applyNumberFormat="1" applyFont="1" applyFill="1" applyBorder="1" applyAlignment="1" applyProtection="1">
      <alignment horizontal="right"/>
      <protection locked="0"/>
    </xf>
    <xf numFmtId="174" fontId="21" fillId="0" borderId="3" xfId="2" applyNumberFormat="1" applyFont="1" applyFill="1" applyBorder="1" applyAlignment="1" applyProtection="1">
      <alignment horizontal="right"/>
      <protection locked="0"/>
    </xf>
    <xf numFmtId="174" fontId="21" fillId="3" borderId="3" xfId="2" applyNumberFormat="1" applyFont="1" applyFill="1" applyBorder="1" applyAlignment="1" applyProtection="1">
      <alignment horizontal="right"/>
      <protection locked="0"/>
    </xf>
    <xf numFmtId="168" fontId="26" fillId="0" borderId="0" xfId="2" applyNumberFormat="1" applyFont="1" applyFill="1" applyBorder="1" applyAlignment="1" applyProtection="1">
      <alignment horizontal="right"/>
      <protection locked="0"/>
    </xf>
    <xf numFmtId="172" fontId="26" fillId="0" borderId="0" xfId="1" applyNumberFormat="1" applyFont="1" applyFill="1" applyBorder="1" applyAlignment="1" applyProtection="1">
      <alignment horizontal="right"/>
      <protection locked="0"/>
    </xf>
    <xf numFmtId="172" fontId="21" fillId="0" borderId="0" xfId="1" applyNumberFormat="1" applyFont="1" applyFill="1" applyBorder="1" applyAlignment="1" applyProtection="1">
      <alignment horizontal="right"/>
      <protection locked="0"/>
    </xf>
    <xf numFmtId="168" fontId="9" fillId="0" borderId="0" xfId="0" applyNumberFormat="1" applyFont="1" applyProtection="1">
      <protection locked="0"/>
    </xf>
    <xf numFmtId="0" fontId="9" fillId="4" borderId="0" xfId="0" applyFont="1" applyFill="1" applyAlignment="1" applyProtection="1">
      <alignment horizontal="right"/>
      <protection locked="0"/>
    </xf>
    <xf numFmtId="172" fontId="25" fillId="0" borderId="0" xfId="1" applyNumberFormat="1" applyFont="1" applyFill="1" applyAlignment="1" applyProtection="1">
      <alignment horizontal="right"/>
      <protection locked="0"/>
    </xf>
    <xf numFmtId="172" fontId="9" fillId="0" borderId="0" xfId="0" applyNumberFormat="1" applyFont="1" applyProtection="1">
      <protection locked="0"/>
    </xf>
    <xf numFmtId="172" fontId="9" fillId="4" borderId="0" xfId="0" applyNumberFormat="1" applyFont="1" applyFill="1" applyProtection="1">
      <protection locked="0"/>
    </xf>
    <xf numFmtId="172" fontId="9" fillId="3" borderId="0" xfId="1" applyNumberFormat="1" applyFont="1" applyFill="1" applyAlignment="1" applyProtection="1">
      <alignment horizontal="right"/>
      <protection locked="0"/>
    </xf>
    <xf numFmtId="172" fontId="9" fillId="0" borderId="0" xfId="1" applyNumberFormat="1" applyFont="1" applyFill="1" applyAlignment="1" applyProtection="1">
      <alignment horizontal="right"/>
      <protection locked="0"/>
    </xf>
    <xf numFmtId="172" fontId="9" fillId="3" borderId="0" xfId="0" applyNumberFormat="1" applyFont="1" applyFill="1" applyAlignment="1" applyProtection="1">
      <alignment horizontal="right"/>
      <protection locked="0"/>
    </xf>
    <xf numFmtId="172" fontId="9" fillId="0" borderId="0" xfId="0" applyNumberFormat="1" applyFont="1" applyAlignment="1" applyProtection="1">
      <alignment horizontal="right"/>
      <protection locked="0"/>
    </xf>
    <xf numFmtId="0" fontId="4" fillId="0" borderId="0" xfId="0" applyFont="1" applyProtection="1">
      <protection locked="0"/>
    </xf>
    <xf numFmtId="0" fontId="4" fillId="0" borderId="0" xfId="0" applyFont="1" applyAlignment="1" applyProtection="1">
      <alignment horizontal="right"/>
      <protection locked="0"/>
    </xf>
    <xf numFmtId="1" fontId="43" fillId="0" borderId="0" xfId="1" applyNumberFormat="1" applyFont="1" applyFill="1" applyBorder="1" applyAlignment="1" applyProtection="1">
      <alignment horizontal="right" vertical="center"/>
      <protection locked="0"/>
    </xf>
    <xf numFmtId="165" fontId="44" fillId="0" borderId="0" xfId="1" applyNumberFormat="1" applyFont="1" applyFill="1" applyBorder="1" applyAlignment="1" applyProtection="1">
      <alignment horizontal="right" vertical="center"/>
      <protection locked="0"/>
    </xf>
    <xf numFmtId="0" fontId="45" fillId="0" borderId="0" xfId="0" applyFont="1" applyAlignment="1" applyProtection="1">
      <alignment horizontal="left"/>
      <protection locked="0"/>
    </xf>
    <xf numFmtId="0" fontId="4" fillId="0" borderId="0" xfId="0" applyFont="1" applyAlignment="1" applyProtection="1">
      <alignment horizontal="left"/>
      <protection locked="0"/>
    </xf>
    <xf numFmtId="43" fontId="33" fillId="0" borderId="0" xfId="1" applyFont="1" applyFill="1" applyAlignment="1" applyProtection="1">
      <alignment horizontal="left" vertical="center" indent="1"/>
      <protection locked="0"/>
    </xf>
    <xf numFmtId="172" fontId="25" fillId="3" borderId="0" xfId="1" applyNumberFormat="1" applyFont="1" applyFill="1" applyBorder="1" applyAlignment="1" applyProtection="1">
      <alignment horizontal="right" wrapText="1"/>
      <protection locked="0"/>
    </xf>
    <xf numFmtId="172" fontId="25" fillId="0" borderId="0" xfId="1" applyNumberFormat="1" applyFont="1" applyFill="1" applyBorder="1" applyAlignment="1" applyProtection="1">
      <alignment horizontal="right" wrapText="1"/>
      <protection locked="0"/>
    </xf>
    <xf numFmtId="168" fontId="25" fillId="3" borderId="0" xfId="2" applyNumberFormat="1" applyFont="1" applyFill="1" applyBorder="1" applyAlignment="1" applyProtection="1">
      <alignment horizontal="right"/>
      <protection locked="0"/>
    </xf>
    <xf numFmtId="168" fontId="25" fillId="0" borderId="0" xfId="2" applyNumberFormat="1" applyFont="1" applyFill="1" applyBorder="1" applyAlignment="1" applyProtection="1">
      <alignment horizontal="right"/>
      <protection locked="0"/>
    </xf>
    <xf numFmtId="172" fontId="45" fillId="0" borderId="0" xfId="1" applyNumberFormat="1" applyFont="1" applyFill="1" applyBorder="1" applyAlignment="1" applyProtection="1">
      <alignment horizontal="right"/>
      <protection locked="0"/>
    </xf>
    <xf numFmtId="168" fontId="45" fillId="0" borderId="0" xfId="2" applyNumberFormat="1" applyFont="1" applyFill="1" applyBorder="1" applyAlignment="1" applyProtection="1">
      <alignment horizontal="right"/>
      <protection locked="0"/>
    </xf>
    <xf numFmtId="168" fontId="9" fillId="0" borderId="0" xfId="2" applyNumberFormat="1" applyFont="1" applyFill="1" applyBorder="1" applyAlignment="1" applyProtection="1">
      <alignment horizontal="right" vertical="center" wrapText="1"/>
      <protection locked="0"/>
    </xf>
    <xf numFmtId="0" fontId="29" fillId="0" borderId="0" xfId="0" applyFont="1" applyProtection="1">
      <protection locked="0"/>
    </xf>
    <xf numFmtId="174" fontId="9" fillId="0" borderId="0" xfId="2" applyNumberFormat="1" applyFont="1" applyFill="1" applyBorder="1" applyAlignment="1" applyProtection="1">
      <alignment horizontal="right" vertical="center" wrapText="1"/>
      <protection locked="0"/>
    </xf>
    <xf numFmtId="168" fontId="9" fillId="0" borderId="0" xfId="2" applyNumberFormat="1" applyFont="1" applyAlignment="1" applyProtection="1">
      <alignment horizontal="right"/>
      <protection locked="0"/>
    </xf>
    <xf numFmtId="0" fontId="25" fillId="0" borderId="0" xfId="0" applyFont="1" applyProtection="1">
      <protection locked="0"/>
    </xf>
    <xf numFmtId="172" fontId="25" fillId="0" borderId="0" xfId="1" applyNumberFormat="1" applyFont="1" applyFill="1" applyBorder="1" applyProtection="1">
      <protection locked="0"/>
    </xf>
    <xf numFmtId="0" fontId="25" fillId="0" borderId="0" xfId="0" applyFont="1" applyAlignment="1" applyProtection="1">
      <alignment horizontal="left" vertical="center" indent="3"/>
      <protection locked="0"/>
    </xf>
    <xf numFmtId="172" fontId="25" fillId="3" borderId="0" xfId="1" applyNumberFormat="1" applyFont="1" applyFill="1" applyBorder="1" applyAlignment="1" applyProtection="1">
      <alignment horizontal="right" vertical="center"/>
      <protection locked="0"/>
    </xf>
    <xf numFmtId="172" fontId="25" fillId="0" borderId="0" xfId="1" applyNumberFormat="1" applyFont="1" applyFill="1" applyBorder="1" applyAlignment="1" applyProtection="1">
      <alignment horizontal="right" vertical="center"/>
      <protection locked="0"/>
    </xf>
    <xf numFmtId="172" fontId="9" fillId="3" borderId="0" xfId="0" applyNumberFormat="1" applyFont="1" applyFill="1" applyProtection="1">
      <protection locked="0"/>
    </xf>
    <xf numFmtId="0" fontId="29" fillId="0" borderId="0" xfId="0" applyFont="1" applyAlignment="1" applyProtection="1">
      <alignment horizontal="left"/>
      <protection locked="0"/>
    </xf>
    <xf numFmtId="9" fontId="9" fillId="0" borderId="0" xfId="0" applyNumberFormat="1" applyFont="1" applyProtection="1">
      <protection locked="0"/>
    </xf>
    <xf numFmtId="43" fontId="9" fillId="0" borderId="0" xfId="0" applyNumberFormat="1" applyFont="1" applyProtection="1">
      <protection locked="0"/>
    </xf>
    <xf numFmtId="172" fontId="25" fillId="0" borderId="0" xfId="1" applyNumberFormat="1" applyFont="1" applyFill="1" applyBorder="1" applyAlignment="1" applyProtection="1">
      <alignment horizontal="center" vertical="center" wrapText="1"/>
      <protection locked="0"/>
    </xf>
    <xf numFmtId="172" fontId="25" fillId="3" borderId="0" xfId="1" applyNumberFormat="1" applyFont="1" applyFill="1" applyBorder="1" applyAlignment="1" applyProtection="1">
      <alignment horizontal="center" vertical="center" wrapText="1"/>
      <protection locked="0"/>
    </xf>
    <xf numFmtId="168" fontId="25" fillId="0" borderId="0" xfId="2" applyNumberFormat="1" applyFont="1" applyFill="1" applyBorder="1" applyAlignment="1" applyProtection="1">
      <alignment horizontal="right" vertical="center"/>
      <protection locked="0"/>
    </xf>
    <xf numFmtId="165" fontId="26" fillId="3" borderId="0" xfId="1" applyNumberFormat="1" applyFont="1" applyFill="1" applyBorder="1" applyAlignment="1" applyProtection="1">
      <alignment horizontal="left" vertical="center" wrapText="1"/>
      <protection locked="0"/>
    </xf>
    <xf numFmtId="0" fontId="26" fillId="0" borderId="0" xfId="0" applyFont="1" applyProtection="1">
      <protection locked="0"/>
    </xf>
    <xf numFmtId="168" fontId="25" fillId="3" borderId="0" xfId="2" applyNumberFormat="1" applyFont="1" applyFill="1" applyBorder="1" applyAlignment="1" applyProtection="1">
      <alignment horizontal="right" vertical="center"/>
      <protection locked="0"/>
    </xf>
    <xf numFmtId="172" fontId="9" fillId="0" borderId="0" xfId="1" applyNumberFormat="1" applyFont="1" applyFill="1" applyBorder="1" applyProtection="1">
      <protection locked="0"/>
    </xf>
    <xf numFmtId="172" fontId="26" fillId="0" borderId="0" xfId="1" applyNumberFormat="1" applyFont="1" applyFill="1" applyBorder="1" applyAlignment="1" applyProtection="1">
      <alignment horizontal="right" vertical="center"/>
      <protection locked="0"/>
    </xf>
    <xf numFmtId="9" fontId="25" fillId="0" borderId="0" xfId="2" applyFont="1" applyFill="1" applyBorder="1" applyAlignment="1" applyProtection="1">
      <alignment horizontal="right" vertical="center"/>
      <protection locked="0"/>
    </xf>
    <xf numFmtId="168" fontId="9" fillId="0" borderId="0" xfId="2" applyNumberFormat="1" applyFont="1" applyProtection="1">
      <protection locked="0"/>
    </xf>
    <xf numFmtId="172" fontId="9" fillId="3" borderId="0" xfId="1" applyNumberFormat="1" applyFont="1" applyFill="1" applyBorder="1" applyProtection="1">
      <protection locked="0"/>
    </xf>
    <xf numFmtId="172" fontId="9" fillId="0" borderId="0" xfId="1" applyNumberFormat="1" applyFont="1" applyFill="1" applyBorder="1" applyAlignment="1" applyProtection="1">
      <alignment horizontal="center"/>
      <protection locked="0"/>
    </xf>
    <xf numFmtId="172" fontId="9" fillId="3" borderId="0" xfId="1" applyNumberFormat="1" applyFont="1" applyFill="1" applyBorder="1" applyAlignment="1" applyProtection="1">
      <alignment horizontal="center"/>
      <protection locked="0"/>
    </xf>
    <xf numFmtId="168" fontId="9" fillId="3" borderId="0" xfId="2" applyNumberFormat="1" applyFont="1" applyFill="1" applyProtection="1">
      <protection locked="0"/>
    </xf>
    <xf numFmtId="172" fontId="25" fillId="3" borderId="0" xfId="1" applyNumberFormat="1" applyFont="1" applyFill="1" applyAlignment="1" applyProtection="1">
      <alignment horizontal="right"/>
      <protection locked="0"/>
    </xf>
    <xf numFmtId="0" fontId="25" fillId="0" borderId="0" xfId="0" applyFont="1" applyAlignment="1" applyProtection="1">
      <alignment vertical="center"/>
      <protection locked="0"/>
    </xf>
    <xf numFmtId="172" fontId="26" fillId="3" borderId="0" xfId="1" applyNumberFormat="1" applyFont="1" applyFill="1" applyBorder="1" applyAlignment="1" applyProtection="1">
      <alignment horizontal="right" vertical="center"/>
      <protection locked="0"/>
    </xf>
    <xf numFmtId="172" fontId="25" fillId="3" borderId="0" xfId="1" applyNumberFormat="1" applyFont="1" applyFill="1" applyAlignment="1" applyProtection="1">
      <alignment horizontal="right" vertical="center"/>
      <protection locked="0"/>
    </xf>
    <xf numFmtId="0" fontId="21"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26" fillId="0" borderId="0" xfId="0" applyFont="1" applyAlignment="1" applyProtection="1">
      <alignment horizontal="right" vertical="center"/>
      <protection locked="0"/>
    </xf>
    <xf numFmtId="172" fontId="26" fillId="0" borderId="0" xfId="0" applyNumberFormat="1" applyFont="1" applyAlignment="1" applyProtection="1">
      <alignment horizontal="right" vertical="center"/>
      <protection locked="0"/>
    </xf>
    <xf numFmtId="172" fontId="25" fillId="3" borderId="0" xfId="1" applyNumberFormat="1" applyFont="1" applyFill="1" applyBorder="1" applyAlignment="1" applyProtection="1">
      <alignment vertical="center"/>
      <protection locked="0"/>
    </xf>
    <xf numFmtId="172" fontId="25" fillId="0" borderId="0" xfId="1" applyNumberFormat="1" applyFont="1" applyFill="1" applyBorder="1" applyAlignment="1" applyProtection="1">
      <alignment vertical="center"/>
      <protection locked="0"/>
    </xf>
    <xf numFmtId="0" fontId="25" fillId="0" borderId="0" xfId="0" applyFont="1" applyAlignment="1" applyProtection="1">
      <alignment horizontal="left" vertical="center"/>
      <protection locked="0"/>
    </xf>
    <xf numFmtId="43" fontId="9" fillId="0" borderId="0" xfId="2" applyNumberFormat="1" applyFont="1" applyFill="1" applyBorder="1" applyAlignment="1" applyProtection="1">
      <alignment vertical="center"/>
      <protection locked="0"/>
    </xf>
    <xf numFmtId="172" fontId="21" fillId="0" borderId="0" xfId="1" applyNumberFormat="1" applyFont="1" applyFill="1" applyBorder="1" applyAlignment="1" applyProtection="1">
      <alignment vertical="center"/>
      <protection locked="0"/>
    </xf>
    <xf numFmtId="172" fontId="21" fillId="0" borderId="0" xfId="1" applyNumberFormat="1" applyFont="1" applyFill="1" applyBorder="1" applyAlignment="1" applyProtection="1">
      <alignment horizontal="right" vertical="center"/>
      <protection locked="0"/>
    </xf>
    <xf numFmtId="166" fontId="21" fillId="0" borderId="0" xfId="1" applyNumberFormat="1" applyFont="1" applyFill="1" applyBorder="1" applyAlignment="1" applyProtection="1">
      <alignment horizontal="right" vertical="center"/>
      <protection locked="0"/>
    </xf>
    <xf numFmtId="172" fontId="9" fillId="0" borderId="0" xfId="0" applyNumberFormat="1" applyFont="1" applyAlignment="1" applyProtection="1">
      <alignment horizontal="right" vertical="center"/>
      <protection locked="0"/>
    </xf>
    <xf numFmtId="0" fontId="9" fillId="0" borderId="0" xfId="0" applyFont="1" applyAlignment="1" applyProtection="1">
      <alignment horizontal="right" vertical="center"/>
      <protection locked="0"/>
    </xf>
    <xf numFmtId="175" fontId="25" fillId="3" borderId="0" xfId="1" applyNumberFormat="1" applyFont="1" applyFill="1" applyBorder="1" applyAlignment="1" applyProtection="1">
      <alignment vertical="center"/>
      <protection locked="0"/>
    </xf>
    <xf numFmtId="183" fontId="25" fillId="3" borderId="0" xfId="2" applyNumberFormat="1" applyFont="1" applyFill="1" applyBorder="1" applyAlignment="1" applyProtection="1">
      <alignment vertical="center"/>
      <protection locked="0"/>
    </xf>
    <xf numFmtId="175" fontId="25" fillId="0" borderId="0" xfId="1" applyNumberFormat="1" applyFont="1" applyFill="1" applyBorder="1" applyAlignment="1" applyProtection="1">
      <alignment vertical="center"/>
      <protection locked="0"/>
    </xf>
    <xf numFmtId="183" fontId="25" fillId="0" borderId="0" xfId="2" applyNumberFormat="1" applyFont="1" applyFill="1" applyBorder="1" applyAlignment="1" applyProtection="1">
      <alignment vertical="center"/>
      <protection locked="0"/>
    </xf>
    <xf numFmtId="172" fontId="9" fillId="0" borderId="0" xfId="1" applyNumberFormat="1" applyFont="1" applyFill="1" applyBorder="1" applyAlignment="1" applyProtection="1">
      <alignment horizontal="right" vertical="center"/>
      <protection locked="0"/>
    </xf>
    <xf numFmtId="168" fontId="25" fillId="3" borderId="0" xfId="2" applyNumberFormat="1" applyFont="1" applyFill="1" applyBorder="1" applyAlignment="1" applyProtection="1">
      <alignment vertical="center"/>
      <protection locked="0"/>
    </xf>
    <xf numFmtId="182" fontId="25" fillId="3" borderId="0" xfId="2" applyNumberFormat="1" applyFont="1" applyFill="1" applyBorder="1" applyAlignment="1" applyProtection="1">
      <alignment vertical="center"/>
      <protection locked="0"/>
    </xf>
    <xf numFmtId="182" fontId="25" fillId="3" borderId="0" xfId="2" applyNumberFormat="1" applyFont="1" applyFill="1" applyBorder="1" applyAlignment="1" applyProtection="1">
      <alignment horizontal="right" vertical="center"/>
      <protection locked="0"/>
    </xf>
    <xf numFmtId="175" fontId="9" fillId="0" borderId="0" xfId="1" applyNumberFormat="1" applyFont="1" applyFill="1" applyBorder="1" applyAlignment="1" applyProtection="1">
      <alignment horizontal="right" vertical="center"/>
      <protection locked="0"/>
    </xf>
    <xf numFmtId="180" fontId="25" fillId="3" borderId="0" xfId="2" applyNumberFormat="1" applyFont="1" applyFill="1" applyBorder="1" applyAlignment="1" applyProtection="1">
      <alignment horizontal="right" vertical="center"/>
      <protection locked="0"/>
    </xf>
    <xf numFmtId="168" fontId="25" fillId="0" borderId="0" xfId="2" applyNumberFormat="1" applyFont="1" applyFill="1" applyBorder="1" applyAlignment="1" applyProtection="1">
      <alignment vertical="center"/>
      <protection locked="0"/>
    </xf>
    <xf numFmtId="168" fontId="9" fillId="0" borderId="0" xfId="2" applyNumberFormat="1" applyFont="1" applyFill="1" applyBorder="1" applyAlignment="1" applyProtection="1">
      <alignment horizontal="right" vertical="center"/>
      <protection locked="0"/>
    </xf>
    <xf numFmtId="172" fontId="26" fillId="3" borderId="0" xfId="1" applyNumberFormat="1" applyFont="1" applyFill="1" applyBorder="1" applyAlignment="1" applyProtection="1">
      <alignment horizontal="right"/>
      <protection locked="0"/>
    </xf>
    <xf numFmtId="0" fontId="26" fillId="0" borderId="0" xfId="0" applyFont="1" applyAlignment="1" applyProtection="1">
      <alignment horizontal="left" vertical="center"/>
      <protection locked="0"/>
    </xf>
    <xf numFmtId="165" fontId="26" fillId="0" borderId="0" xfId="1" applyNumberFormat="1" applyFont="1" applyFill="1" applyBorder="1" applyAlignment="1" applyProtection="1">
      <alignment vertical="center" wrapText="1"/>
      <protection locked="0"/>
    </xf>
    <xf numFmtId="167" fontId="26" fillId="3" borderId="0" xfId="1" applyNumberFormat="1" applyFont="1" applyFill="1" applyBorder="1" applyAlignment="1" applyProtection="1">
      <alignment horizontal="right" vertical="center" wrapText="1"/>
      <protection locked="0"/>
    </xf>
    <xf numFmtId="0" fontId="48" fillId="0" borderId="0" xfId="0" applyFont="1" applyAlignment="1" applyProtection="1">
      <alignment horizontal="left" vertical="center"/>
      <protection locked="0" hidden="1"/>
    </xf>
    <xf numFmtId="165" fontId="48" fillId="0" borderId="5" xfId="1" applyNumberFormat="1" applyFont="1" applyFill="1" applyBorder="1" applyAlignment="1" applyProtection="1">
      <alignment horizontal="center" vertical="center"/>
      <protection locked="0" hidden="1"/>
    </xf>
    <xf numFmtId="165" fontId="48" fillId="0" borderId="8" xfId="1" applyNumberFormat="1" applyFont="1" applyFill="1" applyBorder="1" applyAlignment="1" applyProtection="1">
      <alignment horizontal="center" vertical="center"/>
      <protection locked="0" hidden="1"/>
    </xf>
    <xf numFmtId="0" fontId="26" fillId="0" borderId="0" xfId="0" applyFont="1" applyAlignment="1" applyProtection="1">
      <alignment horizontal="left" vertical="center"/>
      <protection locked="0" hidden="1"/>
    </xf>
    <xf numFmtId="0" fontId="25" fillId="3" borderId="9" xfId="0" applyFont="1" applyFill="1" applyBorder="1" applyAlignment="1" applyProtection="1">
      <alignment horizontal="left" vertical="center" indent="1"/>
      <protection locked="0" hidden="1"/>
    </xf>
    <xf numFmtId="175" fontId="25" fillId="3" borderId="9" xfId="1" applyNumberFormat="1" applyFont="1" applyFill="1" applyBorder="1" applyAlignment="1" applyProtection="1">
      <alignment vertical="center"/>
      <protection locked="0"/>
    </xf>
    <xf numFmtId="183" fontId="25" fillId="3" borderId="9" xfId="2" applyNumberFormat="1" applyFont="1" applyFill="1" applyBorder="1" applyAlignment="1" applyProtection="1">
      <alignment vertical="center"/>
      <protection locked="0"/>
    </xf>
    <xf numFmtId="0" fontId="9" fillId="3" borderId="0" xfId="0" applyFont="1" applyFill="1" applyAlignment="1" applyProtection="1">
      <alignment horizontal="right" vertical="center"/>
      <protection locked="0"/>
    </xf>
    <xf numFmtId="180" fontId="9" fillId="3" borderId="0" xfId="2" applyNumberFormat="1" applyFont="1" applyFill="1" applyBorder="1" applyAlignment="1" applyProtection="1">
      <alignment horizontal="right" vertical="center"/>
      <protection locked="0"/>
    </xf>
    <xf numFmtId="0" fontId="25" fillId="0" borderId="9" xfId="0" applyFont="1" applyBorder="1" applyAlignment="1" applyProtection="1">
      <alignment horizontal="left" vertical="center" indent="1"/>
      <protection locked="0" hidden="1"/>
    </xf>
    <xf numFmtId="165" fontId="21" fillId="3" borderId="9" xfId="1" applyNumberFormat="1" applyFont="1" applyFill="1" applyBorder="1" applyAlignment="1" applyProtection="1">
      <alignment horizontal="left" vertical="center" wrapText="1"/>
      <protection locked="0" hidden="1"/>
    </xf>
    <xf numFmtId="172" fontId="21" fillId="3" borderId="9" xfId="1" applyNumberFormat="1" applyFont="1" applyFill="1" applyBorder="1" applyAlignment="1" applyProtection="1">
      <alignment horizontal="right" vertical="center"/>
      <protection locked="0"/>
    </xf>
    <xf numFmtId="0" fontId="21" fillId="3" borderId="9" xfId="0" applyFont="1" applyFill="1" applyBorder="1" applyAlignment="1" applyProtection="1">
      <alignment horizontal="left" vertical="center"/>
      <protection locked="0" hidden="1"/>
    </xf>
    <xf numFmtId="172" fontId="21" fillId="3" borderId="9" xfId="1" applyNumberFormat="1" applyFont="1" applyFill="1" applyBorder="1" applyAlignment="1" applyProtection="1">
      <alignment vertical="center"/>
      <protection locked="0"/>
    </xf>
    <xf numFmtId="0" fontId="26" fillId="3" borderId="9" xfId="0" applyFont="1" applyFill="1" applyBorder="1" applyAlignment="1" applyProtection="1">
      <alignment horizontal="left" vertical="center"/>
      <protection locked="0" hidden="1"/>
    </xf>
    <xf numFmtId="172" fontId="26" fillId="3" borderId="9" xfId="1" applyNumberFormat="1" applyFont="1" applyFill="1" applyBorder="1" applyAlignment="1" applyProtection="1">
      <alignment horizontal="right" vertical="center"/>
      <protection locked="0"/>
    </xf>
    <xf numFmtId="0" fontId="26" fillId="0" borderId="9" xfId="0" applyFont="1" applyBorder="1" applyAlignment="1" applyProtection="1">
      <alignment vertical="center"/>
      <protection locked="0" hidden="1"/>
    </xf>
    <xf numFmtId="172" fontId="26" fillId="0" borderId="9" xfId="1" applyNumberFormat="1" applyFont="1" applyFill="1" applyBorder="1" applyAlignment="1" applyProtection="1">
      <alignment horizontal="right" vertical="center"/>
      <protection locked="0"/>
    </xf>
    <xf numFmtId="0" fontId="26" fillId="3" borderId="9" xfId="0" applyFont="1" applyFill="1" applyBorder="1" applyAlignment="1" applyProtection="1">
      <alignment vertical="center"/>
      <protection locked="0" hidden="1"/>
    </xf>
    <xf numFmtId="165" fontId="26" fillId="3" borderId="9" xfId="1" applyNumberFormat="1" applyFont="1" applyFill="1" applyBorder="1" applyAlignment="1" applyProtection="1">
      <alignment horizontal="left" vertical="center" wrapText="1"/>
      <protection locked="0" hidden="1"/>
    </xf>
    <xf numFmtId="165" fontId="26" fillId="0" borderId="9" xfId="1" applyNumberFormat="1" applyFont="1" applyFill="1" applyBorder="1" applyAlignment="1" applyProtection="1">
      <alignment horizontal="left" vertical="center" wrapText="1"/>
      <protection locked="0" hidden="1"/>
    </xf>
    <xf numFmtId="0" fontId="25" fillId="3" borderId="9" xfId="0" applyFont="1" applyFill="1" applyBorder="1" applyAlignment="1" applyProtection="1">
      <alignment horizontal="left" indent="1"/>
      <protection locked="0" hidden="1"/>
    </xf>
    <xf numFmtId="172" fontId="25" fillId="3" borderId="9" xfId="1" applyNumberFormat="1" applyFont="1" applyFill="1" applyBorder="1" applyAlignment="1" applyProtection="1">
      <alignment horizontal="right"/>
      <protection locked="0"/>
    </xf>
    <xf numFmtId="165" fontId="26" fillId="0" borderId="9" xfId="1" applyNumberFormat="1" applyFont="1" applyFill="1" applyBorder="1" applyAlignment="1" applyProtection="1">
      <alignment horizontal="left" vertical="center" wrapText="1"/>
      <protection locked="0"/>
    </xf>
    <xf numFmtId="0" fontId="25" fillId="0" borderId="9" xfId="0" applyFont="1" applyBorder="1" applyAlignment="1" applyProtection="1">
      <alignment horizontal="left" indent="1"/>
      <protection locked="0" hidden="1"/>
    </xf>
    <xf numFmtId="172" fontId="25" fillId="0" borderId="9" xfId="1" applyNumberFormat="1" applyFont="1" applyFill="1" applyBorder="1" applyAlignment="1" applyProtection="1">
      <alignment horizontal="right"/>
      <protection locked="0"/>
    </xf>
    <xf numFmtId="172" fontId="25" fillId="3" borderId="9" xfId="1" applyNumberFormat="1" applyFont="1" applyFill="1" applyBorder="1" applyAlignment="1" applyProtection="1">
      <alignment horizontal="right" vertical="center"/>
      <protection locked="0"/>
    </xf>
    <xf numFmtId="0" fontId="21" fillId="3" borderId="9" xfId="0" applyFont="1" applyFill="1" applyBorder="1" applyProtection="1">
      <protection locked="0" hidden="1"/>
    </xf>
    <xf numFmtId="172" fontId="21" fillId="3" borderId="9" xfId="0" applyNumberFormat="1" applyFont="1" applyFill="1" applyBorder="1" applyProtection="1">
      <protection locked="0"/>
    </xf>
    <xf numFmtId="168" fontId="26" fillId="3" borderId="9" xfId="2" applyNumberFormat="1" applyFont="1" applyFill="1" applyBorder="1" applyAlignment="1" applyProtection="1">
      <alignment horizontal="right" vertical="center" wrapText="1"/>
      <protection locked="0"/>
    </xf>
    <xf numFmtId="168" fontId="26" fillId="0" borderId="9" xfId="2" applyNumberFormat="1" applyFont="1" applyFill="1" applyBorder="1" applyAlignment="1" applyProtection="1">
      <alignment horizontal="right" vertical="center" wrapText="1"/>
      <protection locked="0"/>
    </xf>
    <xf numFmtId="0" fontId="21" fillId="3" borderId="9" xfId="0" applyFont="1" applyFill="1" applyBorder="1" applyAlignment="1" applyProtection="1">
      <alignment horizontal="left"/>
      <protection locked="0" hidden="1"/>
    </xf>
    <xf numFmtId="172" fontId="25" fillId="0" borderId="9" xfId="1" applyNumberFormat="1" applyFont="1" applyFill="1" applyBorder="1" applyAlignment="1" applyProtection="1">
      <alignment horizontal="right" vertical="center"/>
      <protection locked="0"/>
    </xf>
    <xf numFmtId="165" fontId="9" fillId="3" borderId="9" xfId="1" applyNumberFormat="1" applyFont="1" applyFill="1" applyBorder="1" applyAlignment="1" applyProtection="1">
      <alignment horizontal="left" vertical="center" wrapText="1" indent="1"/>
      <protection locked="0" hidden="1"/>
    </xf>
    <xf numFmtId="168" fontId="21" fillId="0" borderId="9" xfId="2" applyNumberFormat="1" applyFont="1" applyFill="1" applyBorder="1" applyAlignment="1" applyProtection="1">
      <alignment horizontal="right"/>
      <protection locked="0"/>
    </xf>
    <xf numFmtId="165" fontId="25" fillId="3" borderId="9" xfId="1" applyNumberFormat="1" applyFont="1" applyFill="1" applyBorder="1" applyAlignment="1" applyProtection="1">
      <alignment horizontal="left" vertical="center" wrapText="1"/>
      <protection locked="0" hidden="1"/>
    </xf>
    <xf numFmtId="167" fontId="25" fillId="3" borderId="9" xfId="1" applyNumberFormat="1" applyFont="1" applyFill="1" applyBorder="1" applyAlignment="1" applyProtection="1">
      <alignment horizontal="right" vertical="center" wrapText="1"/>
      <protection locked="0"/>
    </xf>
    <xf numFmtId="165" fontId="26" fillId="0" borderId="0" xfId="1" applyNumberFormat="1" applyFont="1" applyFill="1" applyBorder="1" applyAlignment="1" applyProtection="1">
      <alignment vertical="center" wrapText="1"/>
      <protection locked="0" hidden="1"/>
    </xf>
    <xf numFmtId="166" fontId="9" fillId="3" borderId="9" xfId="1" applyNumberFormat="1" applyFont="1" applyFill="1" applyBorder="1" applyAlignment="1" applyProtection="1">
      <alignment horizontal="right" vertical="center"/>
      <protection locked="0"/>
    </xf>
    <xf numFmtId="0" fontId="25" fillId="3" borderId="9" xfId="0" applyFont="1" applyFill="1" applyBorder="1" applyAlignment="1" applyProtection="1">
      <alignment horizontal="left" vertical="center" wrapText="1" indent="1"/>
      <protection locked="0" hidden="1"/>
    </xf>
    <xf numFmtId="166" fontId="25" fillId="3" borderId="9" xfId="1" applyNumberFormat="1" applyFont="1" applyFill="1" applyBorder="1" applyAlignment="1" applyProtection="1">
      <alignment horizontal="right" vertical="center"/>
      <protection locked="0"/>
    </xf>
    <xf numFmtId="170" fontId="9" fillId="3" borderId="9" xfId="1" applyNumberFormat="1" applyFont="1" applyFill="1" applyBorder="1" applyAlignment="1" applyProtection="1">
      <alignment horizontal="right" vertical="center" wrapText="1"/>
      <protection locked="0"/>
    </xf>
    <xf numFmtId="0" fontId="48" fillId="0" borderId="5" xfId="0" applyFont="1" applyBorder="1" applyAlignment="1" applyProtection="1">
      <alignment horizontal="center" vertical="center"/>
      <protection locked="0" hidden="1"/>
    </xf>
    <xf numFmtId="0" fontId="50" fillId="0" borderId="5" xfId="0" applyFont="1" applyBorder="1" applyAlignment="1" applyProtection="1">
      <alignment horizontal="center" vertical="center"/>
      <protection locked="0" hidden="1"/>
    </xf>
    <xf numFmtId="175" fontId="45" fillId="0" borderId="0" xfId="1" applyNumberFormat="1" applyFont="1" applyFill="1" applyBorder="1" applyAlignment="1" applyProtection="1">
      <alignment horizontal="right"/>
      <protection locked="0"/>
    </xf>
    <xf numFmtId="172" fontId="4" fillId="0" borderId="0" xfId="0" applyNumberFormat="1" applyFont="1" applyAlignment="1" applyProtection="1">
      <alignment horizontal="right"/>
      <protection locked="0"/>
    </xf>
    <xf numFmtId="168" fontId="9" fillId="0" borderId="0" xfId="0" applyNumberFormat="1" applyFont="1" applyAlignment="1" applyProtection="1">
      <alignment horizontal="right"/>
      <protection locked="0"/>
    </xf>
    <xf numFmtId="168" fontId="25" fillId="0" borderId="0" xfId="2" applyNumberFormat="1" applyFont="1" applyFill="1" applyBorder="1" applyAlignment="1" applyProtection="1">
      <alignment horizontal="right" vertical="center" wrapText="1"/>
      <protection locked="0"/>
    </xf>
    <xf numFmtId="168" fontId="21" fillId="3" borderId="9" xfId="2" applyNumberFormat="1" applyFont="1" applyFill="1" applyBorder="1" applyAlignment="1" applyProtection="1">
      <alignment horizontal="right"/>
      <protection locked="0"/>
    </xf>
    <xf numFmtId="168" fontId="26" fillId="3" borderId="0" xfId="2" applyNumberFormat="1" applyFont="1" applyFill="1" applyBorder="1" applyAlignment="1" applyProtection="1">
      <alignment horizontal="right"/>
      <protection locked="0"/>
    </xf>
    <xf numFmtId="168" fontId="26" fillId="3" borderId="9" xfId="2" applyNumberFormat="1" applyFont="1" applyFill="1" applyBorder="1" applyAlignment="1" applyProtection="1">
      <alignment horizontal="right" vertical="center"/>
      <protection locked="0"/>
    </xf>
    <xf numFmtId="168" fontId="9" fillId="0" borderId="0" xfId="2" applyNumberFormat="1" applyFont="1" applyFill="1" applyBorder="1" applyAlignment="1" applyProtection="1">
      <alignment vertical="center"/>
      <protection locked="0"/>
    </xf>
    <xf numFmtId="168" fontId="25" fillId="4" borderId="0" xfId="2" applyNumberFormat="1" applyFont="1" applyFill="1" applyBorder="1" applyAlignment="1" applyProtection="1">
      <alignment vertical="center"/>
      <protection locked="0"/>
    </xf>
    <xf numFmtId="168" fontId="25" fillId="0" borderId="0" xfId="2" applyNumberFormat="1" applyFont="1" applyFill="1" applyAlignment="1" applyProtection="1">
      <alignment horizontal="right" vertical="center"/>
      <protection locked="0"/>
    </xf>
    <xf numFmtId="165" fontId="48" fillId="0" borderId="0" xfId="1" applyNumberFormat="1" applyFont="1" applyFill="1" applyBorder="1" applyAlignment="1" applyProtection="1">
      <alignment horizontal="center" vertical="center"/>
      <protection locked="0" hidden="1"/>
    </xf>
    <xf numFmtId="0" fontId="48" fillId="0" borderId="0" xfId="1" applyNumberFormat="1" applyFont="1" applyFill="1" applyBorder="1" applyAlignment="1" applyProtection="1">
      <alignment horizontal="center" vertical="center"/>
      <protection locked="0" hidden="1"/>
    </xf>
    <xf numFmtId="168" fontId="9" fillId="0" borderId="0" xfId="2" applyNumberFormat="1" applyFont="1" applyFill="1" applyBorder="1" applyProtection="1">
      <protection locked="0"/>
    </xf>
    <xf numFmtId="168" fontId="26" fillId="0" borderId="0" xfId="2" applyNumberFormat="1" applyFont="1" applyFill="1" applyBorder="1" applyAlignment="1" applyProtection="1">
      <alignment horizontal="right" vertical="center" wrapText="1"/>
      <protection locked="0"/>
    </xf>
    <xf numFmtId="168" fontId="26" fillId="3" borderId="0" xfId="2" applyNumberFormat="1" applyFont="1" applyFill="1" applyBorder="1" applyAlignment="1" applyProtection="1">
      <alignment horizontal="right" vertical="center"/>
      <protection locked="0"/>
    </xf>
    <xf numFmtId="49" fontId="48" fillId="0" borderId="0" xfId="1" applyNumberFormat="1" applyFont="1" applyFill="1" applyBorder="1" applyAlignment="1" applyProtection="1">
      <alignment horizontal="center" vertical="center"/>
      <protection locked="0" hidden="1"/>
    </xf>
    <xf numFmtId="168" fontId="21" fillId="0" borderId="0" xfId="2" applyNumberFormat="1" applyFont="1" applyFill="1" applyBorder="1" applyAlignment="1" applyProtection="1">
      <alignment horizontal="right"/>
      <protection locked="0"/>
    </xf>
    <xf numFmtId="174" fontId="21" fillId="0" borderId="0" xfId="2" applyNumberFormat="1" applyFont="1" applyFill="1" applyBorder="1" applyAlignment="1" applyProtection="1">
      <alignment horizontal="right"/>
      <protection locked="0"/>
    </xf>
    <xf numFmtId="168" fontId="21" fillId="3" borderId="9" xfId="2" applyNumberFormat="1" applyFont="1" applyFill="1" applyBorder="1" applyAlignment="1" applyProtection="1">
      <alignment horizontal="right" vertical="center"/>
      <protection locked="0"/>
    </xf>
    <xf numFmtId="168" fontId="26" fillId="0" borderId="0" xfId="2" applyNumberFormat="1" applyFont="1" applyFill="1" applyBorder="1" applyAlignment="1" applyProtection="1">
      <alignment horizontal="right" vertical="center"/>
      <protection locked="0"/>
    </xf>
    <xf numFmtId="168" fontId="21" fillId="0" borderId="0" xfId="2" applyNumberFormat="1" applyFont="1" applyFill="1" applyBorder="1" applyAlignment="1" applyProtection="1">
      <alignment horizontal="right" vertical="center"/>
      <protection locked="0"/>
    </xf>
    <xf numFmtId="168" fontId="25" fillId="0" borderId="0" xfId="2" applyNumberFormat="1" applyFont="1" applyFill="1" applyAlignment="1" applyProtection="1">
      <alignment horizontal="right"/>
      <protection locked="0"/>
    </xf>
    <xf numFmtId="168" fontId="25" fillId="3" borderId="0" xfId="2" applyNumberFormat="1" applyFont="1" applyFill="1" applyAlignment="1" applyProtection="1">
      <alignment horizontal="right"/>
      <protection locked="0"/>
    </xf>
    <xf numFmtId="168" fontId="26" fillId="0" borderId="9" xfId="2" applyNumberFormat="1" applyFont="1" applyFill="1" applyBorder="1" applyAlignment="1" applyProtection="1">
      <alignment horizontal="right" vertical="center"/>
      <protection locked="0"/>
    </xf>
    <xf numFmtId="9" fontId="9" fillId="0" borderId="0" xfId="2" applyFont="1" applyFill="1" applyBorder="1" applyProtection="1">
      <protection locked="0"/>
    </xf>
    <xf numFmtId="172" fontId="21" fillId="0" borderId="0" xfId="0" applyNumberFormat="1" applyFont="1" applyProtection="1">
      <protection locked="0"/>
    </xf>
    <xf numFmtId="168" fontId="25" fillId="3" borderId="9" xfId="2" applyNumberFormat="1" applyFont="1" applyFill="1" applyBorder="1" applyAlignment="1" applyProtection="1">
      <alignment horizontal="right"/>
      <protection locked="0"/>
    </xf>
    <xf numFmtId="168" fontId="25" fillId="3" borderId="0" xfId="2" applyNumberFormat="1" applyFont="1" applyFill="1" applyBorder="1" applyAlignment="1" applyProtection="1">
      <alignment horizontal="right" vertical="center" wrapText="1"/>
      <protection locked="0"/>
    </xf>
    <xf numFmtId="168" fontId="25" fillId="0" borderId="9" xfId="2" applyNumberFormat="1" applyFont="1" applyFill="1" applyBorder="1" applyAlignment="1" applyProtection="1">
      <alignment horizontal="right"/>
      <protection locked="0"/>
    </xf>
    <xf numFmtId="168" fontId="25" fillId="4" borderId="0" xfId="2" applyNumberFormat="1" applyFont="1" applyFill="1" applyBorder="1" applyAlignment="1" applyProtection="1">
      <alignment horizontal="right" vertical="center"/>
      <protection locked="0"/>
    </xf>
    <xf numFmtId="168" fontId="9" fillId="3" borderId="0" xfId="2" applyNumberFormat="1" applyFont="1" applyFill="1" applyBorder="1" applyAlignment="1" applyProtection="1">
      <alignment horizontal="right"/>
      <protection locked="0"/>
    </xf>
    <xf numFmtId="168" fontId="9" fillId="0" borderId="0" xfId="2" applyNumberFormat="1" applyFont="1" applyFill="1" applyBorder="1" applyAlignment="1" applyProtection="1">
      <alignment horizontal="right"/>
      <protection locked="0"/>
    </xf>
    <xf numFmtId="185" fontId="25" fillId="0" borderId="0" xfId="2" applyNumberFormat="1" applyFont="1" applyFill="1" applyBorder="1" applyAlignment="1" applyProtection="1">
      <alignment horizontal="right" vertical="center"/>
      <protection locked="0"/>
    </xf>
    <xf numFmtId="185" fontId="25" fillId="3" borderId="0" xfId="2" applyNumberFormat="1" applyFont="1" applyFill="1" applyBorder="1" applyAlignment="1" applyProtection="1">
      <alignment horizontal="right" vertical="center"/>
      <protection locked="0"/>
    </xf>
    <xf numFmtId="185" fontId="51" fillId="0" borderId="0" xfId="0" applyNumberFormat="1" applyFont="1" applyAlignment="1" applyProtection="1">
      <alignment horizontal="right" vertical="center"/>
      <protection locked="0"/>
    </xf>
    <xf numFmtId="185" fontId="9" fillId="3" borderId="0" xfId="2" applyNumberFormat="1" applyFont="1" applyFill="1" applyAlignment="1" applyProtection="1">
      <alignment horizontal="right"/>
      <protection locked="0"/>
    </xf>
    <xf numFmtId="185" fontId="9" fillId="0" borderId="0" xfId="2" applyNumberFormat="1" applyFont="1" applyFill="1" applyAlignment="1" applyProtection="1">
      <alignment horizontal="right"/>
      <protection locked="0"/>
    </xf>
    <xf numFmtId="168" fontId="25" fillId="3" borderId="9" xfId="1" applyNumberFormat="1" applyFont="1" applyFill="1" applyBorder="1" applyAlignment="1" applyProtection="1">
      <alignment horizontal="right"/>
      <protection locked="0"/>
    </xf>
    <xf numFmtId="168" fontId="25" fillId="0" borderId="0" xfId="1" applyNumberFormat="1" applyFont="1" applyFill="1" applyBorder="1" applyAlignment="1" applyProtection="1">
      <alignment horizontal="right"/>
      <protection locked="0"/>
    </xf>
    <xf numFmtId="168" fontId="25" fillId="3" borderId="0" xfId="1" applyNumberFormat="1" applyFont="1" applyFill="1" applyBorder="1" applyAlignment="1" applyProtection="1">
      <alignment horizontal="right"/>
      <protection locked="0"/>
    </xf>
    <xf numFmtId="168" fontId="21" fillId="3" borderId="9" xfId="0" applyNumberFormat="1" applyFont="1" applyFill="1" applyBorder="1" applyProtection="1">
      <protection locked="0"/>
    </xf>
    <xf numFmtId="168" fontId="25" fillId="0" borderId="9" xfId="1" applyNumberFormat="1" applyFont="1" applyFill="1" applyBorder="1" applyAlignment="1" applyProtection="1">
      <alignment horizontal="right"/>
      <protection locked="0"/>
    </xf>
    <xf numFmtId="168" fontId="25" fillId="0" borderId="0" xfId="1" applyNumberFormat="1" applyFont="1" applyFill="1" applyBorder="1" applyAlignment="1" applyProtection="1">
      <alignment horizontal="right" vertical="center" wrapText="1"/>
      <protection locked="0"/>
    </xf>
    <xf numFmtId="168" fontId="25" fillId="3" borderId="0" xfId="1" applyNumberFormat="1" applyFont="1" applyFill="1" applyBorder="1" applyAlignment="1" applyProtection="1">
      <alignment horizontal="right" vertical="center" wrapText="1"/>
      <protection locked="0"/>
    </xf>
    <xf numFmtId="185" fontId="26" fillId="3" borderId="9" xfId="2" applyNumberFormat="1" applyFont="1" applyFill="1" applyBorder="1" applyAlignment="1" applyProtection="1">
      <alignment horizontal="right" vertical="center" wrapText="1"/>
      <protection locked="0"/>
    </xf>
    <xf numFmtId="185" fontId="26" fillId="0" borderId="9" xfId="2" applyNumberFormat="1" applyFont="1" applyFill="1" applyBorder="1" applyAlignment="1" applyProtection="1">
      <alignment horizontal="right" vertical="center" wrapText="1"/>
      <protection locked="0"/>
    </xf>
    <xf numFmtId="168" fontId="25" fillId="3" borderId="9" xfId="1" applyNumberFormat="1" applyFont="1" applyFill="1" applyBorder="1" applyAlignment="1" applyProtection="1">
      <alignment horizontal="right" vertical="center"/>
      <protection locked="0"/>
    </xf>
    <xf numFmtId="168" fontId="25" fillId="0" borderId="0" xfId="1" applyNumberFormat="1" applyFont="1" applyFill="1" applyBorder="1" applyAlignment="1" applyProtection="1">
      <alignment horizontal="right" vertical="center"/>
      <protection locked="0"/>
    </xf>
    <xf numFmtId="168" fontId="25" fillId="3" borderId="0" xfId="1" applyNumberFormat="1" applyFont="1" applyFill="1" applyBorder="1" applyAlignment="1" applyProtection="1">
      <alignment horizontal="right" vertical="center"/>
      <protection locked="0"/>
    </xf>
    <xf numFmtId="168" fontId="26" fillId="3" borderId="9" xfId="1" applyNumberFormat="1" applyFont="1" applyFill="1" applyBorder="1" applyAlignment="1" applyProtection="1">
      <alignment horizontal="right" vertical="center"/>
      <protection locked="0"/>
    </xf>
    <xf numFmtId="168" fontId="9" fillId="3" borderId="0" xfId="0" applyNumberFormat="1" applyFont="1" applyFill="1" applyProtection="1">
      <protection locked="0"/>
    </xf>
    <xf numFmtId="168" fontId="9" fillId="3" borderId="0" xfId="1" applyNumberFormat="1" applyFont="1" applyFill="1" applyAlignment="1" applyProtection="1">
      <alignment horizontal="right"/>
      <protection locked="0"/>
    </xf>
    <xf numFmtId="185" fontId="9" fillId="3" borderId="0" xfId="2" applyNumberFormat="1" applyFont="1" applyFill="1" applyBorder="1" applyAlignment="1" applyProtection="1">
      <alignment horizontal="right" vertical="center" wrapText="1"/>
      <protection locked="0"/>
    </xf>
    <xf numFmtId="185" fontId="9" fillId="0" borderId="0" xfId="2" applyNumberFormat="1" applyFont="1" applyFill="1" applyBorder="1" applyAlignment="1" applyProtection="1">
      <alignment horizontal="right" vertical="center" wrapText="1"/>
      <protection locked="0"/>
    </xf>
    <xf numFmtId="185" fontId="25" fillId="3" borderId="0" xfId="2" applyNumberFormat="1" applyFont="1" applyFill="1" applyBorder="1" applyAlignment="1" applyProtection="1">
      <alignment horizontal="right"/>
      <protection locked="0"/>
    </xf>
    <xf numFmtId="185" fontId="25" fillId="0" borderId="0" xfId="2" applyNumberFormat="1" applyFont="1" applyFill="1" applyBorder="1" applyAlignment="1" applyProtection="1">
      <alignment horizontal="right"/>
      <protection locked="0"/>
    </xf>
    <xf numFmtId="168" fontId="9" fillId="0" borderId="0" xfId="1" applyNumberFormat="1" applyFont="1" applyFill="1" applyAlignment="1" applyProtection="1">
      <alignment horizontal="right"/>
      <protection locked="0"/>
    </xf>
    <xf numFmtId="168" fontId="9" fillId="3" borderId="0" xfId="0" applyNumberFormat="1" applyFont="1" applyFill="1" applyAlignment="1" applyProtection="1">
      <alignment horizontal="right"/>
      <protection locked="0"/>
    </xf>
    <xf numFmtId="185" fontId="21" fillId="0" borderId="9" xfId="2" applyNumberFormat="1" applyFont="1" applyFill="1" applyBorder="1" applyAlignment="1" applyProtection="1">
      <alignment horizontal="right"/>
      <protection locked="0"/>
    </xf>
    <xf numFmtId="185" fontId="21" fillId="3" borderId="9" xfId="2" applyNumberFormat="1" applyFont="1" applyFill="1" applyBorder="1" applyAlignment="1" applyProtection="1">
      <alignment horizontal="right"/>
      <protection locked="0"/>
    </xf>
    <xf numFmtId="167" fontId="25" fillId="0" borderId="0" xfId="1" applyNumberFormat="1" applyFont="1" applyFill="1" applyBorder="1" applyAlignment="1" applyProtection="1">
      <alignment horizontal="right" vertical="center" wrapText="1"/>
      <protection locked="0"/>
    </xf>
    <xf numFmtId="176" fontId="25" fillId="0" borderId="0" xfId="1" applyNumberFormat="1" applyFont="1" applyFill="1" applyBorder="1" applyAlignment="1" applyProtection="1">
      <alignment vertical="center" wrapText="1"/>
      <protection locked="0"/>
    </xf>
    <xf numFmtId="177" fontId="9" fillId="0" borderId="0" xfId="1" applyNumberFormat="1" applyFont="1" applyFill="1" applyBorder="1" applyAlignment="1" applyProtection="1">
      <alignment horizontal="right" vertical="center"/>
      <protection locked="0"/>
    </xf>
    <xf numFmtId="166" fontId="9" fillId="0" borderId="0" xfId="1" applyNumberFormat="1" applyFont="1" applyFill="1" applyBorder="1" applyAlignment="1" applyProtection="1">
      <alignment horizontal="right" vertical="center"/>
      <protection locked="0"/>
    </xf>
    <xf numFmtId="168" fontId="9" fillId="0" borderId="0" xfId="1" applyNumberFormat="1" applyFont="1" applyFill="1" applyBorder="1" applyAlignment="1" applyProtection="1">
      <alignment horizontal="right"/>
      <protection locked="0"/>
    </xf>
    <xf numFmtId="168" fontId="9" fillId="3" borderId="0" xfId="1" applyNumberFormat="1" applyFont="1" applyFill="1" applyBorder="1" applyAlignment="1" applyProtection="1">
      <alignment horizontal="right"/>
      <protection locked="0"/>
    </xf>
    <xf numFmtId="168" fontId="21" fillId="0" borderId="3" xfId="2" applyNumberFormat="1" applyFont="1" applyFill="1" applyBorder="1" applyAlignment="1" applyProtection="1">
      <alignment horizontal="right"/>
      <protection locked="0"/>
    </xf>
    <xf numFmtId="168" fontId="21" fillId="3" borderId="3" xfId="2" applyNumberFormat="1" applyFont="1" applyFill="1" applyBorder="1" applyAlignment="1" applyProtection="1">
      <alignment horizontal="right"/>
      <protection locked="0"/>
    </xf>
    <xf numFmtId="168" fontId="25" fillId="3" borderId="9" xfId="1" applyNumberFormat="1" applyFont="1" applyFill="1" applyBorder="1" applyAlignment="1" applyProtection="1">
      <alignment horizontal="right" vertical="center" wrapText="1"/>
      <protection locked="0"/>
    </xf>
    <xf numFmtId="168" fontId="25" fillId="0" borderId="0" xfId="1" applyNumberFormat="1" applyFont="1" applyFill="1" applyBorder="1" applyAlignment="1" applyProtection="1">
      <alignment vertical="center"/>
      <protection locked="0"/>
    </xf>
    <xf numFmtId="168" fontId="25" fillId="3" borderId="0" xfId="1" applyNumberFormat="1" applyFont="1" applyFill="1" applyBorder="1" applyAlignment="1" applyProtection="1">
      <alignment vertical="center"/>
      <protection locked="0"/>
    </xf>
    <xf numFmtId="168" fontId="9" fillId="3" borderId="0" xfId="1" applyNumberFormat="1" applyFont="1" applyFill="1" applyBorder="1" applyAlignment="1" applyProtection="1">
      <alignment horizontal="right" vertical="center"/>
      <protection locked="0"/>
    </xf>
    <xf numFmtId="168" fontId="9" fillId="0" borderId="0" xfId="1" applyNumberFormat="1" applyFont="1" applyFill="1" applyBorder="1" applyAlignment="1" applyProtection="1">
      <alignment horizontal="right" vertical="center"/>
      <protection locked="0"/>
    </xf>
    <xf numFmtId="168" fontId="9" fillId="3" borderId="9" xfId="1" applyNumberFormat="1" applyFont="1" applyFill="1" applyBorder="1" applyAlignment="1" applyProtection="1">
      <alignment horizontal="right" vertical="center"/>
      <protection locked="0"/>
    </xf>
    <xf numFmtId="168" fontId="9" fillId="3" borderId="9" xfId="1" applyNumberFormat="1" applyFont="1" applyFill="1" applyBorder="1" applyAlignment="1" applyProtection="1">
      <alignment horizontal="right" vertical="center" wrapText="1"/>
      <protection locked="0"/>
    </xf>
    <xf numFmtId="168" fontId="9" fillId="0" borderId="0" xfId="1" applyNumberFormat="1" applyFont="1" applyFill="1" applyBorder="1" applyAlignment="1" applyProtection="1">
      <alignment horizontal="right" vertical="center" wrapText="1"/>
      <protection locked="0"/>
    </xf>
    <xf numFmtId="185" fontId="9" fillId="3" borderId="0" xfId="2" applyNumberFormat="1" applyFont="1" applyFill="1" applyBorder="1" applyAlignment="1" applyProtection="1">
      <alignment horizontal="right" wrapText="1"/>
      <protection locked="0"/>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8" fillId="0" borderId="0" xfId="0" applyFont="1" applyAlignment="1">
      <alignment vertical="center"/>
    </xf>
    <xf numFmtId="0" fontId="40" fillId="0" borderId="0" xfId="0" applyFont="1" applyAlignment="1">
      <alignment vertical="center"/>
    </xf>
    <xf numFmtId="0" fontId="40" fillId="0" borderId="0" xfId="0" applyFont="1" applyAlignment="1">
      <alignment vertical="center" wrapText="1"/>
    </xf>
    <xf numFmtId="0" fontId="41" fillId="0" borderId="0" xfId="0" applyFont="1" applyAlignment="1">
      <alignment vertical="center"/>
    </xf>
    <xf numFmtId="165" fontId="9" fillId="0" borderId="9" xfId="1" applyNumberFormat="1" applyFont="1" applyFill="1" applyBorder="1" applyAlignment="1" applyProtection="1">
      <alignment horizontal="left" vertical="center" wrapText="1" indent="1"/>
      <protection locked="0" hidden="1"/>
    </xf>
    <xf numFmtId="165" fontId="9" fillId="0" borderId="0" xfId="1" applyNumberFormat="1" applyFont="1" applyFill="1" applyBorder="1" applyAlignment="1" applyProtection="1">
      <alignment horizontal="left" vertical="center" wrapText="1" indent="2"/>
      <protection locked="0" hidden="1"/>
    </xf>
    <xf numFmtId="0" fontId="9" fillId="0" borderId="0" xfId="0" applyFont="1" applyAlignment="1" applyProtection="1">
      <alignment horizontal="left" vertical="center" indent="3"/>
      <protection locked="0"/>
    </xf>
    <xf numFmtId="165" fontId="52" fillId="0" borderId="0" xfId="1" applyNumberFormat="1" applyFont="1" applyFill="1" applyBorder="1" applyAlignment="1" applyProtection="1">
      <alignment vertical="center" wrapText="1"/>
      <protection locked="0" hidden="1"/>
    </xf>
    <xf numFmtId="165" fontId="30" fillId="0" borderId="0" xfId="1" applyNumberFormat="1" applyFont="1" applyFill="1" applyBorder="1" applyAlignment="1" applyProtection="1">
      <alignment horizontal="left" vertical="center" wrapText="1" indent="1"/>
      <protection locked="0" hidden="1"/>
    </xf>
    <xf numFmtId="0" fontId="30" fillId="0" borderId="0" xfId="0" applyFont="1" applyAlignment="1" applyProtection="1">
      <alignment horizontal="left" vertical="center" wrapText="1" indent="2"/>
      <protection locked="0"/>
    </xf>
    <xf numFmtId="165" fontId="9" fillId="4" borderId="9" xfId="1" applyNumberFormat="1" applyFont="1" applyFill="1" applyBorder="1" applyAlignment="1" applyProtection="1">
      <alignment horizontal="left" vertical="center" wrapText="1" indent="1"/>
      <protection locked="0" hidden="1"/>
    </xf>
    <xf numFmtId="170" fontId="9" fillId="4" borderId="9" xfId="1" applyNumberFormat="1" applyFont="1" applyFill="1" applyBorder="1" applyAlignment="1" applyProtection="1">
      <alignment horizontal="right" vertical="center" wrapText="1"/>
      <protection locked="0"/>
    </xf>
    <xf numFmtId="165" fontId="9" fillId="4" borderId="0" xfId="1" applyNumberFormat="1" applyFont="1" applyFill="1" applyBorder="1" applyAlignment="1" applyProtection="1">
      <alignment horizontal="left" vertical="center" wrapText="1" indent="1"/>
      <protection locked="0" hidden="1"/>
    </xf>
    <xf numFmtId="174" fontId="9" fillId="4" borderId="0" xfId="0" applyNumberFormat="1" applyFont="1" applyFill="1" applyAlignment="1" applyProtection="1">
      <alignment horizontal="right"/>
      <protection locked="0"/>
    </xf>
    <xf numFmtId="165" fontId="30" fillId="4" borderId="0" xfId="1" applyNumberFormat="1" applyFont="1" applyFill="1" applyBorder="1" applyAlignment="1" applyProtection="1">
      <alignment horizontal="left" vertical="center" wrapText="1" indent="1"/>
      <protection locked="0" hidden="1"/>
    </xf>
    <xf numFmtId="165" fontId="9" fillId="4" borderId="0" xfId="1" applyNumberFormat="1" applyFont="1" applyFill="1" applyBorder="1" applyAlignment="1" applyProtection="1">
      <alignment horizontal="left" vertical="center" wrapText="1" indent="2"/>
      <protection locked="0" hidden="1"/>
    </xf>
    <xf numFmtId="165" fontId="9" fillId="4" borderId="0" xfId="1" applyNumberFormat="1" applyFont="1" applyFill="1" applyBorder="1" applyAlignment="1" applyProtection="1">
      <alignment horizontal="right" vertical="center" wrapText="1"/>
      <protection locked="0"/>
    </xf>
    <xf numFmtId="0" fontId="9" fillId="4" borderId="0" xfId="0" applyFont="1" applyFill="1" applyAlignment="1" applyProtection="1">
      <alignment horizontal="left" vertical="center" wrapText="1" indent="1"/>
      <protection locked="0"/>
    </xf>
    <xf numFmtId="0" fontId="9" fillId="4" borderId="0" xfId="0" applyFont="1" applyFill="1" applyProtection="1">
      <protection locked="0"/>
    </xf>
    <xf numFmtId="0" fontId="30" fillId="4" borderId="0" xfId="0" applyFont="1" applyFill="1" applyAlignment="1" applyProtection="1">
      <alignment horizontal="left" vertical="center" wrapText="1"/>
      <protection locked="0"/>
    </xf>
    <xf numFmtId="0" fontId="9" fillId="4" borderId="0" xfId="0" applyFont="1" applyFill="1" applyAlignment="1" applyProtection="1">
      <alignment horizontal="left" vertical="center" wrapText="1" indent="2"/>
      <protection locked="0"/>
    </xf>
    <xf numFmtId="0" fontId="30" fillId="4" borderId="0" xfId="0" applyFont="1" applyFill="1" applyAlignment="1" applyProtection="1">
      <alignment horizontal="left" vertical="center" wrapText="1" indent="2"/>
      <protection locked="0"/>
    </xf>
    <xf numFmtId="165" fontId="26" fillId="4" borderId="0" xfId="1" applyNumberFormat="1" applyFont="1" applyFill="1" applyBorder="1" applyAlignment="1" applyProtection="1">
      <alignment vertical="center" wrapText="1"/>
      <protection locked="0" hidden="1"/>
    </xf>
    <xf numFmtId="0" fontId="9" fillId="4" borderId="0" xfId="0" applyFont="1" applyFill="1" applyAlignment="1" applyProtection="1">
      <alignment horizontal="left" indent="3"/>
      <protection locked="0"/>
    </xf>
    <xf numFmtId="0" fontId="9" fillId="4" borderId="0" xfId="0" applyFont="1" applyFill="1" applyAlignment="1" applyProtection="1">
      <alignment horizontal="left" vertical="center" indent="3"/>
      <protection locked="0"/>
    </xf>
    <xf numFmtId="168" fontId="9" fillId="4" borderId="9" xfId="1" applyNumberFormat="1" applyFont="1" applyFill="1" applyBorder="1" applyAlignment="1" applyProtection="1">
      <alignment horizontal="right" vertical="center" wrapText="1"/>
      <protection locked="0"/>
    </xf>
    <xf numFmtId="168" fontId="9" fillId="4" borderId="0" xfId="1" applyNumberFormat="1" applyFont="1" applyFill="1" applyBorder="1" applyAlignment="1" applyProtection="1">
      <alignment horizontal="right" vertical="center" wrapText="1"/>
      <protection locked="0"/>
    </xf>
    <xf numFmtId="168" fontId="9" fillId="0" borderId="9" xfId="1" applyNumberFormat="1" applyFont="1" applyFill="1" applyBorder="1" applyAlignment="1" applyProtection="1">
      <alignment horizontal="right" vertical="center" wrapText="1"/>
      <protection locked="0"/>
    </xf>
    <xf numFmtId="168" fontId="9" fillId="4" borderId="0" xfId="0" applyNumberFormat="1" applyFont="1" applyFill="1" applyAlignment="1" applyProtection="1">
      <alignment horizontal="right"/>
      <protection locked="0"/>
    </xf>
    <xf numFmtId="172" fontId="9" fillId="0" borderId="0" xfId="1" applyNumberFormat="1" applyFont="1" applyFill="1" applyBorder="1" applyAlignment="1" applyProtection="1">
      <alignment horizontal="right" wrapText="1"/>
      <protection locked="0"/>
    </xf>
    <xf numFmtId="172" fontId="9" fillId="0" borderId="10" xfId="1" applyNumberFormat="1" applyFont="1" applyFill="1" applyBorder="1" applyAlignment="1" applyProtection="1">
      <alignment horizontal="right" wrapText="1"/>
      <protection locked="0"/>
    </xf>
    <xf numFmtId="165" fontId="54" fillId="4" borderId="9" xfId="11" applyNumberFormat="1" applyFont="1" applyFill="1" applyBorder="1" applyAlignment="1" applyProtection="1">
      <alignment horizontal="left" vertical="center" wrapText="1"/>
      <protection locked="0" hidden="1"/>
    </xf>
    <xf numFmtId="0" fontId="55" fillId="0" borderId="0" xfId="0" applyFont="1" applyProtection="1">
      <protection locked="0"/>
    </xf>
    <xf numFmtId="165" fontId="54" fillId="0" borderId="0" xfId="11" applyNumberFormat="1" applyFont="1" applyFill="1" applyBorder="1" applyAlignment="1" applyProtection="1">
      <alignment horizontal="left" vertical="center" wrapText="1"/>
      <protection locked="0" hidden="1"/>
    </xf>
    <xf numFmtId="165" fontId="56" fillId="0" borderId="0" xfId="1" applyNumberFormat="1" applyFont="1" applyFill="1" applyBorder="1" applyAlignment="1" applyProtection="1">
      <alignment horizontal="left" vertical="center" wrapText="1" indent="1"/>
      <protection locked="0" hidden="1"/>
    </xf>
    <xf numFmtId="165" fontId="56" fillId="4" borderId="0" xfId="1" applyNumberFormat="1" applyFont="1" applyFill="1" applyBorder="1" applyAlignment="1" applyProtection="1">
      <alignment horizontal="left" vertical="center" wrapText="1" indent="1"/>
      <protection locked="0" hidden="1"/>
    </xf>
    <xf numFmtId="0" fontId="54" fillId="4" borderId="0" xfId="11" applyFont="1" applyFill="1" applyAlignment="1" applyProtection="1">
      <alignment horizontal="left" vertical="center" wrapText="1"/>
      <protection locked="0"/>
    </xf>
    <xf numFmtId="0" fontId="54" fillId="4" borderId="0" xfId="11" applyFont="1" applyFill="1" applyProtection="1">
      <protection locked="0"/>
    </xf>
    <xf numFmtId="0" fontId="54" fillId="0" borderId="0" xfId="11" applyFont="1" applyAlignment="1" applyProtection="1">
      <alignment horizontal="left" vertical="center"/>
      <protection locked="0"/>
    </xf>
    <xf numFmtId="0" fontId="54" fillId="4" borderId="0" xfId="11" applyFont="1" applyFill="1" applyAlignment="1" applyProtection="1">
      <alignment horizontal="left" vertical="center"/>
      <protection locked="0"/>
    </xf>
    <xf numFmtId="0" fontId="33" fillId="0" borderId="11" xfId="0" applyFont="1" applyBorder="1" applyAlignment="1" applyProtection="1">
      <alignment vertical="center"/>
      <protection locked="0" hidden="1"/>
    </xf>
    <xf numFmtId="0" fontId="32" fillId="0" borderId="12" xfId="0" applyFont="1" applyBorder="1" applyAlignment="1" applyProtection="1">
      <alignment horizontal="center" vertical="center"/>
      <protection locked="0" hidden="1"/>
    </xf>
    <xf numFmtId="0" fontId="32" fillId="0" borderId="13" xfId="0" applyFont="1" applyBorder="1" applyAlignment="1" applyProtection="1">
      <alignment horizontal="center" vertical="center"/>
      <protection locked="0" hidden="1"/>
    </xf>
    <xf numFmtId="0" fontId="33" fillId="0" borderId="14" xfId="0" applyFont="1" applyBorder="1" applyAlignment="1" applyProtection="1">
      <alignment vertical="center"/>
      <protection locked="0" hidden="1"/>
    </xf>
    <xf numFmtId="0" fontId="36" fillId="0" borderId="0" xfId="0" applyFont="1" applyAlignment="1" applyProtection="1">
      <alignment horizontal="center" vertical="center"/>
      <protection locked="0" hidden="1"/>
    </xf>
    <xf numFmtId="0" fontId="32" fillId="0" borderId="15" xfId="0" applyFont="1" applyBorder="1" applyAlignment="1" applyProtection="1">
      <alignment horizontal="center" vertical="center"/>
      <protection locked="0" hidden="1"/>
    </xf>
    <xf numFmtId="0" fontId="32" fillId="3" borderId="0" xfId="0" applyFont="1" applyFill="1" applyAlignment="1" applyProtection="1">
      <alignment vertical="center"/>
      <protection locked="0" hidden="1"/>
    </xf>
    <xf numFmtId="168" fontId="32" fillId="0" borderId="15" xfId="2" applyNumberFormat="1" applyFont="1" applyFill="1" applyBorder="1" applyAlignment="1" applyProtection="1">
      <alignment horizontal="center" vertical="center"/>
      <protection locked="0" hidden="1"/>
    </xf>
    <xf numFmtId="0" fontId="33" fillId="0" borderId="0" xfId="0" applyFont="1" applyAlignment="1" applyProtection="1">
      <alignment vertical="center"/>
      <protection locked="0" hidden="1"/>
    </xf>
    <xf numFmtId="168" fontId="33" fillId="0" borderId="15" xfId="2" applyNumberFormat="1" applyFont="1" applyFill="1" applyBorder="1" applyAlignment="1" applyProtection="1">
      <alignment horizontal="center" vertical="center"/>
      <protection locked="0" hidden="1"/>
    </xf>
    <xf numFmtId="168" fontId="32" fillId="6" borderId="0" xfId="0" applyNumberFormat="1" applyFont="1" applyFill="1" applyAlignment="1" applyProtection="1">
      <alignment horizontal="center" vertical="center"/>
      <protection locked="0" hidden="1"/>
    </xf>
    <xf numFmtId="0" fontId="33" fillId="0" borderId="16" xfId="0" applyFont="1" applyBorder="1" applyAlignment="1" applyProtection="1">
      <alignment vertical="center"/>
      <protection locked="0" hidden="1"/>
    </xf>
    <xf numFmtId="0" fontId="33" fillId="0" borderId="17" xfId="0" applyFont="1" applyBorder="1" applyAlignment="1" applyProtection="1">
      <alignment vertical="center"/>
      <protection locked="0" hidden="1"/>
    </xf>
    <xf numFmtId="0" fontId="33" fillId="0" borderId="17" xfId="0" applyFont="1" applyBorder="1" applyAlignment="1" applyProtection="1">
      <alignment horizontal="center" vertical="center"/>
      <protection locked="0" hidden="1"/>
    </xf>
    <xf numFmtId="0" fontId="33" fillId="0" borderId="18" xfId="0" applyFont="1" applyBorder="1" applyAlignment="1" applyProtection="1">
      <alignment horizontal="center" vertical="center"/>
      <protection locked="0" hidden="1"/>
    </xf>
    <xf numFmtId="0" fontId="33" fillId="2" borderId="11" xfId="0" applyFont="1" applyFill="1" applyBorder="1" applyAlignment="1" applyProtection="1">
      <alignment vertical="center"/>
      <protection locked="0" hidden="1"/>
    </xf>
    <xf numFmtId="0" fontId="33" fillId="2" borderId="12" xfId="0" applyFont="1" applyFill="1" applyBorder="1" applyAlignment="1" applyProtection="1">
      <alignment vertical="center"/>
      <protection locked="0" hidden="1"/>
    </xf>
    <xf numFmtId="0" fontId="33" fillId="2" borderId="12" xfId="0" applyFont="1" applyFill="1" applyBorder="1" applyAlignment="1" applyProtection="1">
      <alignment horizontal="center" vertical="center"/>
      <protection locked="0" hidden="1"/>
    </xf>
    <xf numFmtId="0" fontId="32" fillId="2" borderId="13" xfId="0" applyFont="1" applyFill="1" applyBorder="1" applyAlignment="1" applyProtection="1">
      <alignment horizontal="center" vertical="center"/>
      <protection locked="0" hidden="1"/>
    </xf>
    <xf numFmtId="0" fontId="33" fillId="0" borderId="15" xfId="0" applyFont="1" applyBorder="1" applyAlignment="1" applyProtection="1">
      <alignment horizontal="center" vertical="center" wrapText="1"/>
      <protection locked="0" hidden="1"/>
    </xf>
    <xf numFmtId="168" fontId="33" fillId="0" borderId="15" xfId="2" applyNumberFormat="1" applyFont="1" applyFill="1" applyBorder="1" applyAlignment="1" applyProtection="1">
      <alignment horizontal="center" vertical="center" wrapText="1"/>
      <protection locked="0" hidden="1"/>
    </xf>
    <xf numFmtId="0" fontId="33" fillId="2" borderId="16" xfId="0" applyFont="1" applyFill="1" applyBorder="1" applyAlignment="1" applyProtection="1">
      <alignment vertical="center"/>
      <protection locked="0" hidden="1"/>
    </xf>
    <xf numFmtId="0" fontId="33" fillId="2" borderId="17" xfId="0" applyFont="1" applyFill="1" applyBorder="1" applyAlignment="1" applyProtection="1">
      <alignment vertical="center"/>
      <protection locked="0" hidden="1"/>
    </xf>
    <xf numFmtId="0" fontId="33" fillId="2" borderId="17" xfId="0" applyFont="1" applyFill="1" applyBorder="1" applyAlignment="1" applyProtection="1">
      <alignment horizontal="center" vertical="center"/>
      <protection locked="0" hidden="1"/>
    </xf>
    <xf numFmtId="0" fontId="33" fillId="2" borderId="18" xfId="0" applyFont="1" applyFill="1" applyBorder="1" applyAlignment="1" applyProtection="1">
      <alignment horizontal="center" vertical="center"/>
      <protection locked="0" hidden="1"/>
    </xf>
    <xf numFmtId="0" fontId="33" fillId="2" borderId="13" xfId="0" applyFont="1" applyFill="1" applyBorder="1" applyAlignment="1" applyProtection="1">
      <alignment vertical="center"/>
      <protection locked="0" hidden="1"/>
    </xf>
    <xf numFmtId="0" fontId="33" fillId="2" borderId="14" xfId="0" applyFont="1" applyFill="1" applyBorder="1" applyAlignment="1" applyProtection="1">
      <alignment vertical="center"/>
      <protection locked="0" hidden="1"/>
    </xf>
    <xf numFmtId="0" fontId="33" fillId="2" borderId="15" xfId="0" applyFont="1" applyFill="1" applyBorder="1" applyAlignment="1" applyProtection="1">
      <alignment vertical="center"/>
      <protection locked="0" hidden="1"/>
    </xf>
    <xf numFmtId="0" fontId="38" fillId="2" borderId="17" xfId="0" applyFont="1" applyFill="1" applyBorder="1" applyAlignment="1" applyProtection="1">
      <alignment vertical="center"/>
      <protection locked="0" hidden="1"/>
    </xf>
    <xf numFmtId="0" fontId="33" fillId="2" borderId="18" xfId="0" applyFont="1" applyFill="1" applyBorder="1" applyAlignment="1" applyProtection="1">
      <alignment vertical="center"/>
      <protection locked="0" hidden="1"/>
    </xf>
    <xf numFmtId="0" fontId="48" fillId="0" borderId="0" xfId="0" applyFont="1" applyAlignment="1" applyProtection="1">
      <alignment horizontal="center" vertical="center"/>
      <protection locked="0" hidden="1"/>
    </xf>
    <xf numFmtId="0" fontId="33" fillId="0" borderId="0" xfId="0" applyFont="1" applyAlignment="1" applyProtection="1">
      <alignment vertical="center" wrapText="1"/>
      <protection locked="0" hidden="1"/>
    </xf>
    <xf numFmtId="0" fontId="32" fillId="0" borderId="11" xfId="0" applyFont="1" applyBorder="1" applyAlignment="1" applyProtection="1">
      <alignment horizontal="center" vertical="center"/>
      <protection locked="0" hidden="1"/>
    </xf>
    <xf numFmtId="0" fontId="33" fillId="0" borderId="12" xfId="0" applyFont="1" applyBorder="1" applyAlignment="1" applyProtection="1">
      <alignment vertical="center"/>
      <protection locked="0" hidden="1"/>
    </xf>
    <xf numFmtId="0" fontId="33" fillId="0" borderId="13" xfId="0" applyFont="1" applyBorder="1" applyAlignment="1" applyProtection="1">
      <alignment vertical="center"/>
      <protection locked="0" hidden="1"/>
    </xf>
    <xf numFmtId="0" fontId="34" fillId="0" borderId="0" xfId="0" applyFont="1" applyAlignment="1" applyProtection="1">
      <alignment horizontal="center" vertical="center"/>
      <protection locked="0" hidden="1"/>
    </xf>
    <xf numFmtId="0" fontId="33" fillId="0" borderId="15" xfId="0" applyFont="1" applyBorder="1" applyAlignment="1" applyProtection="1">
      <alignment vertical="center"/>
      <protection locked="0" hidden="1"/>
    </xf>
    <xf numFmtId="0" fontId="33" fillId="0" borderId="0" xfId="0" applyFont="1" applyAlignment="1" applyProtection="1">
      <alignment horizontal="left" vertical="center"/>
      <protection locked="0" hidden="1"/>
    </xf>
    <xf numFmtId="172" fontId="33" fillId="0" borderId="0" xfId="0" applyNumberFormat="1" applyFont="1" applyAlignment="1" applyProtection="1">
      <alignment vertical="center"/>
      <protection locked="0" hidden="1"/>
    </xf>
    <xf numFmtId="178" fontId="33" fillId="0" borderId="0" xfId="0" applyNumberFormat="1" applyFont="1" applyAlignment="1" applyProtection="1">
      <alignment vertical="center"/>
      <protection locked="0" hidden="1"/>
    </xf>
    <xf numFmtId="0" fontId="33" fillId="3" borderId="0" xfId="0" applyFont="1" applyFill="1" applyAlignment="1" applyProtection="1">
      <alignment horizontal="left" vertical="center"/>
      <protection locked="0" hidden="1"/>
    </xf>
    <xf numFmtId="172" fontId="33" fillId="3" borderId="0" xfId="0" applyNumberFormat="1" applyFont="1" applyFill="1" applyAlignment="1" applyProtection="1">
      <alignment vertical="center"/>
      <protection locked="0" hidden="1"/>
    </xf>
    <xf numFmtId="178" fontId="33" fillId="3" borderId="0" xfId="0" applyNumberFormat="1" applyFont="1" applyFill="1" applyAlignment="1" applyProtection="1">
      <alignment vertical="center"/>
      <protection locked="0" hidden="1"/>
    </xf>
    <xf numFmtId="175" fontId="33" fillId="3" borderId="0" xfId="0" applyNumberFormat="1" applyFont="1" applyFill="1" applyAlignment="1" applyProtection="1">
      <alignment vertical="center"/>
      <protection locked="0" hidden="1"/>
    </xf>
    <xf numFmtId="179" fontId="33" fillId="3" borderId="0" xfId="0" applyNumberFormat="1" applyFont="1" applyFill="1" applyAlignment="1" applyProtection="1">
      <alignment vertical="center"/>
      <protection locked="0" hidden="1"/>
    </xf>
    <xf numFmtId="175" fontId="33" fillId="0" borderId="0" xfId="0" applyNumberFormat="1" applyFont="1" applyAlignment="1" applyProtection="1">
      <alignment vertical="center"/>
      <protection locked="0" hidden="1"/>
    </xf>
    <xf numFmtId="179" fontId="33" fillId="0" borderId="0" xfId="0" applyNumberFormat="1" applyFont="1" applyAlignment="1" applyProtection="1">
      <alignment vertical="center"/>
      <protection locked="0" hidden="1"/>
    </xf>
    <xf numFmtId="0" fontId="32" fillId="0" borderId="0" xfId="0" applyFont="1" applyAlignment="1" applyProtection="1">
      <alignment horizontal="left" vertical="center"/>
      <protection locked="0" hidden="1"/>
    </xf>
    <xf numFmtId="172" fontId="32" fillId="2" borderId="17" xfId="1" applyNumberFormat="1" applyFont="1" applyFill="1" applyBorder="1" applyAlignment="1" applyProtection="1">
      <alignment horizontal="right" vertical="center"/>
      <protection locked="0" hidden="1"/>
    </xf>
    <xf numFmtId="0" fontId="31" fillId="2" borderId="17" xfId="0" applyFont="1" applyFill="1" applyBorder="1" applyAlignment="1" applyProtection="1">
      <alignment vertical="center"/>
      <protection locked="0" hidden="1"/>
    </xf>
    <xf numFmtId="0" fontId="33" fillId="0" borderId="18" xfId="0" applyFont="1" applyBorder="1" applyAlignment="1" applyProtection="1">
      <alignment vertical="center"/>
      <protection locked="0" hidden="1"/>
    </xf>
    <xf numFmtId="172" fontId="32" fillId="0" borderId="12" xfId="1" applyNumberFormat="1" applyFont="1" applyFill="1" applyBorder="1" applyAlignment="1" applyProtection="1">
      <alignment horizontal="right" vertical="center"/>
      <protection locked="0" hidden="1"/>
    </xf>
    <xf numFmtId="0" fontId="31" fillId="0" borderId="12" xfId="0" applyFont="1" applyBorder="1" applyAlignment="1" applyProtection="1">
      <alignment vertical="center"/>
      <protection locked="0" hidden="1"/>
    </xf>
    <xf numFmtId="0" fontId="32" fillId="0" borderId="0" xfId="0" applyFont="1" applyAlignment="1" applyProtection="1">
      <alignment vertical="center"/>
      <protection locked="0" hidden="1"/>
    </xf>
    <xf numFmtId="0" fontId="31" fillId="7" borderId="0" xfId="0" applyFont="1" applyFill="1" applyAlignment="1" applyProtection="1">
      <alignment vertical="center"/>
      <protection locked="0" hidden="1"/>
    </xf>
    <xf numFmtId="0" fontId="33" fillId="4" borderId="0" xfId="0" applyFont="1" applyFill="1" applyAlignment="1" applyProtection="1">
      <alignment horizontal="left" vertical="center"/>
      <protection locked="0" hidden="1"/>
    </xf>
    <xf numFmtId="0" fontId="33" fillId="0" borderId="0" xfId="0" applyFont="1" applyAlignment="1" applyProtection="1">
      <alignment horizontal="left" vertical="center" indent="2"/>
      <protection locked="0" hidden="1"/>
    </xf>
    <xf numFmtId="0" fontId="33" fillId="4" borderId="0" xfId="0" applyFont="1" applyFill="1" applyAlignment="1" applyProtection="1">
      <alignment vertical="center"/>
      <protection locked="0" hidden="1"/>
    </xf>
    <xf numFmtId="175" fontId="9" fillId="0" borderId="0" xfId="0" applyNumberFormat="1" applyFont="1" applyProtection="1">
      <protection locked="0"/>
    </xf>
    <xf numFmtId="43" fontId="9" fillId="0" borderId="0" xfId="1" applyFont="1" applyProtection="1">
      <protection locked="0"/>
    </xf>
    <xf numFmtId="186" fontId="9" fillId="0" borderId="0" xfId="0" applyNumberFormat="1" applyFont="1" applyProtection="1">
      <protection locked="0"/>
    </xf>
    <xf numFmtId="175" fontId="9" fillId="0" borderId="0" xfId="1" applyNumberFormat="1" applyFont="1" applyFill="1" applyAlignment="1" applyProtection="1">
      <alignment horizontal="right"/>
      <protection locked="0"/>
    </xf>
    <xf numFmtId="43" fontId="9" fillId="0" borderId="0" xfId="1" applyFont="1" applyFill="1" applyProtection="1">
      <protection locked="0"/>
    </xf>
    <xf numFmtId="174" fontId="9" fillId="0" borderId="0" xfId="0" applyNumberFormat="1" applyFont="1" applyProtection="1">
      <protection locked="0"/>
    </xf>
    <xf numFmtId="0" fontId="27" fillId="0" borderId="0" xfId="0" applyFont="1" applyAlignment="1" applyProtection="1">
      <alignment horizontal="left" vertical="center" indent="7"/>
      <protection locked="0" hidden="1"/>
    </xf>
    <xf numFmtId="0" fontId="27" fillId="0" borderId="0" xfId="0" applyFont="1" applyAlignment="1" applyProtection="1">
      <alignment horizontal="left" vertical="center" indent="3"/>
      <protection locked="0" hidden="1"/>
    </xf>
    <xf numFmtId="185" fontId="9" fillId="0" borderId="0" xfId="2" applyNumberFormat="1" applyFont="1" applyFill="1" applyBorder="1" applyAlignment="1" applyProtection="1">
      <alignment horizontal="right"/>
      <protection locked="0"/>
    </xf>
    <xf numFmtId="172" fontId="9" fillId="3" borderId="9" xfId="1" applyNumberFormat="1" applyFont="1" applyFill="1" applyBorder="1" applyProtection="1">
      <protection locked="0"/>
    </xf>
    <xf numFmtId="168" fontId="9" fillId="3" borderId="9" xfId="2" applyNumberFormat="1" applyFont="1" applyFill="1" applyBorder="1" applyAlignment="1" applyProtection="1">
      <alignment horizontal="right"/>
      <protection locked="0"/>
    </xf>
    <xf numFmtId="185" fontId="9" fillId="3" borderId="0" xfId="2" applyNumberFormat="1" applyFont="1" applyFill="1" applyBorder="1" applyAlignment="1" applyProtection="1">
      <alignment horizontal="right"/>
      <protection locked="0"/>
    </xf>
    <xf numFmtId="168" fontId="25" fillId="4" borderId="0" xfId="2" applyNumberFormat="1" applyFont="1" applyFill="1" applyAlignment="1" applyProtection="1">
      <alignment horizontal="right"/>
      <protection locked="0"/>
    </xf>
    <xf numFmtId="168" fontId="25" fillId="4" borderId="0" xfId="2" applyNumberFormat="1" applyFont="1" applyFill="1" applyAlignment="1" applyProtection="1">
      <alignment horizontal="right" vertical="center"/>
      <protection locked="0"/>
    </xf>
    <xf numFmtId="167" fontId="26" fillId="0" borderId="0" xfId="0" applyNumberFormat="1" applyFont="1" applyAlignment="1" applyProtection="1">
      <alignment horizontal="right" vertical="center" wrapText="1"/>
      <protection locked="0"/>
    </xf>
    <xf numFmtId="168" fontId="25" fillId="0" borderId="9" xfId="2" applyNumberFormat="1" applyFont="1" applyFill="1" applyBorder="1" applyAlignment="1" applyProtection="1">
      <alignment horizontal="right" vertical="center"/>
      <protection locked="0"/>
    </xf>
    <xf numFmtId="0" fontId="9" fillId="0" borderId="9" xfId="0" applyFont="1" applyBorder="1" applyAlignment="1" applyProtection="1">
      <alignment horizontal="left" indent="1"/>
      <protection locked="0" hidden="1"/>
    </xf>
    <xf numFmtId="0" fontId="26" fillId="0" borderId="0" xfId="0" applyFont="1" applyAlignment="1" applyProtection="1">
      <alignment horizontal="left" vertical="center" wrapText="1"/>
      <protection locked="0" hidden="1"/>
    </xf>
    <xf numFmtId="0" fontId="26" fillId="3" borderId="9" xfId="0" applyFont="1" applyFill="1" applyBorder="1" applyAlignment="1" applyProtection="1">
      <alignment horizontal="left" vertical="center" wrapText="1"/>
      <protection locked="0" hidden="1"/>
    </xf>
    <xf numFmtId="167" fontId="26" fillId="3" borderId="9" xfId="0" applyNumberFormat="1" applyFont="1" applyFill="1" applyBorder="1" applyAlignment="1" applyProtection="1">
      <alignment horizontal="right" vertical="center" wrapText="1"/>
      <protection locked="0"/>
    </xf>
    <xf numFmtId="187" fontId="25" fillId="0" borderId="10" xfId="0" applyNumberFormat="1" applyFont="1" applyBorder="1" applyAlignment="1" applyProtection="1">
      <alignment horizontal="right" vertical="center" wrapText="1"/>
      <protection locked="0"/>
    </xf>
    <xf numFmtId="187" fontId="25" fillId="3" borderId="0" xfId="0" applyNumberFormat="1" applyFont="1" applyFill="1" applyAlignment="1" applyProtection="1">
      <alignment horizontal="right" vertical="center" wrapText="1"/>
      <protection locked="0"/>
    </xf>
    <xf numFmtId="187" fontId="25" fillId="0" borderId="0" xfId="0" applyNumberFormat="1" applyFont="1" applyAlignment="1" applyProtection="1">
      <alignment horizontal="right" vertical="center" wrapText="1"/>
      <protection locked="0"/>
    </xf>
    <xf numFmtId="168" fontId="25" fillId="0" borderId="10" xfId="2" applyNumberFormat="1" applyFont="1" applyFill="1" applyBorder="1" applyAlignment="1" applyProtection="1">
      <alignment horizontal="right" vertical="center" wrapText="1"/>
      <protection locked="0"/>
    </xf>
    <xf numFmtId="165" fontId="9" fillId="0" borderId="0" xfId="1" applyNumberFormat="1" applyFont="1" applyFill="1" applyBorder="1" applyAlignment="1" applyProtection="1">
      <alignment horizontal="right"/>
      <protection locked="0"/>
    </xf>
    <xf numFmtId="0" fontId="27" fillId="0" borderId="0" xfId="0" applyFont="1" applyAlignment="1" applyProtection="1">
      <alignment horizontal="left" indent="5"/>
      <protection locked="0" hidden="1"/>
    </xf>
    <xf numFmtId="165" fontId="9" fillId="3" borderId="0" xfId="1" applyNumberFormat="1" applyFont="1" applyFill="1" applyAlignment="1" applyProtection="1">
      <alignment horizontal="right"/>
      <protection locked="0"/>
    </xf>
    <xf numFmtId="168" fontId="9" fillId="3" borderId="0" xfId="2" applyNumberFormat="1" applyFont="1" applyFill="1" applyBorder="1" applyAlignment="1" applyProtection="1">
      <alignment horizontal="right" wrapText="1"/>
      <protection locked="0"/>
    </xf>
    <xf numFmtId="0" fontId="54" fillId="0" borderId="9" xfId="11" applyNumberFormat="1" applyFont="1" applyFill="1" applyBorder="1" applyAlignment="1" applyProtection="1">
      <alignment horizontal="left" vertical="center" wrapText="1"/>
      <protection locked="0" hidden="1"/>
    </xf>
    <xf numFmtId="175" fontId="33" fillId="4" borderId="0" xfId="0" applyNumberFormat="1" applyFont="1" applyFill="1" applyAlignment="1" applyProtection="1">
      <alignment vertical="center"/>
      <protection locked="0" hidden="1"/>
    </xf>
    <xf numFmtId="175" fontId="31" fillId="7" borderId="0" xfId="0" applyNumberFormat="1" applyFont="1" applyFill="1" applyAlignment="1" applyProtection="1">
      <alignment vertical="center"/>
      <protection locked="0" hidden="1"/>
    </xf>
    <xf numFmtId="179" fontId="33" fillId="0" borderId="0" xfId="0" applyNumberFormat="1" applyFont="1" applyAlignment="1" applyProtection="1">
      <alignment horizontal="right" vertical="center"/>
      <protection locked="0" hidden="1"/>
    </xf>
    <xf numFmtId="0" fontId="27" fillId="0" borderId="0" xfId="0" applyFont="1" applyAlignment="1" applyProtection="1">
      <alignment horizontal="left" indent="2"/>
      <protection locked="0" hidden="1"/>
    </xf>
    <xf numFmtId="0" fontId="27" fillId="3" borderId="0" xfId="0" applyFont="1" applyFill="1" applyAlignment="1" applyProtection="1">
      <alignment horizontal="left" indent="2"/>
      <protection locked="0" hidden="1"/>
    </xf>
    <xf numFmtId="9" fontId="25" fillId="3" borderId="0" xfId="2" applyFont="1" applyFill="1" applyBorder="1" applyAlignment="1" applyProtection="1">
      <alignment horizontal="right" vertical="center"/>
      <protection locked="0"/>
    </xf>
    <xf numFmtId="185" fontId="57" fillId="0" borderId="10" xfId="0" applyNumberFormat="1" applyFont="1" applyBorder="1" applyAlignment="1" applyProtection="1">
      <alignment horizontal="right" vertical="center"/>
      <protection locked="0"/>
    </xf>
    <xf numFmtId="170" fontId="9" fillId="0" borderId="0" xfId="0" applyNumberFormat="1" applyFont="1" applyProtection="1">
      <protection locked="0"/>
    </xf>
    <xf numFmtId="172" fontId="25" fillId="0" borderId="0" xfId="0" applyNumberFormat="1" applyFont="1" applyAlignment="1" applyProtection="1">
      <alignment horizontal="right" vertical="center" wrapText="1"/>
      <protection locked="0"/>
    </xf>
    <xf numFmtId="172" fontId="25" fillId="3" borderId="9" xfId="0" applyNumberFormat="1" applyFont="1" applyFill="1" applyBorder="1" applyAlignment="1" applyProtection="1">
      <alignment horizontal="right" vertical="center" wrapText="1"/>
      <protection locked="0"/>
    </xf>
    <xf numFmtId="168" fontId="25" fillId="3" borderId="9" xfId="2" applyNumberFormat="1" applyFont="1" applyFill="1" applyBorder="1" applyAlignment="1" applyProtection="1">
      <alignment horizontal="right" vertical="center" wrapText="1"/>
      <protection locked="0"/>
    </xf>
    <xf numFmtId="172" fontId="25" fillId="3" borderId="9" xfId="1" applyNumberFormat="1" applyFont="1" applyFill="1" applyBorder="1" applyAlignment="1" applyProtection="1">
      <alignment vertical="center"/>
      <protection locked="0"/>
    </xf>
    <xf numFmtId="172" fontId="21" fillId="3" borderId="9" xfId="1" applyNumberFormat="1" applyFont="1" applyFill="1" applyBorder="1" applyAlignment="1" applyProtection="1">
      <alignment horizontal="right"/>
      <protection locked="0"/>
    </xf>
    <xf numFmtId="174" fontId="21" fillId="3" borderId="9" xfId="2" applyNumberFormat="1" applyFont="1" applyFill="1" applyBorder="1" applyAlignment="1" applyProtection="1">
      <alignment horizontal="right"/>
      <protection locked="0"/>
    </xf>
    <xf numFmtId="168" fontId="9" fillId="4" borderId="0" xfId="2" applyNumberFormat="1" applyFont="1" applyFill="1" applyAlignment="1" applyProtection="1">
      <alignment horizontal="right"/>
      <protection locked="0"/>
    </xf>
    <xf numFmtId="168" fontId="9" fillId="0" borderId="9" xfId="2" applyNumberFormat="1" applyFont="1" applyFill="1" applyBorder="1" applyAlignment="1" applyProtection="1">
      <alignment horizontal="right" vertical="center" wrapText="1"/>
      <protection locked="0"/>
    </xf>
    <xf numFmtId="180" fontId="25" fillId="3" borderId="0" xfId="2" applyNumberFormat="1" applyFont="1" applyFill="1" applyBorder="1" applyAlignment="1" applyProtection="1">
      <alignment vertical="center"/>
      <protection locked="0"/>
    </xf>
    <xf numFmtId="172" fontId="9" fillId="3" borderId="0" xfId="1" applyNumberFormat="1" applyFont="1" applyFill="1" applyBorder="1" applyAlignment="1" applyProtection="1">
      <alignment horizontal="right" vertical="center"/>
      <protection locked="0"/>
    </xf>
    <xf numFmtId="165" fontId="21" fillId="3" borderId="0" xfId="1" applyNumberFormat="1" applyFont="1" applyFill="1" applyBorder="1" applyAlignment="1" applyProtection="1">
      <alignment horizontal="left" vertical="center" wrapText="1"/>
      <protection locked="0" hidden="1"/>
    </xf>
    <xf numFmtId="183" fontId="25" fillId="3" borderId="9" xfId="2" applyNumberFormat="1" applyFont="1" applyFill="1" applyBorder="1" applyAlignment="1" applyProtection="1">
      <alignment horizontal="right" vertical="center"/>
      <protection locked="0"/>
    </xf>
    <xf numFmtId="183" fontId="25" fillId="3" borderId="0" xfId="2" applyNumberFormat="1" applyFont="1" applyFill="1" applyBorder="1" applyAlignment="1" applyProtection="1">
      <alignment horizontal="right" vertical="center"/>
      <protection locked="0"/>
    </xf>
    <xf numFmtId="175" fontId="9" fillId="3" borderId="0" xfId="1" applyNumberFormat="1" applyFont="1" applyFill="1" applyBorder="1" applyAlignment="1" applyProtection="1">
      <alignment horizontal="right" vertical="center"/>
      <protection locked="0"/>
    </xf>
    <xf numFmtId="0" fontId="9" fillId="3" borderId="0" xfId="0" applyFont="1" applyFill="1" applyAlignment="1" applyProtection="1">
      <alignment horizontal="left" vertical="center" indent="1"/>
      <protection locked="0" hidden="1"/>
    </xf>
    <xf numFmtId="180" fontId="9" fillId="0" borderId="0" xfId="2" applyNumberFormat="1" applyFont="1" applyFill="1" applyBorder="1" applyAlignment="1" applyProtection="1">
      <alignment horizontal="right" vertical="center"/>
      <protection locked="0"/>
    </xf>
    <xf numFmtId="168" fontId="26" fillId="3" borderId="10" xfId="2" applyNumberFormat="1" applyFont="1" applyFill="1" applyBorder="1" applyAlignment="1" applyProtection="1">
      <alignment horizontal="right" vertical="center" wrapText="1"/>
      <protection locked="0"/>
    </xf>
    <xf numFmtId="172" fontId="9" fillId="0" borderId="0" xfId="1" applyNumberFormat="1" applyFont="1" applyProtection="1">
      <protection locked="0"/>
    </xf>
    <xf numFmtId="168" fontId="21" fillId="0" borderId="0" xfId="2" applyNumberFormat="1" applyFont="1" applyFill="1" applyBorder="1" applyProtection="1">
      <protection locked="0"/>
    </xf>
    <xf numFmtId="9" fontId="21" fillId="0" borderId="0" xfId="2" applyFont="1" applyFill="1" applyBorder="1" applyProtection="1">
      <protection locked="0"/>
    </xf>
    <xf numFmtId="172" fontId="25" fillId="0" borderId="0" xfId="2" applyNumberFormat="1" applyFont="1" applyFill="1" applyBorder="1" applyAlignment="1" applyProtection="1">
      <alignment horizontal="right" vertical="center"/>
      <protection locked="0"/>
    </xf>
    <xf numFmtId="185" fontId="57" fillId="0" borderId="0" xfId="0" applyNumberFormat="1" applyFont="1" applyAlignment="1" applyProtection="1">
      <alignment horizontal="right" vertical="center"/>
      <protection locked="0"/>
    </xf>
    <xf numFmtId="165" fontId="25" fillId="0" borderId="0" xfId="1" applyNumberFormat="1" applyFont="1" applyFill="1" applyBorder="1" applyAlignment="1" applyProtection="1">
      <alignment horizontal="left" vertical="center" wrapText="1"/>
      <protection locked="0"/>
    </xf>
    <xf numFmtId="175" fontId="25" fillId="0" borderId="0" xfId="1" applyNumberFormat="1" applyFont="1" applyFill="1" applyBorder="1" applyAlignment="1" applyProtection="1">
      <alignment horizontal="right" vertical="center"/>
      <protection locked="0"/>
    </xf>
    <xf numFmtId="0" fontId="30" fillId="0" borderId="0" xfId="0" applyFont="1" applyAlignment="1" applyProtection="1">
      <alignment horizontal="left" vertical="center" wrapText="1" indent="3"/>
      <protection locked="0" hidden="1"/>
    </xf>
    <xf numFmtId="165" fontId="9" fillId="0" borderId="0" xfId="0" applyNumberFormat="1" applyFont="1" applyProtection="1">
      <protection locked="0"/>
    </xf>
    <xf numFmtId="165" fontId="26" fillId="3" borderId="9" xfId="1" applyNumberFormat="1" applyFont="1" applyFill="1" applyBorder="1" applyAlignment="1" applyProtection="1">
      <alignment horizontal="left" vertical="center" wrapText="1"/>
      <protection locked="0"/>
    </xf>
    <xf numFmtId="185" fontId="51" fillId="3" borderId="0" xfId="0" applyNumberFormat="1" applyFont="1" applyFill="1" applyAlignment="1" applyProtection="1">
      <alignment horizontal="right" vertical="center"/>
      <protection locked="0"/>
    </xf>
    <xf numFmtId="165" fontId="9" fillId="3" borderId="0" xfId="0" applyNumberFormat="1" applyFont="1" applyFill="1" applyProtection="1">
      <protection locked="0"/>
    </xf>
    <xf numFmtId="0" fontId="27" fillId="3" borderId="0" xfId="0" applyFont="1" applyFill="1" applyAlignment="1" applyProtection="1">
      <alignment horizontal="left" indent="5"/>
      <protection locked="0" hidden="1"/>
    </xf>
    <xf numFmtId="185" fontId="57" fillId="3" borderId="10" xfId="0" applyNumberFormat="1" applyFont="1" applyFill="1" applyBorder="1" applyAlignment="1" applyProtection="1">
      <alignment horizontal="right" vertical="center"/>
      <protection locked="0"/>
    </xf>
    <xf numFmtId="165" fontId="9" fillId="0" borderId="0" xfId="1" applyNumberFormat="1" applyFont="1" applyFill="1" applyAlignment="1" applyProtection="1">
      <alignment horizontal="right"/>
      <protection locked="0"/>
    </xf>
    <xf numFmtId="172" fontId="9" fillId="0" borderId="0" xfId="1" applyNumberFormat="1" applyFont="1" applyAlignment="1" applyProtection="1">
      <alignment horizontal="right"/>
      <protection locked="0"/>
    </xf>
    <xf numFmtId="172" fontId="21" fillId="0" borderId="9" xfId="1" applyNumberFormat="1" applyFont="1" applyFill="1" applyBorder="1" applyAlignment="1" applyProtection="1">
      <alignment horizontal="right"/>
      <protection locked="0"/>
    </xf>
    <xf numFmtId="0" fontId="27" fillId="3" borderId="0" xfId="0" applyFont="1" applyFill="1" applyAlignment="1" applyProtection="1">
      <alignment horizontal="left" indent="6"/>
      <protection locked="0" hidden="1"/>
    </xf>
    <xf numFmtId="0" fontId="9" fillId="3" borderId="9" xfId="0" applyFont="1" applyFill="1" applyBorder="1" applyAlignment="1" applyProtection="1">
      <alignment horizontal="left" indent="1"/>
      <protection locked="0" hidden="1"/>
    </xf>
    <xf numFmtId="172" fontId="9" fillId="3" borderId="9" xfId="0" applyNumberFormat="1" applyFont="1" applyFill="1" applyBorder="1" applyProtection="1">
      <protection locked="0"/>
    </xf>
    <xf numFmtId="1" fontId="47" fillId="0" borderId="0" xfId="1" applyNumberFormat="1" applyFont="1" applyFill="1" applyAlignment="1" applyProtection="1">
      <alignment horizontal="center" vertical="center"/>
      <protection locked="0" hidden="1"/>
    </xf>
    <xf numFmtId="0" fontId="27" fillId="0" borderId="0" xfId="0" applyFont="1" applyAlignment="1" applyProtection="1">
      <alignment horizontal="left" vertical="center" wrapText="1" indent="3"/>
      <protection locked="0"/>
    </xf>
    <xf numFmtId="166" fontId="9" fillId="0" borderId="0" xfId="0" applyNumberFormat="1" applyFont="1" applyAlignment="1" applyProtection="1">
      <alignment horizontal="left"/>
      <protection locked="0"/>
    </xf>
    <xf numFmtId="185" fontId="9" fillId="0" borderId="0" xfId="2" applyNumberFormat="1" applyFont="1" applyFill="1" applyBorder="1" applyAlignment="1" applyProtection="1">
      <alignment horizontal="right" vertical="center"/>
      <protection locked="0"/>
    </xf>
    <xf numFmtId="170" fontId="9" fillId="3" borderId="0" xfId="1" applyNumberFormat="1" applyFont="1" applyFill="1" applyBorder="1" applyAlignment="1" applyProtection="1">
      <alignment horizontal="left" vertical="center" wrapText="1" indent="1"/>
      <protection locked="0" hidden="1"/>
    </xf>
    <xf numFmtId="170" fontId="9" fillId="3" borderId="0" xfId="1" applyNumberFormat="1" applyFont="1" applyFill="1" applyBorder="1" applyAlignment="1" applyProtection="1">
      <alignment horizontal="right" vertical="center" wrapText="1"/>
      <protection locked="0"/>
    </xf>
    <xf numFmtId="168" fontId="26" fillId="3" borderId="0" xfId="1" applyNumberFormat="1" applyFont="1" applyFill="1" applyBorder="1" applyAlignment="1" applyProtection="1">
      <alignment horizontal="right" vertical="center" wrapText="1"/>
      <protection locked="0"/>
    </xf>
    <xf numFmtId="0" fontId="10" fillId="9" borderId="0" xfId="11" applyFont="1" applyFill="1" applyBorder="1" applyAlignment="1" applyProtection="1">
      <alignment horizontal="left" vertical="center" wrapText="1"/>
      <protection locked="0" hidden="1"/>
    </xf>
    <xf numFmtId="0" fontId="10" fillId="9" borderId="0" xfId="11" applyFont="1" applyFill="1" applyBorder="1" applyAlignment="1" applyProtection="1">
      <alignment horizontal="left" wrapText="1"/>
      <protection locked="0" hidden="1"/>
    </xf>
    <xf numFmtId="0" fontId="10" fillId="9" borderId="0" xfId="11" applyFont="1" applyFill="1" applyBorder="1" applyAlignment="1" applyProtection="1">
      <alignment horizontal="center" vertical="center" wrapText="1"/>
      <protection locked="0" hidden="1"/>
    </xf>
    <xf numFmtId="0" fontId="12" fillId="9" borderId="0" xfId="11" applyFont="1" applyFill="1" applyBorder="1" applyAlignment="1" applyProtection="1">
      <alignment horizontal="left" vertical="center" wrapText="1"/>
      <protection locked="0" hidden="1"/>
    </xf>
    <xf numFmtId="0" fontId="10" fillId="9" borderId="0" xfId="0" applyFont="1" applyFill="1" applyProtection="1">
      <protection locked="0" hidden="1"/>
    </xf>
    <xf numFmtId="0" fontId="10" fillId="9" borderId="0" xfId="0" applyFont="1" applyFill="1" applyAlignment="1" applyProtection="1">
      <alignment horizontal="center"/>
      <protection locked="0" hidden="1"/>
    </xf>
    <xf numFmtId="0" fontId="15" fillId="9" borderId="0" xfId="0" applyFont="1" applyFill="1" applyAlignment="1" applyProtection="1">
      <alignment horizontal="left" vertical="center" indent="1"/>
      <protection locked="0" hidden="1"/>
    </xf>
    <xf numFmtId="0" fontId="9" fillId="9" borderId="0" xfId="0" applyFont="1" applyFill="1" applyProtection="1">
      <protection locked="0" hidden="1"/>
    </xf>
    <xf numFmtId="0" fontId="9" fillId="9" borderId="0" xfId="0" applyFont="1" applyFill="1" applyAlignment="1" applyProtection="1">
      <alignment horizontal="center"/>
      <protection locked="0" hidden="1"/>
    </xf>
    <xf numFmtId="0" fontId="18" fillId="9" borderId="0" xfId="0" applyFont="1" applyFill="1" applyAlignment="1" applyProtection="1">
      <alignment horizontal="left"/>
      <protection locked="0" hidden="1"/>
    </xf>
    <xf numFmtId="0" fontId="18" fillId="9" borderId="0" xfId="0" applyFont="1" applyFill="1" applyAlignment="1" applyProtection="1">
      <alignment horizontal="center"/>
      <protection locked="0" hidden="1"/>
    </xf>
    <xf numFmtId="0" fontId="20" fillId="9" borderId="0" xfId="0" applyFont="1" applyFill="1" applyAlignment="1" applyProtection="1">
      <alignment vertical="center"/>
      <protection locked="0" hidden="1"/>
    </xf>
    <xf numFmtId="0" fontId="20" fillId="9" borderId="0" xfId="0" applyFont="1" applyFill="1" applyAlignment="1" applyProtection="1">
      <alignment horizontal="center" vertical="center"/>
      <protection locked="0" hidden="1"/>
    </xf>
    <xf numFmtId="49" fontId="11" fillId="9" borderId="0" xfId="0" applyNumberFormat="1" applyFont="1" applyFill="1" applyAlignment="1" applyProtection="1">
      <alignment horizontal="right"/>
      <protection locked="0" hidden="1"/>
    </xf>
    <xf numFmtId="0" fontId="14" fillId="9" borderId="0" xfId="0" applyFont="1" applyFill="1" applyAlignment="1" applyProtection="1">
      <alignment wrapText="1"/>
      <protection locked="0" hidden="1"/>
    </xf>
    <xf numFmtId="0" fontId="13" fillId="9" borderId="0" xfId="0" applyFont="1" applyFill="1" applyAlignment="1" applyProtection="1">
      <alignment horizontal="left" vertical="center" wrapText="1"/>
      <protection locked="0" hidden="1"/>
    </xf>
    <xf numFmtId="0" fontId="14" fillId="9" borderId="0" xfId="0" applyFont="1" applyFill="1" applyAlignment="1" applyProtection="1">
      <alignment horizontal="center" wrapText="1"/>
      <protection locked="0" hidden="1"/>
    </xf>
    <xf numFmtId="0" fontId="14" fillId="9" borderId="0" xfId="0" applyFont="1" applyFill="1" applyAlignment="1" applyProtection="1">
      <alignment horizontal="center" vertical="center" wrapText="1"/>
      <protection locked="0" hidden="1"/>
    </xf>
    <xf numFmtId="0" fontId="12" fillId="9" borderId="0" xfId="0" applyFont="1" applyFill="1" applyProtection="1">
      <protection locked="0" hidden="1"/>
    </xf>
    <xf numFmtId="0" fontId="53" fillId="8" borderId="20" xfId="0" applyFont="1" applyFill="1" applyBorder="1" applyAlignment="1" applyProtection="1">
      <alignment horizontal="center" vertical="center"/>
      <protection locked="0" hidden="1"/>
    </xf>
    <xf numFmtId="0" fontId="58" fillId="9" borderId="0" xfId="0" applyFont="1" applyFill="1" applyAlignment="1" applyProtection="1">
      <alignment horizontal="center" vertical="center"/>
      <protection locked="0" hidden="1"/>
    </xf>
    <xf numFmtId="0" fontId="17" fillId="3" borderId="0" xfId="0" applyFont="1" applyFill="1" applyProtection="1">
      <protection locked="0" hidden="1"/>
    </xf>
    <xf numFmtId="0" fontId="17" fillId="3" borderId="0" xfId="0" applyFont="1" applyFill="1" applyAlignment="1" applyProtection="1">
      <alignment horizontal="center" vertical="center"/>
      <protection locked="0" hidden="1"/>
    </xf>
    <xf numFmtId="49" fontId="11" fillId="9" borderId="0" xfId="0" applyNumberFormat="1" applyFont="1" applyFill="1" applyAlignment="1" applyProtection="1">
      <alignment horizontal="center" vertical="center"/>
      <protection locked="0" hidden="1"/>
    </xf>
    <xf numFmtId="49" fontId="11" fillId="9" borderId="0" xfId="0" applyNumberFormat="1" applyFont="1" applyFill="1" applyAlignment="1" applyProtection="1">
      <alignment horizontal="left" vertical="center"/>
      <protection locked="0" hidden="1"/>
    </xf>
    <xf numFmtId="0" fontId="10" fillId="9" borderId="0" xfId="0" applyFont="1" applyFill="1" applyAlignment="1" applyProtection="1">
      <alignment vertical="center"/>
      <protection locked="0" hidden="1"/>
    </xf>
    <xf numFmtId="0" fontId="10" fillId="9" borderId="0" xfId="0" applyFont="1" applyFill="1" applyAlignment="1" applyProtection="1">
      <alignment horizontal="center" vertical="center"/>
      <protection locked="0" hidden="1"/>
    </xf>
    <xf numFmtId="49" fontId="11" fillId="9" borderId="0" xfId="0" applyNumberFormat="1" applyFont="1" applyFill="1" applyAlignment="1" applyProtection="1">
      <alignment horizontal="right" vertical="center"/>
      <protection locked="0" hidden="1"/>
    </xf>
    <xf numFmtId="0" fontId="59" fillId="9" borderId="0" xfId="11" applyFont="1" applyFill="1" applyBorder="1" applyAlignment="1" applyProtection="1">
      <alignment vertical="center"/>
      <protection locked="0" hidden="1"/>
    </xf>
    <xf numFmtId="0" fontId="0" fillId="10" borderId="0" xfId="0" applyFill="1" applyAlignment="1">
      <alignment vertical="center"/>
    </xf>
    <xf numFmtId="0" fontId="9" fillId="9" borderId="0" xfId="0" applyFont="1" applyFill="1" applyAlignment="1" applyProtection="1">
      <alignment vertical="center"/>
      <protection locked="0" hidden="1"/>
    </xf>
    <xf numFmtId="0" fontId="9" fillId="9" borderId="0" xfId="0" applyFont="1" applyFill="1" applyAlignment="1" applyProtection="1">
      <alignment horizontal="right" vertical="center"/>
      <protection locked="0" hidden="1"/>
    </xf>
    <xf numFmtId="165" fontId="21" fillId="0" borderId="0" xfId="1" applyNumberFormat="1" applyFont="1" applyFill="1" applyBorder="1" applyAlignment="1" applyProtection="1">
      <alignment horizontal="left" vertical="center" wrapText="1"/>
      <protection locked="0" hidden="1"/>
    </xf>
    <xf numFmtId="165" fontId="30" fillId="0" borderId="0" xfId="1" applyNumberFormat="1" applyFont="1" applyFill="1" applyBorder="1" applyAlignment="1" applyProtection="1">
      <alignment horizontal="left" vertical="center" wrapText="1" indent="4"/>
      <protection locked="0" hidden="1"/>
    </xf>
    <xf numFmtId="188" fontId="9" fillId="0" borderId="0" xfId="1" applyNumberFormat="1" applyFont="1" applyFill="1" applyProtection="1">
      <protection locked="0"/>
    </xf>
    <xf numFmtId="168" fontId="26" fillId="3" borderId="9" xfId="2" applyNumberFormat="1" applyFont="1" applyFill="1" applyBorder="1" applyAlignment="1" applyProtection="1">
      <alignment horizontal="right"/>
      <protection locked="0"/>
    </xf>
    <xf numFmtId="0" fontId="30" fillId="3" borderId="0" xfId="0" applyFont="1" applyFill="1" applyAlignment="1" applyProtection="1">
      <alignment horizontal="left" vertical="center" wrapText="1" indent="3"/>
      <protection locked="0" hidden="1"/>
    </xf>
    <xf numFmtId="168" fontId="9" fillId="0" borderId="0" xfId="2" applyNumberFormat="1" applyFont="1" applyBorder="1" applyAlignment="1" applyProtection="1">
      <alignment horizontal="right"/>
      <protection locked="0"/>
    </xf>
    <xf numFmtId="175" fontId="9" fillId="0" borderId="0" xfId="1" applyNumberFormat="1" applyFont="1" applyFill="1" applyBorder="1" applyAlignment="1" applyProtection="1">
      <alignment horizontal="right"/>
      <protection locked="0"/>
    </xf>
    <xf numFmtId="185" fontId="9" fillId="3" borderId="10" xfId="2" applyNumberFormat="1" applyFont="1" applyFill="1" applyBorder="1" applyAlignment="1" applyProtection="1">
      <alignment horizontal="right" vertical="center" wrapText="1"/>
      <protection locked="0"/>
    </xf>
    <xf numFmtId="175" fontId="9" fillId="3" borderId="0" xfId="1" applyNumberFormat="1" applyFont="1" applyFill="1" applyBorder="1" applyAlignment="1" applyProtection="1">
      <alignment horizontal="right"/>
      <protection locked="0"/>
    </xf>
    <xf numFmtId="165" fontId="26" fillId="3" borderId="10" xfId="1" applyNumberFormat="1" applyFont="1" applyFill="1" applyBorder="1" applyAlignment="1" applyProtection="1">
      <alignment horizontal="left" vertical="center" wrapText="1"/>
      <protection locked="0" hidden="1"/>
    </xf>
    <xf numFmtId="168" fontId="26" fillId="3" borderId="10" xfId="2" applyNumberFormat="1" applyFont="1" applyFill="1" applyBorder="1" applyAlignment="1" applyProtection="1">
      <alignment horizontal="right"/>
      <protection locked="0"/>
    </xf>
    <xf numFmtId="0" fontId="44" fillId="0" borderId="0" xfId="0" applyFont="1" applyProtection="1">
      <protection locked="0"/>
    </xf>
    <xf numFmtId="43" fontId="33" fillId="0" borderId="0" xfId="1" applyFont="1" applyFill="1" applyBorder="1" applyAlignment="1" applyProtection="1">
      <alignment horizontal="left" vertical="center" indent="1"/>
      <protection locked="0"/>
    </xf>
    <xf numFmtId="172" fontId="32" fillId="0" borderId="6" xfId="1" applyNumberFormat="1" applyFont="1" applyFill="1" applyBorder="1" applyAlignment="1" applyProtection="1">
      <alignment horizontal="right" vertical="center"/>
      <protection locked="0" hidden="1"/>
    </xf>
    <xf numFmtId="172" fontId="16" fillId="5" borderId="6" xfId="1" applyNumberFormat="1" applyFont="1" applyFill="1" applyBorder="1" applyAlignment="1" applyProtection="1">
      <alignment horizontal="right" vertical="center"/>
      <protection locked="0" hidden="1"/>
    </xf>
    <xf numFmtId="172" fontId="31" fillId="5" borderId="0" xfId="0" applyNumberFormat="1" applyFont="1" applyFill="1" applyAlignment="1" applyProtection="1">
      <alignment vertical="center"/>
      <protection locked="0" hidden="1"/>
    </xf>
    <xf numFmtId="172" fontId="32" fillId="3" borderId="6" xfId="1" applyNumberFormat="1" applyFont="1" applyFill="1" applyBorder="1" applyAlignment="1" applyProtection="1">
      <alignment horizontal="right" vertical="center"/>
      <protection locked="0" hidden="1"/>
    </xf>
    <xf numFmtId="172" fontId="32" fillId="0" borderId="0" xfId="1" applyNumberFormat="1" applyFont="1" applyFill="1" applyBorder="1" applyAlignment="1" applyProtection="1">
      <alignment horizontal="right" vertical="center"/>
      <protection locked="0" hidden="1"/>
    </xf>
    <xf numFmtId="172" fontId="16" fillId="5" borderId="0" xfId="1" applyNumberFormat="1" applyFont="1" applyFill="1" applyBorder="1" applyAlignment="1" applyProtection="1">
      <alignment horizontal="right" vertical="center"/>
      <protection locked="0" hidden="1"/>
    </xf>
    <xf numFmtId="172" fontId="33" fillId="3" borderId="0" xfId="1" applyNumberFormat="1" applyFont="1" applyFill="1" applyAlignment="1" applyProtection="1">
      <alignment vertical="center"/>
      <protection locked="0" hidden="1"/>
    </xf>
    <xf numFmtId="0" fontId="17" fillId="9" borderId="21" xfId="0" applyFont="1" applyFill="1" applyBorder="1" applyAlignment="1" applyProtection="1">
      <alignment vertical="center"/>
      <protection locked="0" hidden="1"/>
    </xf>
    <xf numFmtId="0" fontId="10" fillId="9" borderId="10" xfId="0" applyFont="1" applyFill="1" applyBorder="1" applyProtection="1">
      <protection locked="0" hidden="1"/>
    </xf>
    <xf numFmtId="0" fontId="10" fillId="9" borderId="10" xfId="0" applyFont="1" applyFill="1" applyBorder="1" applyAlignment="1" applyProtection="1">
      <alignment horizontal="center"/>
      <protection locked="0" hidden="1"/>
    </xf>
    <xf numFmtId="0" fontId="10" fillId="9" borderId="22" xfId="0" applyFont="1" applyFill="1" applyBorder="1" applyProtection="1">
      <protection locked="0" hidden="1"/>
    </xf>
    <xf numFmtId="0" fontId="17" fillId="9" borderId="23" xfId="0" applyFont="1" applyFill="1" applyBorder="1" applyAlignment="1" applyProtection="1">
      <alignment vertical="center"/>
      <protection locked="0" hidden="1"/>
    </xf>
    <xf numFmtId="0" fontId="10" fillId="9" borderId="24" xfId="0" applyFont="1" applyFill="1" applyBorder="1" applyProtection="1">
      <protection locked="0" hidden="1"/>
    </xf>
    <xf numFmtId="0" fontId="17" fillId="9" borderId="24" xfId="0" applyFont="1" applyFill="1" applyBorder="1" applyAlignment="1" applyProtection="1">
      <alignment vertical="center"/>
      <protection locked="0" hidden="1"/>
    </xf>
    <xf numFmtId="0" fontId="10" fillId="9" borderId="24" xfId="11" applyFont="1" applyFill="1" applyBorder="1" applyAlignment="1" applyProtection="1">
      <alignment horizontal="left" vertical="center" wrapText="1"/>
      <protection locked="0" hidden="1"/>
    </xf>
    <xf numFmtId="0" fontId="10" fillId="9" borderId="0" xfId="0" applyFont="1" applyFill="1" applyAlignment="1">
      <alignment vertical="center"/>
    </xf>
    <xf numFmtId="0" fontId="9" fillId="9" borderId="24" xfId="0" applyFont="1" applyFill="1" applyBorder="1" applyProtection="1">
      <protection locked="0" hidden="1"/>
    </xf>
    <xf numFmtId="0" fontId="9" fillId="9" borderId="23" xfId="0" applyFont="1" applyFill="1" applyBorder="1" applyProtection="1">
      <protection locked="0" hidden="1"/>
    </xf>
    <xf numFmtId="0" fontId="9" fillId="9" borderId="25" xfId="0" applyFont="1" applyFill="1" applyBorder="1" applyProtection="1">
      <protection locked="0" hidden="1"/>
    </xf>
    <xf numFmtId="0" fontId="9" fillId="9" borderId="19" xfId="0" applyFont="1" applyFill="1" applyBorder="1" applyProtection="1">
      <protection locked="0" hidden="1"/>
    </xf>
    <xf numFmtId="49" fontId="11" fillId="9" borderId="19" xfId="0" applyNumberFormat="1" applyFont="1" applyFill="1" applyBorder="1" applyAlignment="1" applyProtection="1">
      <alignment horizontal="right" vertical="center"/>
      <protection locked="0" hidden="1"/>
    </xf>
    <xf numFmtId="0" fontId="10" fillId="9" borderId="19" xfId="0" applyFont="1" applyFill="1" applyBorder="1" applyAlignment="1">
      <alignment vertical="center"/>
    </xf>
    <xf numFmtId="0" fontId="9" fillId="9" borderId="19" xfId="0" applyFont="1" applyFill="1" applyBorder="1" applyAlignment="1" applyProtection="1">
      <alignment horizontal="center"/>
      <protection locked="0" hidden="1"/>
    </xf>
    <xf numFmtId="0" fontId="9" fillId="9" borderId="26" xfId="0" applyFont="1" applyFill="1" applyBorder="1" applyProtection="1">
      <protection locked="0" hidden="1"/>
    </xf>
    <xf numFmtId="168" fontId="9" fillId="3" borderId="9" xfId="0" applyNumberFormat="1" applyFont="1" applyFill="1" applyBorder="1" applyProtection="1">
      <protection locked="0"/>
    </xf>
    <xf numFmtId="185" fontId="26" fillId="3" borderId="9" xfId="2" applyNumberFormat="1" applyFont="1" applyFill="1" applyBorder="1" applyAlignment="1" applyProtection="1">
      <alignment horizontal="right" vertical="center"/>
      <protection locked="0"/>
    </xf>
    <xf numFmtId="168" fontId="25" fillId="3" borderId="0" xfId="1" applyNumberFormat="1" applyFont="1" applyFill="1" applyBorder="1" applyAlignment="1" applyProtection="1">
      <alignment vertical="center" wrapText="1"/>
      <protection locked="0"/>
    </xf>
    <xf numFmtId="167" fontId="25" fillId="3" borderId="0" xfId="1" applyNumberFormat="1" applyFont="1" applyFill="1" applyBorder="1" applyAlignment="1" applyProtection="1">
      <alignment horizontal="right" vertical="center" wrapText="1"/>
      <protection locked="0"/>
    </xf>
    <xf numFmtId="176" fontId="25" fillId="3" borderId="0" xfId="1" applyNumberFormat="1" applyFont="1" applyFill="1" applyBorder="1" applyAlignment="1" applyProtection="1">
      <alignment vertical="center" wrapText="1"/>
      <protection locked="0"/>
    </xf>
    <xf numFmtId="181" fontId="9" fillId="3" borderId="0" xfId="2" applyNumberFormat="1" applyFont="1" applyFill="1" applyBorder="1" applyAlignment="1" applyProtection="1">
      <alignment horizontal="right" vertical="center"/>
      <protection locked="0"/>
    </xf>
    <xf numFmtId="0" fontId="30" fillId="0" borderId="0" xfId="0" applyFont="1" applyAlignment="1" applyProtection="1">
      <alignment horizontal="left" indent="6"/>
      <protection locked="0" hidden="1"/>
    </xf>
    <xf numFmtId="0" fontId="30" fillId="3" borderId="0" xfId="0" applyFont="1" applyFill="1" applyAlignment="1" applyProtection="1">
      <alignment horizontal="left" indent="6"/>
      <protection locked="0" hidden="1"/>
    </xf>
    <xf numFmtId="189" fontId="9" fillId="0" borderId="0" xfId="1" applyNumberFormat="1" applyFont="1" applyFill="1" applyBorder="1" applyAlignment="1" applyProtection="1">
      <alignment horizontal="right" vertical="center"/>
      <protection locked="0"/>
    </xf>
    <xf numFmtId="0" fontId="27" fillId="0" borderId="0" xfId="0" applyFont="1" applyAlignment="1" applyProtection="1">
      <alignment horizontal="left" indent="6"/>
      <protection locked="0" hidden="1"/>
    </xf>
    <xf numFmtId="185" fontId="21" fillId="0" borderId="0" xfId="2" applyNumberFormat="1" applyFont="1" applyFill="1" applyBorder="1" applyAlignment="1" applyProtection="1">
      <alignment horizontal="right"/>
      <protection locked="0"/>
    </xf>
    <xf numFmtId="190" fontId="25" fillId="0" borderId="9" xfId="1" applyNumberFormat="1" applyFont="1" applyFill="1" applyBorder="1" applyAlignment="1" applyProtection="1">
      <alignment horizontal="right"/>
      <protection locked="0"/>
    </xf>
    <xf numFmtId="190" fontId="25" fillId="0" borderId="0" xfId="1" applyNumberFormat="1" applyFont="1" applyFill="1" applyBorder="1" applyAlignment="1" applyProtection="1">
      <alignment horizontal="right"/>
      <protection locked="0"/>
    </xf>
    <xf numFmtId="190" fontId="9" fillId="0" borderId="0" xfId="1" applyNumberFormat="1" applyFont="1" applyFill="1" applyBorder="1" applyAlignment="1" applyProtection="1">
      <alignment horizontal="right"/>
      <protection locked="0"/>
    </xf>
    <xf numFmtId="168" fontId="21" fillId="3" borderId="0" xfId="2" applyNumberFormat="1" applyFont="1" applyFill="1" applyBorder="1" applyAlignment="1" applyProtection="1">
      <alignment horizontal="right"/>
      <protection locked="0"/>
    </xf>
    <xf numFmtId="185" fontId="21" fillId="3" borderId="0" xfId="2" applyNumberFormat="1" applyFont="1" applyFill="1" applyBorder="1" applyAlignment="1" applyProtection="1">
      <alignment horizontal="right"/>
      <protection locked="0"/>
    </xf>
    <xf numFmtId="190" fontId="25" fillId="3" borderId="0" xfId="1" applyNumberFormat="1" applyFont="1" applyFill="1" applyBorder="1" applyAlignment="1" applyProtection="1">
      <alignment horizontal="right"/>
      <protection locked="0"/>
    </xf>
    <xf numFmtId="190" fontId="9" fillId="3" borderId="0" xfId="1" applyNumberFormat="1" applyFont="1" applyFill="1" applyAlignment="1" applyProtection="1">
      <alignment horizontal="right"/>
      <protection locked="0"/>
    </xf>
    <xf numFmtId="185" fontId="9" fillId="3" borderId="9" xfId="2" applyNumberFormat="1" applyFont="1" applyFill="1" applyBorder="1" applyAlignment="1" applyProtection="1">
      <alignment horizontal="right"/>
      <protection locked="0"/>
    </xf>
    <xf numFmtId="0" fontId="25" fillId="3" borderId="9" xfId="0" applyFont="1" applyFill="1" applyBorder="1" applyAlignment="1" applyProtection="1">
      <alignment horizontal="left" indent="2"/>
      <protection locked="0" hidden="1"/>
    </xf>
    <xf numFmtId="172" fontId="25" fillId="3" borderId="4" xfId="1" applyNumberFormat="1" applyFont="1" applyFill="1" applyBorder="1" applyAlignment="1" applyProtection="1">
      <alignment horizontal="right"/>
      <protection locked="0"/>
    </xf>
    <xf numFmtId="165" fontId="21" fillId="0" borderId="0" xfId="1" applyNumberFormat="1" applyFont="1" applyAlignment="1" applyProtection="1">
      <alignment horizontal="right" vertical="center"/>
      <protection locked="0"/>
    </xf>
    <xf numFmtId="165" fontId="26" fillId="0" borderId="0" xfId="1" applyNumberFormat="1" applyFont="1" applyAlignment="1" applyProtection="1">
      <alignment vertical="center" wrapText="1"/>
      <protection locked="0"/>
    </xf>
    <xf numFmtId="170" fontId="9" fillId="0" borderId="0" xfId="1" applyNumberFormat="1" applyFont="1" applyAlignment="1" applyProtection="1">
      <alignment horizontal="right" vertical="center" wrapText="1"/>
      <protection locked="0"/>
    </xf>
    <xf numFmtId="170" fontId="9" fillId="0" borderId="0" xfId="1" applyNumberFormat="1" applyFont="1" applyAlignment="1" applyProtection="1">
      <alignment horizontal="right" wrapText="1"/>
      <protection locked="0"/>
    </xf>
    <xf numFmtId="172" fontId="9" fillId="0" borderId="0" xfId="1" applyNumberFormat="1" applyFont="1" applyAlignment="1" applyProtection="1">
      <alignment horizontal="right" wrapText="1"/>
      <protection locked="0"/>
    </xf>
    <xf numFmtId="165" fontId="9" fillId="4" borderId="0" xfId="1" applyNumberFormat="1" applyFont="1" applyFill="1" applyAlignment="1" applyProtection="1">
      <alignment horizontal="right" vertical="center" wrapText="1"/>
      <protection locked="0"/>
    </xf>
    <xf numFmtId="174" fontId="9" fillId="0" borderId="0" xfId="2" applyNumberFormat="1" applyFont="1" applyAlignment="1" applyProtection="1">
      <alignment horizontal="right" wrapText="1"/>
      <protection locked="0"/>
    </xf>
    <xf numFmtId="172" fontId="9" fillId="0" borderId="10" xfId="1" applyNumberFormat="1" applyFont="1" applyBorder="1" applyAlignment="1" applyProtection="1">
      <alignment horizontal="right" wrapText="1"/>
      <protection locked="0"/>
    </xf>
    <xf numFmtId="165" fontId="35" fillId="0" borderId="0" xfId="1" applyNumberFormat="1" applyFont="1" applyAlignment="1" applyProtection="1">
      <alignment horizontal="center" vertical="center"/>
      <protection locked="0" hidden="1"/>
    </xf>
    <xf numFmtId="177" fontId="9" fillId="3" borderId="4" xfId="1" applyNumberFormat="1" applyFont="1" applyFill="1" applyBorder="1" applyAlignment="1" applyProtection="1">
      <alignment horizontal="right" vertical="center"/>
      <protection locked="0"/>
    </xf>
    <xf numFmtId="9" fontId="9" fillId="0" borderId="0" xfId="2" applyFont="1" applyAlignment="1" applyProtection="1">
      <alignment horizontal="right"/>
      <protection locked="0"/>
    </xf>
    <xf numFmtId="166" fontId="21" fillId="0" borderId="9" xfId="0" applyNumberFormat="1" applyFont="1" applyBorder="1" applyProtection="1">
      <protection locked="0"/>
    </xf>
    <xf numFmtId="166" fontId="21" fillId="0" borderId="0" xfId="0" applyNumberFormat="1" applyFont="1" applyProtection="1">
      <protection locked="0"/>
    </xf>
    <xf numFmtId="168" fontId="21" fillId="0" borderId="9" xfId="0" applyNumberFormat="1" applyFont="1" applyBorder="1" applyProtection="1">
      <protection locked="0"/>
    </xf>
    <xf numFmtId="173" fontId="9" fillId="0" borderId="0" xfId="0" applyNumberFormat="1" applyFont="1" applyProtection="1">
      <protection locked="0"/>
    </xf>
    <xf numFmtId="0" fontId="25" fillId="0" borderId="0" xfId="0" applyFont="1" applyAlignment="1" applyProtection="1">
      <alignment horizontal="left"/>
      <protection locked="0" hidden="1"/>
    </xf>
    <xf numFmtId="0" fontId="0" fillId="11" borderId="0" xfId="0" applyFill="1" applyAlignment="1">
      <alignment vertical="center"/>
    </xf>
    <xf numFmtId="0" fontId="30" fillId="0" borderId="0" xfId="0" applyFont="1" applyAlignment="1" applyProtection="1">
      <alignment horizontal="left" vertical="center" wrapText="1" indent="6"/>
      <protection locked="0" hidden="1"/>
    </xf>
    <xf numFmtId="0" fontId="30" fillId="3" borderId="0" xfId="0" applyFont="1" applyFill="1" applyAlignment="1" applyProtection="1">
      <alignment horizontal="left" vertical="center" wrapText="1" indent="6"/>
      <protection locked="0" hidden="1"/>
    </xf>
    <xf numFmtId="191" fontId="21" fillId="3" borderId="10" xfId="0" applyNumberFormat="1" applyFont="1" applyFill="1" applyBorder="1" applyAlignment="1" applyProtection="1">
      <alignment horizontal="right"/>
      <protection locked="0"/>
    </xf>
    <xf numFmtId="168" fontId="9" fillId="3" borderId="10" xfId="2" applyNumberFormat="1" applyFont="1" applyFill="1" applyBorder="1" applyAlignment="1" applyProtection="1">
      <alignment horizontal="right"/>
      <protection locked="0"/>
    </xf>
    <xf numFmtId="168" fontId="9" fillId="0" borderId="10" xfId="2" applyNumberFormat="1" applyFont="1" applyFill="1" applyBorder="1" applyAlignment="1" applyProtection="1">
      <alignment horizontal="right"/>
      <protection locked="0"/>
    </xf>
    <xf numFmtId="191" fontId="21" fillId="0" borderId="10" xfId="0" applyNumberFormat="1" applyFont="1" applyBorder="1" applyAlignment="1" applyProtection="1">
      <alignment horizontal="right"/>
      <protection locked="0"/>
    </xf>
    <xf numFmtId="0" fontId="26" fillId="3" borderId="0" xfId="0" applyFont="1" applyFill="1" applyAlignment="1" applyProtection="1">
      <alignment horizontal="left" indent="1"/>
      <protection locked="0" hidden="1"/>
    </xf>
    <xf numFmtId="192" fontId="21" fillId="3" borderId="0" xfId="0" applyNumberFormat="1" applyFont="1" applyFill="1" applyAlignment="1" applyProtection="1">
      <alignment horizontal="right"/>
      <protection locked="0"/>
    </xf>
    <xf numFmtId="172" fontId="9" fillId="0" borderId="9" xfId="1" applyNumberFormat="1" applyFont="1" applyFill="1" applyBorder="1" applyAlignment="1" applyProtection="1">
      <alignment horizontal="right"/>
      <protection locked="0"/>
    </xf>
    <xf numFmtId="168" fontId="9" fillId="0" borderId="9" xfId="2" applyNumberFormat="1" applyFont="1" applyFill="1" applyBorder="1" applyAlignment="1" applyProtection="1">
      <alignment horizontal="right"/>
      <protection locked="0"/>
    </xf>
    <xf numFmtId="0" fontId="21" fillId="0" borderId="0" xfId="0" applyFont="1" applyAlignment="1" applyProtection="1">
      <alignment horizontal="left" indent="1"/>
      <protection locked="0" hidden="1"/>
    </xf>
    <xf numFmtId="172" fontId="21" fillId="3" borderId="0" xfId="1" applyNumberFormat="1" applyFont="1" applyFill="1" applyBorder="1" applyAlignment="1" applyProtection="1">
      <alignment horizontal="right"/>
      <protection locked="0"/>
    </xf>
    <xf numFmtId="0" fontId="25" fillId="2" borderId="0" xfId="0" applyFont="1" applyFill="1" applyAlignment="1" applyProtection="1">
      <alignment horizontal="left" indent="1"/>
      <protection locked="0" hidden="1"/>
    </xf>
    <xf numFmtId="175" fontId="9" fillId="2" borderId="0" xfId="1" applyNumberFormat="1" applyFont="1" applyFill="1" applyBorder="1" applyAlignment="1" applyProtection="1">
      <alignment horizontal="right"/>
      <protection locked="0"/>
    </xf>
    <xf numFmtId="168" fontId="9" fillId="2" borderId="0" xfId="2" applyNumberFormat="1" applyFont="1" applyFill="1" applyBorder="1" applyAlignment="1" applyProtection="1">
      <alignment horizontal="right"/>
      <protection locked="0"/>
    </xf>
    <xf numFmtId="185" fontId="9" fillId="2" borderId="0" xfId="2" applyNumberFormat="1" applyFont="1" applyFill="1" applyBorder="1" applyAlignment="1" applyProtection="1">
      <alignment horizontal="right" vertical="center" wrapText="1"/>
      <protection locked="0"/>
    </xf>
    <xf numFmtId="168" fontId="9" fillId="2" borderId="0" xfId="2" applyNumberFormat="1" applyFont="1" applyFill="1" applyBorder="1" applyAlignment="1" applyProtection="1">
      <alignment horizontal="right" vertical="center" wrapText="1"/>
      <protection locked="0"/>
    </xf>
    <xf numFmtId="172" fontId="26" fillId="3" borderId="9" xfId="1" applyNumberFormat="1" applyFont="1" applyFill="1" applyBorder="1" applyAlignment="1" applyProtection="1">
      <alignment horizontal="right"/>
      <protection locked="0"/>
    </xf>
    <xf numFmtId="0" fontId="26" fillId="3" borderId="9" xfId="0" applyFont="1" applyFill="1" applyBorder="1" applyAlignment="1" applyProtection="1">
      <alignment horizontal="left" indent="1"/>
      <protection locked="0" hidden="1"/>
    </xf>
    <xf numFmtId="171" fontId="9" fillId="0" borderId="0" xfId="0" applyNumberFormat="1" applyFont="1" applyProtection="1">
      <protection locked="0"/>
    </xf>
    <xf numFmtId="0" fontId="25" fillId="2" borderId="0" xfId="0" applyFont="1" applyFill="1" applyAlignment="1" applyProtection="1">
      <alignment horizontal="left" vertical="center" indent="1"/>
      <protection locked="0" hidden="1"/>
    </xf>
    <xf numFmtId="0" fontId="27" fillId="2" borderId="0" xfId="0" applyFont="1" applyFill="1" applyAlignment="1" applyProtection="1">
      <alignment horizontal="left" vertical="center" indent="2"/>
      <protection locked="0" hidden="1"/>
    </xf>
    <xf numFmtId="1" fontId="25" fillId="3" borderId="0" xfId="2" applyNumberFormat="1" applyFont="1" applyFill="1" applyBorder="1" applyAlignment="1" applyProtection="1">
      <alignment horizontal="right" vertical="center"/>
      <protection locked="0"/>
    </xf>
    <xf numFmtId="43" fontId="25" fillId="3" borderId="0" xfId="1" applyFont="1" applyFill="1" applyBorder="1" applyAlignment="1" applyProtection="1">
      <alignment horizontal="right"/>
      <protection locked="0"/>
    </xf>
    <xf numFmtId="0" fontId="25" fillId="2" borderId="0" xfId="0" applyFont="1" applyFill="1" applyAlignment="1" applyProtection="1">
      <alignment vertical="center"/>
      <protection locked="0"/>
    </xf>
    <xf numFmtId="172" fontId="25" fillId="2" borderId="0" xfId="1" applyNumberFormat="1" applyFont="1" applyFill="1" applyBorder="1" applyAlignment="1" applyProtection="1">
      <alignment horizontal="right" vertical="center"/>
      <protection locked="0"/>
    </xf>
    <xf numFmtId="183" fontId="25" fillId="2" borderId="0" xfId="2" applyNumberFormat="1" applyFont="1" applyFill="1" applyBorder="1" applyAlignment="1" applyProtection="1">
      <alignment vertical="center"/>
      <protection locked="0"/>
    </xf>
    <xf numFmtId="0" fontId="9" fillId="2" borderId="0" xfId="0" applyFont="1" applyFill="1" applyAlignment="1" applyProtection="1">
      <alignment horizontal="right" vertical="center"/>
      <protection locked="0"/>
    </xf>
    <xf numFmtId="0" fontId="9" fillId="2" borderId="0" xfId="0" applyFont="1" applyFill="1" applyAlignment="1" applyProtection="1">
      <alignment vertical="center"/>
      <protection locked="0"/>
    </xf>
    <xf numFmtId="172" fontId="26" fillId="2" borderId="0" xfId="1" applyNumberFormat="1"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9" fillId="2" borderId="9" xfId="0" applyFont="1" applyFill="1" applyBorder="1" applyAlignment="1" applyProtection="1">
      <alignment horizontal="left" vertical="center" indent="1"/>
      <protection locked="0" hidden="1"/>
    </xf>
    <xf numFmtId="175" fontId="25" fillId="2" borderId="9" xfId="1" applyNumberFormat="1" applyFont="1" applyFill="1" applyBorder="1" applyAlignment="1" applyProtection="1">
      <alignment vertical="center"/>
      <protection locked="0"/>
    </xf>
    <xf numFmtId="175" fontId="25" fillId="2" borderId="0" xfId="1" applyNumberFormat="1" applyFont="1" applyFill="1" applyBorder="1" applyAlignment="1" applyProtection="1">
      <alignment vertical="center"/>
      <protection locked="0"/>
    </xf>
    <xf numFmtId="183" fontId="25" fillId="2" borderId="9" xfId="2" applyNumberFormat="1" applyFont="1" applyFill="1" applyBorder="1" applyAlignment="1" applyProtection="1">
      <alignment vertical="center"/>
      <protection locked="0"/>
    </xf>
    <xf numFmtId="183" fontId="25" fillId="2" borderId="9" xfId="2" applyNumberFormat="1" applyFont="1" applyFill="1" applyBorder="1" applyAlignment="1" applyProtection="1">
      <alignment horizontal="right" vertical="center"/>
      <protection locked="0"/>
    </xf>
    <xf numFmtId="183" fontId="25" fillId="2" borderId="0" xfId="2" applyNumberFormat="1" applyFont="1" applyFill="1" applyBorder="1" applyAlignment="1" applyProtection="1">
      <alignment horizontal="right" vertical="center"/>
      <protection locked="0"/>
    </xf>
    <xf numFmtId="43" fontId="9" fillId="2" borderId="0" xfId="2" applyNumberFormat="1" applyFont="1" applyFill="1" applyBorder="1" applyAlignment="1" applyProtection="1">
      <alignment vertical="center"/>
      <protection locked="0"/>
    </xf>
    <xf numFmtId="172" fontId="25" fillId="2" borderId="0" xfId="1" applyNumberFormat="1" applyFont="1" applyFill="1" applyBorder="1" applyAlignment="1" applyProtection="1">
      <alignment vertical="center"/>
      <protection locked="0"/>
    </xf>
    <xf numFmtId="180" fontId="25" fillId="2" borderId="0" xfId="2" applyNumberFormat="1" applyFont="1" applyFill="1" applyBorder="1" applyAlignment="1" applyProtection="1">
      <alignment horizontal="right" vertical="center"/>
      <protection locked="0"/>
    </xf>
    <xf numFmtId="0" fontId="26" fillId="2" borderId="0" xfId="0" applyFont="1" applyFill="1" applyAlignment="1" applyProtection="1">
      <alignment horizontal="left" vertical="center"/>
      <protection locked="0" hidden="1"/>
    </xf>
    <xf numFmtId="180" fontId="9" fillId="2" borderId="0" xfId="2" applyNumberFormat="1" applyFont="1" applyFill="1" applyBorder="1" applyAlignment="1" applyProtection="1">
      <alignment horizontal="right" vertical="center"/>
      <protection locked="0"/>
    </xf>
    <xf numFmtId="172" fontId="21" fillId="2" borderId="0" xfId="1" applyNumberFormat="1" applyFont="1" applyFill="1" applyBorder="1" applyAlignment="1" applyProtection="1">
      <alignment horizontal="right" vertical="center"/>
      <protection locked="0"/>
    </xf>
    <xf numFmtId="165" fontId="25" fillId="2" borderId="9" xfId="1" applyNumberFormat="1" applyFont="1" applyFill="1" applyBorder="1" applyAlignment="1" applyProtection="1">
      <alignment horizontal="left" vertical="center" wrapText="1" indent="1"/>
      <protection locked="0" hidden="1"/>
    </xf>
    <xf numFmtId="168" fontId="25" fillId="2" borderId="9" xfId="2" applyNumberFormat="1" applyFont="1" applyFill="1" applyBorder="1" applyAlignment="1" applyProtection="1">
      <alignment vertical="center"/>
      <protection locked="0"/>
    </xf>
    <xf numFmtId="168" fontId="25" fillId="2" borderId="0" xfId="2" applyNumberFormat="1" applyFont="1" applyFill="1" applyBorder="1" applyAlignment="1" applyProtection="1">
      <alignment vertical="center"/>
      <protection locked="0"/>
    </xf>
    <xf numFmtId="182" fontId="25" fillId="2" borderId="9" xfId="2" applyNumberFormat="1" applyFont="1" applyFill="1" applyBorder="1" applyAlignment="1" applyProtection="1">
      <alignment vertical="center"/>
      <protection locked="0"/>
    </xf>
    <xf numFmtId="182" fontId="25" fillId="2" borderId="9" xfId="2" applyNumberFormat="1" applyFont="1" applyFill="1" applyBorder="1" applyAlignment="1" applyProtection="1">
      <alignment horizontal="right" vertical="center"/>
      <protection locked="0"/>
    </xf>
    <xf numFmtId="0" fontId="9" fillId="2" borderId="0" xfId="0" applyFont="1" applyFill="1" applyAlignment="1" applyProtection="1">
      <alignment horizontal="left" vertical="center" indent="1"/>
      <protection locked="0" hidden="1"/>
    </xf>
    <xf numFmtId="182" fontId="25" fillId="2" borderId="0" xfId="2" applyNumberFormat="1" applyFont="1" applyFill="1" applyBorder="1" applyAlignment="1" applyProtection="1">
      <alignment vertical="center"/>
      <protection locked="0"/>
    </xf>
    <xf numFmtId="182" fontId="25" fillId="2" borderId="0" xfId="2" applyNumberFormat="1" applyFont="1" applyFill="1" applyBorder="1" applyAlignment="1" applyProtection="1">
      <alignment horizontal="right" vertical="center"/>
      <protection locked="0"/>
    </xf>
    <xf numFmtId="168" fontId="9" fillId="2" borderId="0" xfId="2" applyNumberFormat="1" applyFont="1" applyFill="1" applyBorder="1" applyAlignment="1" applyProtection="1">
      <alignment vertical="center"/>
      <protection locked="0"/>
    </xf>
    <xf numFmtId="168" fontId="9" fillId="2" borderId="0" xfId="2" applyNumberFormat="1" applyFont="1" applyFill="1" applyBorder="1" applyAlignment="1" applyProtection="1">
      <alignment horizontal="right" vertical="center"/>
      <protection locked="0"/>
    </xf>
    <xf numFmtId="0" fontId="25" fillId="3" borderId="0" xfId="0" applyFont="1" applyFill="1" applyAlignment="1" applyProtection="1">
      <alignment horizontal="left" vertical="center" indent="5"/>
      <protection locked="0" hidden="1"/>
    </xf>
    <xf numFmtId="168" fontId="25" fillId="3" borderId="9" xfId="2" applyNumberFormat="1" applyFont="1" applyFill="1" applyBorder="1" applyAlignment="1" applyProtection="1">
      <alignment vertical="center"/>
      <protection locked="0"/>
    </xf>
    <xf numFmtId="182" fontId="25" fillId="3" borderId="10" xfId="2" applyNumberFormat="1" applyFont="1" applyFill="1" applyBorder="1" applyAlignment="1" applyProtection="1">
      <alignment vertical="center"/>
      <protection locked="0"/>
    </xf>
    <xf numFmtId="182" fontId="25" fillId="3" borderId="10" xfId="2" applyNumberFormat="1" applyFont="1" applyFill="1" applyBorder="1" applyAlignment="1" applyProtection="1">
      <alignment horizontal="right" vertical="center"/>
      <protection locked="0"/>
    </xf>
    <xf numFmtId="0" fontId="27" fillId="2" borderId="0" xfId="0" applyFont="1" applyFill="1" applyAlignment="1" applyProtection="1">
      <alignment horizontal="left" vertical="center" indent="3"/>
      <protection locked="0" hidden="1"/>
    </xf>
    <xf numFmtId="0" fontId="60" fillId="0" borderId="0" xfId="0" applyFont="1" applyAlignment="1">
      <alignment vertical="center"/>
    </xf>
    <xf numFmtId="175" fontId="9" fillId="0" borderId="0" xfId="1" applyNumberFormat="1" applyFont="1" applyFill="1" applyBorder="1" applyProtection="1">
      <protection locked="0"/>
    </xf>
    <xf numFmtId="185" fontId="51" fillId="2" borderId="0" xfId="0" applyNumberFormat="1" applyFont="1" applyFill="1" applyAlignment="1" applyProtection="1">
      <alignment horizontal="right" vertical="center"/>
      <protection locked="0"/>
    </xf>
    <xf numFmtId="172" fontId="45" fillId="2" borderId="0" xfId="1" applyNumberFormat="1" applyFont="1" applyFill="1" applyBorder="1" applyAlignment="1" applyProtection="1">
      <alignment horizontal="right"/>
      <protection locked="0"/>
    </xf>
    <xf numFmtId="172" fontId="25" fillId="2" borderId="0" xfId="1" applyNumberFormat="1" applyFont="1" applyFill="1" applyBorder="1" applyAlignment="1" applyProtection="1">
      <alignment horizontal="right"/>
      <protection locked="0"/>
    </xf>
    <xf numFmtId="168" fontId="26" fillId="2" borderId="0" xfId="2" applyNumberFormat="1" applyFont="1" applyFill="1" applyBorder="1" applyAlignment="1" applyProtection="1">
      <alignment horizontal="right"/>
      <protection locked="0"/>
    </xf>
    <xf numFmtId="0" fontId="4" fillId="2" borderId="0" xfId="0" applyFont="1" applyFill="1" applyAlignment="1" applyProtection="1">
      <alignment horizontal="right"/>
      <protection locked="0"/>
    </xf>
    <xf numFmtId="172" fontId="21" fillId="2" borderId="0" xfId="1" applyNumberFormat="1" applyFont="1" applyFill="1" applyBorder="1" applyAlignment="1" applyProtection="1">
      <alignment horizontal="right"/>
      <protection locked="0"/>
    </xf>
    <xf numFmtId="172" fontId="9" fillId="2" borderId="0" xfId="1" applyNumberFormat="1" applyFont="1" applyFill="1" applyBorder="1" applyAlignment="1" applyProtection="1">
      <alignment horizontal="right"/>
      <protection locked="0"/>
    </xf>
    <xf numFmtId="168" fontId="21" fillId="2" borderId="0" xfId="2" applyNumberFormat="1" applyFont="1" applyFill="1" applyBorder="1" applyAlignment="1" applyProtection="1">
      <alignment horizontal="right"/>
      <protection locked="0"/>
    </xf>
    <xf numFmtId="0" fontId="9" fillId="3" borderId="19" xfId="0" applyFont="1" applyFill="1" applyBorder="1" applyAlignment="1" applyProtection="1">
      <alignment horizontal="left" indent="1"/>
      <protection locked="0" hidden="1"/>
    </xf>
    <xf numFmtId="172" fontId="9" fillId="3" borderId="19" xfId="1" applyNumberFormat="1" applyFont="1" applyFill="1" applyBorder="1" applyAlignment="1" applyProtection="1">
      <alignment horizontal="right"/>
      <protection locked="0"/>
    </xf>
    <xf numFmtId="168" fontId="21" fillId="0" borderId="27" xfId="2" applyNumberFormat="1" applyFont="1" applyFill="1" applyBorder="1" applyAlignment="1" applyProtection="1">
      <alignment horizontal="right"/>
      <protection locked="0"/>
    </xf>
    <xf numFmtId="192" fontId="21" fillId="0" borderId="27" xfId="0" applyNumberFormat="1" applyFont="1" applyBorder="1" applyAlignment="1" applyProtection="1">
      <alignment horizontal="right"/>
      <protection locked="0"/>
    </xf>
    <xf numFmtId="0" fontId="9" fillId="2" borderId="0" xfId="0" applyFont="1" applyFill="1" applyProtection="1">
      <protection locked="0"/>
    </xf>
    <xf numFmtId="0" fontId="27" fillId="2" borderId="0" xfId="0" applyFont="1" applyFill="1" applyAlignment="1" applyProtection="1">
      <alignment horizontal="left" vertical="center" indent="7"/>
      <protection locked="0" hidden="1"/>
    </xf>
    <xf numFmtId="172" fontId="9" fillId="2" borderId="0" xfId="1" applyNumberFormat="1" applyFont="1" applyFill="1" applyBorder="1" applyProtection="1">
      <protection locked="0"/>
    </xf>
    <xf numFmtId="172" fontId="25" fillId="2" borderId="0" xfId="1" applyNumberFormat="1" applyFont="1" applyFill="1" applyAlignment="1" applyProtection="1">
      <alignment horizontal="right" vertical="center"/>
      <protection locked="0"/>
    </xf>
    <xf numFmtId="0" fontId="27" fillId="2" borderId="0" xfId="0" applyFont="1" applyFill="1" applyAlignment="1" applyProtection="1">
      <alignment horizontal="left" vertical="center" indent="9"/>
      <protection locked="0" hidden="1"/>
    </xf>
    <xf numFmtId="172" fontId="9" fillId="2" borderId="0" xfId="1" applyNumberFormat="1" applyFont="1" applyFill="1" applyBorder="1" applyAlignment="1" applyProtection="1">
      <alignment horizontal="center"/>
      <protection locked="0"/>
    </xf>
    <xf numFmtId="168" fontId="9" fillId="3" borderId="19" xfId="2" applyNumberFormat="1" applyFont="1" applyFill="1" applyBorder="1" applyAlignment="1" applyProtection="1">
      <alignment horizontal="right"/>
      <protection locked="0"/>
    </xf>
    <xf numFmtId="0" fontId="26" fillId="2" borderId="9" xfId="0" applyFont="1" applyFill="1" applyBorder="1" applyAlignment="1" applyProtection="1">
      <alignment horizontal="left" vertical="center" wrapText="1"/>
      <protection locked="0" hidden="1"/>
    </xf>
    <xf numFmtId="167" fontId="26" fillId="2" borderId="9" xfId="0" applyNumberFormat="1" applyFont="1" applyFill="1" applyBorder="1" applyAlignment="1" applyProtection="1">
      <alignment horizontal="right" vertical="center" wrapText="1"/>
      <protection locked="0"/>
    </xf>
    <xf numFmtId="167" fontId="26" fillId="2" borderId="0" xfId="0" applyNumberFormat="1" applyFont="1" applyFill="1" applyAlignment="1" applyProtection="1">
      <alignment horizontal="right" vertical="center" wrapText="1"/>
      <protection locked="0"/>
    </xf>
    <xf numFmtId="168" fontId="26" fillId="2" borderId="0" xfId="2" applyNumberFormat="1" applyFont="1" applyFill="1" applyBorder="1" applyAlignment="1" applyProtection="1">
      <alignment horizontal="right" vertical="center" wrapText="1"/>
      <protection locked="0"/>
    </xf>
    <xf numFmtId="0" fontId="19" fillId="9" borderId="0" xfId="0" applyFont="1" applyFill="1" applyAlignment="1" applyProtection="1">
      <alignment horizontal="center" vertical="center"/>
      <protection locked="0" hidden="1"/>
    </xf>
    <xf numFmtId="0" fontId="9" fillId="0" borderId="0" xfId="0" applyFont="1" applyAlignment="1" applyProtection="1">
      <alignment horizontal="left" wrapText="1"/>
      <protection locked="0" hidden="1"/>
    </xf>
    <xf numFmtId="0" fontId="9" fillId="0" borderId="0" xfId="0" applyFont="1" applyAlignment="1" applyProtection="1">
      <alignment horizontal="left" wrapText="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49" fillId="2" borderId="0" xfId="0" applyFont="1" applyFill="1" applyAlignment="1" applyProtection="1">
      <alignment horizontal="center" vertical="center"/>
      <protection locked="0" hidden="1"/>
    </xf>
    <xf numFmtId="0" fontId="9" fillId="2" borderId="0" xfId="0" applyFont="1" applyFill="1" applyAlignment="1" applyProtection="1">
      <alignment horizontal="left" vertical="top" wrapText="1"/>
      <protection locked="0" hidden="1"/>
    </xf>
    <xf numFmtId="0" fontId="9" fillId="2" borderId="15" xfId="0" applyFont="1" applyFill="1" applyBorder="1" applyAlignment="1" applyProtection="1">
      <alignment horizontal="left" vertical="top" wrapText="1"/>
      <protection locked="0" hidden="1"/>
    </xf>
    <xf numFmtId="0" fontId="33" fillId="3" borderId="0" xfId="0" applyFont="1" applyFill="1" applyAlignment="1" applyProtection="1">
      <alignment horizontal="center" vertical="center" wrapText="1"/>
      <protection locked="0" hidden="1"/>
    </xf>
    <xf numFmtId="0" fontId="37" fillId="0" borderId="12" xfId="0" applyFont="1" applyBorder="1" applyAlignment="1" applyProtection="1">
      <alignment horizontal="center" vertical="center"/>
      <protection locked="0" hidden="1"/>
    </xf>
    <xf numFmtId="0" fontId="33" fillId="2" borderId="0" xfId="0" applyFont="1" applyFill="1" applyAlignment="1" applyProtection="1">
      <alignment horizontal="left" wrapText="1"/>
      <protection locked="0" hidden="1"/>
    </xf>
    <xf numFmtId="0" fontId="33" fillId="2" borderId="15" xfId="0" applyFont="1" applyFill="1" applyBorder="1" applyAlignment="1" applyProtection="1">
      <alignment horizontal="left" wrapText="1"/>
      <protection locked="0" hidden="1"/>
    </xf>
  </cellXfs>
  <cellStyles count="12">
    <cellStyle name="Comma" xfId="1" builtinId="3"/>
    <cellStyle name="Estilo 2" xfId="8" xr:uid="{00000000-0005-0000-0000-000000000000}"/>
    <cellStyle name="Hyperlink" xfId="11" builtinId="8"/>
    <cellStyle name="Normal" xfId="0" builtinId="0"/>
    <cellStyle name="Normal 11" xfId="5" xr:uid="{00000000-0005-0000-0000-000002000000}"/>
    <cellStyle name="Normal 2" xfId="9" xr:uid="{00000000-0005-0000-0000-000003000000}"/>
    <cellStyle name="Normal 22" xfId="10" xr:uid="{2EEDC521-205B-2040-ACE3-A03EF593B3D5}"/>
    <cellStyle name="Normal 6 2 2" xfId="4" xr:uid="{00000000-0005-0000-0000-000004000000}"/>
    <cellStyle name="Percent" xfId="2" builtinId="5"/>
    <cellStyle name="Vírgula 3" xfId="7" xr:uid="{00000000-0005-0000-0000-000007000000}"/>
    <cellStyle name="Vírgula 4" xfId="3" xr:uid="{00000000-0005-0000-0000-000008000000}"/>
    <cellStyle name="Vírgula 7" xfId="6" xr:uid="{00000000-0005-0000-0000-000009000000}"/>
  </cellStyles>
  <dxfs count="0"/>
  <tableStyles count="0" defaultTableStyle="TableStyleMedium2" defaultPivotStyle="PivotStyleLight16"/>
  <colors>
    <mruColors>
      <color rgb="FFF0975C"/>
      <color rgb="FFEC7100"/>
      <color rgb="FFFF8700"/>
      <color rgb="FFD9D9D9"/>
      <color rgb="FFFFF2E6"/>
      <color rgb="FFFFE9D0"/>
      <color rgb="FFF7CAB0"/>
      <color rgb="FFF2F2F2"/>
      <color rgb="FFE1E2E1"/>
      <color rgb="FFFBE6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Summary | Sum&#225;rio'!A1"/><Relationship Id="rId1" Type="http://schemas.openxmlformats.org/officeDocument/2006/relationships/image" Target="../media/image5.jpeg"/><Relationship Id="rId4" Type="http://schemas.openxmlformats.org/officeDocument/2006/relationships/image" Target="../media/image4.svg"/></Relationships>
</file>

<file path=xl/drawings/_rels/drawing2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drawing1.xml><?xml version="1.0" encoding="utf-8"?>
<xdr:wsDr xmlns:xdr="http://schemas.openxmlformats.org/drawingml/2006/spreadsheetDrawing" xmlns:a="http://schemas.openxmlformats.org/drawingml/2006/main">
  <xdr:twoCellAnchor>
    <xdr:from>
      <xdr:col>4</xdr:col>
      <xdr:colOff>1239024</xdr:colOff>
      <xdr:row>7</xdr:row>
      <xdr:rowOff>139391</xdr:rowOff>
    </xdr:from>
    <xdr:to>
      <xdr:col>7</xdr:col>
      <xdr:colOff>3199340</xdr:colOff>
      <xdr:row>7</xdr:row>
      <xdr:rowOff>596591</xdr:rowOff>
    </xdr:to>
    <xdr:sp macro="" textlink="">
      <xdr:nvSpPr>
        <xdr:cNvPr id="7" name="Rounded Rectangle 5">
          <a:extLst>
            <a:ext uri="{FF2B5EF4-FFF2-40B4-BE49-F238E27FC236}">
              <a16:creationId xmlns:a16="http://schemas.microsoft.com/office/drawing/2014/main" id="{00000000-0008-0000-0100-000007000000}"/>
            </a:ext>
          </a:extLst>
        </xdr:cNvPr>
        <xdr:cNvSpPr/>
      </xdr:nvSpPr>
      <xdr:spPr>
        <a:xfrm>
          <a:off x="5171927" y="1627886"/>
          <a:ext cx="3803865" cy="457200"/>
        </a:xfrm>
        <a:prstGeom prst="roundRect">
          <a:avLst>
            <a:gd name="adj" fmla="val 26105"/>
          </a:avLst>
        </a:prstGeom>
        <a:solidFill>
          <a:srgbClr val="EA71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chemeClr val="bg1"/>
              </a:solidFill>
              <a:latin typeface="Calibri" panose="020F0502020204030204" pitchFamily="34" charset="0"/>
              <a:cs typeface="Calibri" panose="020F0502020204030204" pitchFamily="34" charset="0"/>
            </a:rPr>
            <a:t>Inter&amp;Co</a:t>
          </a:r>
        </a:p>
      </xdr:txBody>
    </xdr:sp>
    <xdr:clientData/>
  </xdr:twoCellAnchor>
  <xdr:twoCellAnchor>
    <xdr:from>
      <xdr:col>8</xdr:col>
      <xdr:colOff>30976</xdr:colOff>
      <xdr:row>7</xdr:row>
      <xdr:rowOff>156323</xdr:rowOff>
    </xdr:from>
    <xdr:to>
      <xdr:col>10</xdr:col>
      <xdr:colOff>3447685</xdr:colOff>
      <xdr:row>8</xdr:row>
      <xdr:rowOff>20856</xdr:rowOff>
    </xdr:to>
    <xdr:sp macro="" textlink="Names!I52">
      <xdr:nvSpPr>
        <xdr:cNvPr id="8" name="Rounded Rectangle 6">
          <a:extLst>
            <a:ext uri="{FF2B5EF4-FFF2-40B4-BE49-F238E27FC236}">
              <a16:creationId xmlns:a16="http://schemas.microsoft.com/office/drawing/2014/main" id="{00000000-0008-0000-0100-000008000000}"/>
            </a:ext>
          </a:extLst>
        </xdr:cNvPr>
        <xdr:cNvSpPr/>
      </xdr:nvSpPr>
      <xdr:spPr>
        <a:xfrm>
          <a:off x="9259643" y="1697256"/>
          <a:ext cx="3789242" cy="457200"/>
        </a:xfrm>
        <a:prstGeom prst="roundRect">
          <a:avLst>
            <a:gd name="adj" fmla="val 32079"/>
          </a:avLst>
        </a:prstGeom>
        <a:solidFill>
          <a:srgbClr val="FFCA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B4FD5E2-8C78-9147-9838-8C6A83BF706B}" type="TxLink">
            <a:rPr lang="en-US" sz="2000" b="1" i="0" u="none" strike="noStrike">
              <a:solidFill>
                <a:srgbClr val="000000"/>
              </a:solidFill>
              <a:latin typeface="Calibri"/>
              <a:cs typeface="Calibri"/>
            </a:rPr>
            <a:pPr algn="ctr"/>
            <a:t>Operational Data</a:t>
          </a:fld>
          <a:endParaRPr lang="en-US" sz="2000" b="1">
            <a:solidFill>
              <a:schemeClr val="tx1"/>
            </a:solidFill>
            <a:latin typeface="Calibri" panose="020F0502020204030204" pitchFamily="34" charset="0"/>
            <a:cs typeface="Calibri" panose="020F0502020204030204" pitchFamily="34" charset="0"/>
          </a:endParaRPr>
        </a:p>
      </xdr:txBody>
    </xdr:sp>
    <xdr:clientData/>
  </xdr:twoCellAnchor>
  <xdr:twoCellAnchor>
    <xdr:from>
      <xdr:col>8</xdr:col>
      <xdr:colOff>61804</xdr:colOff>
      <xdr:row>19</xdr:row>
      <xdr:rowOff>177122</xdr:rowOff>
    </xdr:from>
    <xdr:to>
      <xdr:col>10</xdr:col>
      <xdr:colOff>3478513</xdr:colOff>
      <xdr:row>21</xdr:row>
      <xdr:rowOff>231639</xdr:rowOff>
    </xdr:to>
    <xdr:sp macro="" textlink="Names!I53">
      <xdr:nvSpPr>
        <xdr:cNvPr id="4" name="Rounded Rectangle 6">
          <a:extLst>
            <a:ext uri="{FF2B5EF4-FFF2-40B4-BE49-F238E27FC236}">
              <a16:creationId xmlns:a16="http://schemas.microsoft.com/office/drawing/2014/main" id="{00000000-0008-0000-0100-000004000000}"/>
            </a:ext>
          </a:extLst>
        </xdr:cNvPr>
        <xdr:cNvSpPr/>
      </xdr:nvSpPr>
      <xdr:spPr>
        <a:xfrm>
          <a:off x="9293202" y="4683574"/>
          <a:ext cx="3799074" cy="450538"/>
        </a:xfrm>
        <a:prstGeom prst="roundRect">
          <a:avLst>
            <a:gd name="adj" fmla="val 34845"/>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90567AA-CF6B-664B-B3B8-8E7A9D45AFBF}" type="TxLink">
            <a:rPr lang="en-US" sz="2000" b="1" i="0" u="none" strike="noStrike">
              <a:solidFill>
                <a:srgbClr val="000000"/>
              </a:solidFill>
              <a:latin typeface="Calibri"/>
              <a:cs typeface="Calibri"/>
            </a:rPr>
            <a:pPr algn="ctr"/>
            <a:t>Others</a:t>
          </a:fld>
          <a:endParaRPr lang="en-US" sz="2000" b="1">
            <a:solidFill>
              <a:schemeClr val="tx1"/>
            </a:solidFill>
            <a:latin typeface="Calibri" panose="020F0502020204030204" pitchFamily="34" charset="0"/>
            <a:cs typeface="Calibri" panose="020F0502020204030204" pitchFamily="34" charset="0"/>
          </a:endParaRPr>
        </a:p>
      </xdr:txBody>
    </xdr:sp>
    <xdr:clientData/>
  </xdr:twoCellAnchor>
  <xdr:twoCellAnchor editAs="oneCell">
    <xdr:from>
      <xdr:col>7</xdr:col>
      <xdr:colOff>2131483</xdr:colOff>
      <xdr:row>2</xdr:row>
      <xdr:rowOff>88439</xdr:rowOff>
    </xdr:from>
    <xdr:to>
      <xdr:col>10</xdr:col>
      <xdr:colOff>1085547</xdr:colOff>
      <xdr:row>4</xdr:row>
      <xdr:rowOff>59267</xdr:rowOff>
    </xdr:to>
    <xdr:pic>
      <xdr:nvPicPr>
        <xdr:cNvPr id="24" name="Picture 23">
          <a:extLst>
            <a:ext uri="{FF2B5EF4-FFF2-40B4-BE49-F238E27FC236}">
              <a16:creationId xmlns:a16="http://schemas.microsoft.com/office/drawing/2014/main" id="{F3E7C130-12D5-8789-A5E1-7B11D16222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867" b="-10072"/>
        <a:stretch/>
      </xdr:blipFill>
      <xdr:spPr>
        <a:xfrm>
          <a:off x="7905750" y="359372"/>
          <a:ext cx="2780997" cy="563495"/>
        </a:xfrm>
        <a:prstGeom prst="rect">
          <a:avLst/>
        </a:prstGeom>
      </xdr:spPr>
    </xdr:pic>
    <xdr:clientData/>
  </xdr:twoCellAnchor>
  <xdr:twoCellAnchor editAs="oneCell">
    <xdr:from>
      <xdr:col>2</xdr:col>
      <xdr:colOff>92347</xdr:colOff>
      <xdr:row>7</xdr:row>
      <xdr:rowOff>336290</xdr:rowOff>
    </xdr:from>
    <xdr:to>
      <xdr:col>4</xdr:col>
      <xdr:colOff>443714</xdr:colOff>
      <xdr:row>44</xdr:row>
      <xdr:rowOff>52656</xdr:rowOff>
    </xdr:to>
    <xdr:pic>
      <xdr:nvPicPr>
        <xdr:cNvPr id="11" name="Picture 10">
          <a:extLst>
            <a:ext uri="{FF2B5EF4-FFF2-40B4-BE49-F238E27FC236}">
              <a16:creationId xmlns:a16="http://schemas.microsoft.com/office/drawing/2014/main" id="{0DA8E6C1-ACDA-01C7-C0FC-DB5D7FFF7F7D}"/>
            </a:ext>
          </a:extLst>
        </xdr:cNvPr>
        <xdr:cNvPicPr>
          <a:picLocks noChangeAspect="1"/>
        </xdr:cNvPicPr>
      </xdr:nvPicPr>
      <xdr:blipFill>
        <a:blip xmlns:r="http://schemas.openxmlformats.org/officeDocument/2006/relationships" r:embed="rId2"/>
        <a:stretch>
          <a:fillRect/>
        </a:stretch>
      </xdr:blipFill>
      <xdr:spPr>
        <a:xfrm>
          <a:off x="600347" y="1877223"/>
          <a:ext cx="3771900" cy="7962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B128EDB0-2E1A-EE4B-ACD0-50A644CF96F8}"/>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B3EDA946-89A3-A330-25ED-84BE21521C6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E5D1F1E6-2D69-A13B-02C2-A354DB910D2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C54FA78A-7764-1C4C-82A0-742324F97262}"/>
            </a:ext>
          </a:extLst>
        </xdr:cNvPr>
        <xdr:cNvGrpSpPr/>
      </xdr:nvGrpSpPr>
      <xdr:grpSpPr>
        <a:xfrm>
          <a:off x="30886400" y="165100"/>
          <a:ext cx="1697892" cy="285953"/>
          <a:chOff x="178689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AD38E3F-76F8-A234-DDA2-D1120C49C900}"/>
              </a:ext>
            </a:extLst>
          </xdr:cNvPr>
          <xdr:cNvSpPr/>
        </xdr:nvSpPr>
        <xdr:spPr>
          <a:xfrm>
            <a:off x="178689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6AEE3D95-3B90-9604-EC21-9FBF8B32867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58126" y="165100"/>
            <a:ext cx="258937" cy="264917"/>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2B29785-F52A-0842-8A37-E94F09CD09CA}"/>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561AB627-93B2-6ED3-607B-6B4B9D6CF84B}"/>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714A4F98-E431-0E02-29A5-8CA494E58F9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7A8337DE-9F57-AB4D-80E0-CB56FFA8DEC2}"/>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D2DF78B7-C273-E46D-D694-BA5A6334E8B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830BCDB9-F00A-2B54-849D-A5B84AE1F94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15D35D1-E3F3-974D-B196-3861547A1856}"/>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F6E5FD0-1906-9B4B-6B64-46D0B95C74F5}"/>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FB06FF2C-9570-6833-9481-39180319A45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B87C279-C437-0647-A40B-1F6B42C1B40A}"/>
            </a:ext>
          </a:extLst>
        </xdr:cNvPr>
        <xdr:cNvGrpSpPr/>
      </xdr:nvGrpSpPr>
      <xdr:grpSpPr>
        <a:xfrm>
          <a:off x="309626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799AFA6B-4B86-C6EA-5DBD-5DF0997AED2C}"/>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1B81187F-B765-C60B-AB9E-9A6F0B8ADC8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4415D9D-71D2-D54E-B6F7-2FB4FD188D52}"/>
            </a:ext>
          </a:extLst>
        </xdr:cNvPr>
        <xdr:cNvGrpSpPr/>
      </xdr:nvGrpSpPr>
      <xdr:grpSpPr>
        <a:xfrm>
          <a:off x="30962600" y="165100"/>
          <a:ext cx="24852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499E809-2B88-82D2-2940-E888FC190A0B}"/>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D30A9E47-536E-D95A-F034-FFB55127F43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34</xdr:col>
      <xdr:colOff>0</xdr:colOff>
      <xdr:row>1</xdr:row>
      <xdr:rowOff>689</xdr:rowOff>
    </xdr:from>
    <xdr:to>
      <xdr:col>36</xdr:col>
      <xdr:colOff>46892</xdr:colOff>
      <xdr:row>2</xdr:row>
      <xdr:rowOff>120853</xdr:rowOff>
    </xdr:to>
    <xdr:sp macro="" textlink="Names!BQ2">
      <xdr:nvSpPr>
        <xdr:cNvPr id="2" name="Rounded Rectangle 1">
          <a:hlinkClick xmlns:r="http://schemas.openxmlformats.org/officeDocument/2006/relationships" r:id="rId1"/>
          <a:extLst>
            <a:ext uri="{FF2B5EF4-FFF2-40B4-BE49-F238E27FC236}">
              <a16:creationId xmlns:a16="http://schemas.microsoft.com/office/drawing/2014/main" id="{F50BE0C3-F8DF-144B-BA42-A8058CCC364E}"/>
            </a:ext>
          </a:extLst>
        </xdr:cNvPr>
        <xdr:cNvSpPr/>
      </xdr:nvSpPr>
      <xdr:spPr>
        <a:xfrm>
          <a:off x="275844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34</xdr:col>
      <xdr:colOff>89226</xdr:colOff>
      <xdr:row>1</xdr:row>
      <xdr:rowOff>0</xdr:rowOff>
    </xdr:from>
    <xdr:to>
      <xdr:col>34</xdr:col>
      <xdr:colOff>348163</xdr:colOff>
      <xdr:row>2</xdr:row>
      <xdr:rowOff>99817</xdr:rowOff>
    </xdr:to>
    <xdr:pic>
      <xdr:nvPicPr>
        <xdr:cNvPr id="3"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6D1A7185-5823-BA4F-BA8A-5CFC154D171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7673626" y="165100"/>
          <a:ext cx="258937" cy="2649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8BDEFC71-F9C2-C648-99F5-EC57A3714CD0}"/>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767C3C26-38D5-E36F-87FA-9714A4D3231C}"/>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25A088E8-0179-A517-562A-F631B6C358B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D287CBF5-6460-F44C-B4BC-47042C7D8292}"/>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A2B733A0-9002-36CA-20B1-D7832B3AD58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B52C688A-0A39-456F-D8C2-AE3F1DA31EE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266700</xdr:colOff>
      <xdr:row>0</xdr:row>
      <xdr:rowOff>88900</xdr:rowOff>
    </xdr:from>
    <xdr:to>
      <xdr:col>19</xdr:col>
      <xdr:colOff>313592</xdr:colOff>
      <xdr:row>2</xdr:row>
      <xdr:rowOff>44653</xdr:rowOff>
    </xdr:to>
    <xdr:grpSp>
      <xdr:nvGrpSpPr>
        <xdr:cNvPr id="2" name="Group 1">
          <a:extLst>
            <a:ext uri="{FF2B5EF4-FFF2-40B4-BE49-F238E27FC236}">
              <a16:creationId xmlns:a16="http://schemas.microsoft.com/office/drawing/2014/main" id="{948A8473-6824-E811-D85A-9A548DAFA38C}"/>
            </a:ext>
          </a:extLst>
        </xdr:cNvPr>
        <xdr:cNvGrpSpPr/>
      </xdr:nvGrpSpPr>
      <xdr:grpSpPr>
        <a:xfrm>
          <a:off x="17653000" y="88900"/>
          <a:ext cx="1697892" cy="285953"/>
          <a:chOff x="13982700" y="88900"/>
          <a:chExt cx="1697892" cy="285953"/>
        </a:xfrm>
      </xdr:grpSpPr>
      <xdr:sp macro="" textlink="Names!BQ2">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3982700" y="895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5"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4071926" y="88900"/>
            <a:ext cx="258937" cy="264917"/>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3F3FC7E7-49DF-8943-A82D-10C299AEBB9E}"/>
            </a:ext>
          </a:extLst>
        </xdr:cNvPr>
        <xdr:cNvGrpSpPr/>
      </xdr:nvGrpSpPr>
      <xdr:grpSpPr>
        <a:xfrm>
          <a:off x="30834685" y="160180"/>
          <a:ext cx="1694459" cy="28103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F0BC99D5-26F0-9B01-CFD9-79A003EA04E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D772D29D-6386-50BE-2E88-EDDD12AE4B4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0</xdr:colOff>
      <xdr:row>1</xdr:row>
      <xdr:rowOff>0</xdr:rowOff>
    </xdr:from>
    <xdr:to>
      <xdr:col>30</xdr:col>
      <xdr:colOff>46892</xdr:colOff>
      <xdr:row>2</xdr:row>
      <xdr:rowOff>120853</xdr:rowOff>
    </xdr:to>
    <xdr:grpSp>
      <xdr:nvGrpSpPr>
        <xdr:cNvPr id="2" name="Group 1">
          <a:extLst>
            <a:ext uri="{FF2B5EF4-FFF2-40B4-BE49-F238E27FC236}">
              <a16:creationId xmlns:a16="http://schemas.microsoft.com/office/drawing/2014/main" id="{6F735581-E643-7F4F-8E7C-CBAF8B09F93F}"/>
            </a:ext>
          </a:extLst>
        </xdr:cNvPr>
        <xdr:cNvGrpSpPr/>
      </xdr:nvGrpSpPr>
      <xdr:grpSpPr>
        <a:xfrm>
          <a:off x="26555700" y="165100"/>
          <a:ext cx="1697892" cy="285953"/>
          <a:chOff x="178562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2E324A7-D696-07CD-3CF4-8C00C36417FF}"/>
              </a:ext>
            </a:extLst>
          </xdr:cNvPr>
          <xdr:cNvSpPr/>
        </xdr:nvSpPr>
        <xdr:spPr>
          <a:xfrm>
            <a:off x="178562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573DB952-F0EE-39D9-E7E1-72C710906B5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45426" y="165100"/>
            <a:ext cx="258937" cy="264917"/>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0</xdr:colOff>
      <xdr:row>1</xdr:row>
      <xdr:rowOff>0</xdr:rowOff>
    </xdr:from>
    <xdr:to>
      <xdr:col>30</xdr:col>
      <xdr:colOff>46892</xdr:colOff>
      <xdr:row>2</xdr:row>
      <xdr:rowOff>120853</xdr:rowOff>
    </xdr:to>
    <xdr:grpSp>
      <xdr:nvGrpSpPr>
        <xdr:cNvPr id="2" name="Group 1">
          <a:extLst>
            <a:ext uri="{FF2B5EF4-FFF2-40B4-BE49-F238E27FC236}">
              <a16:creationId xmlns:a16="http://schemas.microsoft.com/office/drawing/2014/main" id="{2F8B015C-F935-B241-A758-75CCD57EF8D4}"/>
            </a:ext>
          </a:extLst>
        </xdr:cNvPr>
        <xdr:cNvGrpSpPr/>
      </xdr:nvGrpSpPr>
      <xdr:grpSpPr>
        <a:xfrm>
          <a:off x="26543000" y="165100"/>
          <a:ext cx="1697892" cy="285953"/>
          <a:chOff x="178435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E5CF9922-A304-A5FC-1887-B70AA0A044BE}"/>
              </a:ext>
            </a:extLst>
          </xdr:cNvPr>
          <xdr:cNvSpPr/>
        </xdr:nvSpPr>
        <xdr:spPr>
          <a:xfrm>
            <a:off x="17843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74E43132-2A30-7152-840C-558B33E80F4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32726" y="165100"/>
            <a:ext cx="258937" cy="264917"/>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27</xdr:col>
      <xdr:colOff>0</xdr:colOff>
      <xdr:row>1</xdr:row>
      <xdr:rowOff>0</xdr:rowOff>
    </xdr:from>
    <xdr:to>
      <xdr:col>29</xdr:col>
      <xdr:colOff>46892</xdr:colOff>
      <xdr:row>2</xdr:row>
      <xdr:rowOff>120853</xdr:rowOff>
    </xdr:to>
    <xdr:grpSp>
      <xdr:nvGrpSpPr>
        <xdr:cNvPr id="2" name="Group 1">
          <a:extLst>
            <a:ext uri="{FF2B5EF4-FFF2-40B4-BE49-F238E27FC236}">
              <a16:creationId xmlns:a16="http://schemas.microsoft.com/office/drawing/2014/main" id="{BD3D9B96-5812-1448-AA6D-AA1ADEA519AF}"/>
            </a:ext>
          </a:extLst>
        </xdr:cNvPr>
        <xdr:cNvGrpSpPr/>
      </xdr:nvGrpSpPr>
      <xdr:grpSpPr>
        <a:xfrm>
          <a:off x="25717500" y="165100"/>
          <a:ext cx="1697892" cy="285953"/>
          <a:chOff x="17018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7805692F-49D0-2136-A7DF-8189E320429C}"/>
              </a:ext>
            </a:extLst>
          </xdr:cNvPr>
          <xdr:cNvSpPr/>
        </xdr:nvSpPr>
        <xdr:spPr>
          <a:xfrm>
            <a:off x="17018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2FC00DCA-1B9C-F691-C32B-0F3555517FA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107226" y="165100"/>
            <a:ext cx="258937" cy="264917"/>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0</xdr:colOff>
      <xdr:row>1</xdr:row>
      <xdr:rowOff>689</xdr:rowOff>
    </xdr:from>
    <xdr:to>
      <xdr:col>30</xdr:col>
      <xdr:colOff>46892</xdr:colOff>
      <xdr:row>2</xdr:row>
      <xdr:rowOff>120853</xdr:rowOff>
    </xdr:to>
    <xdr:sp macro="" textlink="Names!BQ2">
      <xdr:nvSpPr>
        <xdr:cNvPr id="2" name="Rounded Rectangle 1">
          <a:hlinkClick xmlns:r="http://schemas.openxmlformats.org/officeDocument/2006/relationships" r:id="rId1"/>
          <a:extLst>
            <a:ext uri="{FF2B5EF4-FFF2-40B4-BE49-F238E27FC236}">
              <a16:creationId xmlns:a16="http://schemas.microsoft.com/office/drawing/2014/main" id="{5186A3D0-AB1E-2540-9FAB-156E38263BF4}"/>
            </a:ext>
          </a:extLst>
        </xdr:cNvPr>
        <xdr:cNvSpPr/>
      </xdr:nvSpPr>
      <xdr:spPr>
        <a:xfrm>
          <a:off x="24066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28</xdr:col>
      <xdr:colOff>89226</xdr:colOff>
      <xdr:row>1</xdr:row>
      <xdr:rowOff>0</xdr:rowOff>
    </xdr:from>
    <xdr:to>
      <xdr:col>28</xdr:col>
      <xdr:colOff>348163</xdr:colOff>
      <xdr:row>2</xdr:row>
      <xdr:rowOff>99817</xdr:rowOff>
    </xdr:to>
    <xdr:pic>
      <xdr:nvPicPr>
        <xdr:cNvPr id="3"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1DEBA9FF-0985-1943-94E0-0ED29A28DFD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4155726" y="165100"/>
          <a:ext cx="258937" cy="26491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28</xdr:col>
      <xdr:colOff>0</xdr:colOff>
      <xdr:row>1</xdr:row>
      <xdr:rowOff>0</xdr:rowOff>
    </xdr:from>
    <xdr:to>
      <xdr:col>30</xdr:col>
      <xdr:colOff>46892</xdr:colOff>
      <xdr:row>2</xdr:row>
      <xdr:rowOff>120853</xdr:rowOff>
    </xdr:to>
    <xdr:grpSp>
      <xdr:nvGrpSpPr>
        <xdr:cNvPr id="2" name="Group 1">
          <a:extLst>
            <a:ext uri="{FF2B5EF4-FFF2-40B4-BE49-F238E27FC236}">
              <a16:creationId xmlns:a16="http://schemas.microsoft.com/office/drawing/2014/main" id="{7E3042B5-67BD-B44A-A67E-B05845260AD7}"/>
            </a:ext>
          </a:extLst>
        </xdr:cNvPr>
        <xdr:cNvGrpSpPr/>
      </xdr:nvGrpSpPr>
      <xdr:grpSpPr>
        <a:xfrm>
          <a:off x="26543000" y="165100"/>
          <a:ext cx="1697892" cy="285953"/>
          <a:chOff x="178435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592A64D4-9F8E-6228-0017-07CD94A903CA}"/>
              </a:ext>
            </a:extLst>
          </xdr:cNvPr>
          <xdr:cNvSpPr/>
        </xdr:nvSpPr>
        <xdr:spPr>
          <a:xfrm>
            <a:off x="17843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44E93E50-F11C-BB41-66B7-5BD2894CE63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32726" y="165100"/>
            <a:ext cx="258937" cy="264917"/>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xdr:from>
      <xdr:col>27</xdr:col>
      <xdr:colOff>0</xdr:colOff>
      <xdr:row>1</xdr:row>
      <xdr:rowOff>0</xdr:rowOff>
    </xdr:from>
    <xdr:to>
      <xdr:col>29</xdr:col>
      <xdr:colOff>46892</xdr:colOff>
      <xdr:row>2</xdr:row>
      <xdr:rowOff>120853</xdr:rowOff>
    </xdr:to>
    <xdr:grpSp>
      <xdr:nvGrpSpPr>
        <xdr:cNvPr id="2" name="Group 1">
          <a:extLst>
            <a:ext uri="{FF2B5EF4-FFF2-40B4-BE49-F238E27FC236}">
              <a16:creationId xmlns:a16="http://schemas.microsoft.com/office/drawing/2014/main" id="{14BF3CFA-F63F-D243-BCFB-4ACEDBFEFD66}"/>
            </a:ext>
          </a:extLst>
        </xdr:cNvPr>
        <xdr:cNvGrpSpPr/>
      </xdr:nvGrpSpPr>
      <xdr:grpSpPr>
        <a:xfrm>
          <a:off x="34391600" y="165100"/>
          <a:ext cx="1697892" cy="285953"/>
          <a:chOff x="178435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76514F6-E457-2A12-FD02-F4A86E21EAE5}"/>
              </a:ext>
            </a:extLst>
          </xdr:cNvPr>
          <xdr:cNvSpPr/>
        </xdr:nvSpPr>
        <xdr:spPr>
          <a:xfrm>
            <a:off x="17843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A5F06A07-5F0C-F478-8A07-DD027350915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32726" y="165100"/>
            <a:ext cx="258937" cy="264917"/>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571471</xdr:colOff>
      <xdr:row>69</xdr:row>
      <xdr:rowOff>131773</xdr:rowOff>
    </xdr:from>
    <xdr:to>
      <xdr:col>15</xdr:col>
      <xdr:colOff>0</xdr:colOff>
      <xdr:row>127</xdr:row>
      <xdr:rowOff>20393</xdr:rowOff>
    </xdr:to>
    <xdr:sp macro="" textlink="">
      <xdr:nvSpPr>
        <xdr:cNvPr id="2" name="Rounded Rectangle 1">
          <a:extLst>
            <a:ext uri="{FF2B5EF4-FFF2-40B4-BE49-F238E27FC236}">
              <a16:creationId xmlns:a16="http://schemas.microsoft.com/office/drawing/2014/main" id="{00000000-0008-0000-1400-000002000000}"/>
            </a:ext>
          </a:extLst>
        </xdr:cNvPr>
        <xdr:cNvSpPr/>
      </xdr:nvSpPr>
      <xdr:spPr>
        <a:xfrm>
          <a:off x="1083262" y="9912669"/>
          <a:ext cx="10514526" cy="9783246"/>
        </a:xfrm>
        <a:prstGeom prst="roundRect">
          <a:avLst>
            <a:gd name="adj" fmla="val 2191"/>
          </a:avLst>
        </a:prstGeom>
        <a:noFill/>
        <a:ln w="31750">
          <a:solidFill>
            <a:srgbClr val="FF79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546686</xdr:colOff>
      <xdr:row>2</xdr:row>
      <xdr:rowOff>112751</xdr:rowOff>
    </xdr:from>
    <xdr:to>
      <xdr:col>20</xdr:col>
      <xdr:colOff>53559</xdr:colOff>
      <xdr:row>4</xdr:row>
      <xdr:rowOff>20740</xdr:rowOff>
    </xdr:to>
    <xdr:grpSp>
      <xdr:nvGrpSpPr>
        <xdr:cNvPr id="3" name="Group 2">
          <a:extLst>
            <a:ext uri="{FF2B5EF4-FFF2-40B4-BE49-F238E27FC236}">
              <a16:creationId xmlns:a16="http://schemas.microsoft.com/office/drawing/2014/main" id="{AAB57A62-6309-807B-193E-157CC383DF28}"/>
            </a:ext>
          </a:extLst>
        </xdr:cNvPr>
        <xdr:cNvGrpSpPr/>
      </xdr:nvGrpSpPr>
      <xdr:grpSpPr>
        <a:xfrm>
          <a:off x="0" y="407391"/>
          <a:ext cx="0" cy="294069"/>
          <a:chOff x="20616333" y="342900"/>
          <a:chExt cx="1816426" cy="290187"/>
        </a:xfrm>
      </xdr:grpSpPr>
      <xdr:sp macro="" textlink="Names!BQ2">
        <xdr:nvSpPr>
          <xdr:cNvPr id="21" name="Rounded Rectangle 20">
            <a:hlinkClick xmlns:r="http://schemas.openxmlformats.org/officeDocument/2006/relationships" r:id="rId1"/>
            <a:extLst>
              <a:ext uri="{FF2B5EF4-FFF2-40B4-BE49-F238E27FC236}">
                <a16:creationId xmlns:a16="http://schemas.microsoft.com/office/drawing/2014/main" id="{00000000-0008-0000-1400-000015000000}"/>
              </a:ext>
            </a:extLst>
          </xdr:cNvPr>
          <xdr:cNvSpPr/>
        </xdr:nvSpPr>
        <xdr:spPr>
          <a:xfrm>
            <a:off x="20616333" y="343599"/>
            <a:ext cx="1816426" cy="289488"/>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22"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1400-00001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711788" y="342900"/>
            <a:ext cx="277014" cy="268840"/>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35109</xdr:colOff>
      <xdr:row>3</xdr:row>
      <xdr:rowOff>127000</xdr:rowOff>
    </xdr:from>
    <xdr:to>
      <xdr:col>14</xdr:col>
      <xdr:colOff>749300</xdr:colOff>
      <xdr:row>33</xdr:row>
      <xdr:rowOff>101600</xdr:rowOff>
    </xdr:to>
    <xdr:sp macro="" textlink="">
      <xdr:nvSpPr>
        <xdr:cNvPr id="2" name="CaixaDeTexto 6">
          <a:extLst>
            <a:ext uri="{FF2B5EF4-FFF2-40B4-BE49-F238E27FC236}">
              <a16:creationId xmlns:a16="http://schemas.microsoft.com/office/drawing/2014/main" id="{00000000-0008-0000-1500-000002000000}"/>
            </a:ext>
          </a:extLst>
        </xdr:cNvPr>
        <xdr:cNvSpPr txBox="1"/>
      </xdr:nvSpPr>
      <xdr:spPr>
        <a:xfrm>
          <a:off x="4988109" y="698500"/>
          <a:ext cx="7318191" cy="5588000"/>
        </a:xfrm>
        <a:prstGeom prst="rect">
          <a:avLst/>
        </a:prstGeom>
        <a:noFill/>
      </xdr:spPr>
      <xdr:txBody>
        <a:bodyPr wrap="square" rtlCol="0">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algn="just"/>
          <a:r>
            <a:rPr lang="pt-BR" sz="1100" dirty="0">
              <a:latin typeface="Arial" panose="020B0604020202020204" pitchFamily="34" charset="0"/>
              <a:ea typeface="Inter Light BETA" panose="020B0402030000000004" pitchFamily="34" charset="0"/>
              <a:cs typeface="Arial" panose="020B0604020202020204" pitchFamily="34" charset="0"/>
            </a:rPr>
            <a:t>Os números de nossas principais métricas (Unit </a:t>
          </a:r>
          <a:r>
            <a:rPr lang="pt-BR" sz="1100" dirty="0" err="1">
              <a:latin typeface="Arial" panose="020B0604020202020204" pitchFamily="34" charset="0"/>
              <a:ea typeface="Inter Light BETA" panose="020B0402030000000004" pitchFamily="34" charset="0"/>
              <a:cs typeface="Arial" panose="020B0604020202020204" pitchFamily="34" charset="0"/>
            </a:rPr>
            <a:t>Economics</a:t>
          </a:r>
          <a:r>
            <a:rPr lang="pt-BR" sz="1100" dirty="0">
              <a:latin typeface="Arial" panose="020B0604020202020204" pitchFamily="34" charset="0"/>
              <a:ea typeface="Inter Light BETA" panose="020B0402030000000004" pitchFamily="34" charset="0"/>
              <a:cs typeface="Arial" panose="020B0604020202020204" pitchFamily="34" charset="0"/>
            </a:rPr>
            <a:t>), que incluem usuários ativos, como receita média por cliente ativo (ARPAC) e custo para servir (CTS), são calculados usando os dados internos da Inter. Embora acreditemos que essas métricas sejam baseadas em estimativas razoáveis, existem desafios inerentes à medição do uso de nossos negócios. Além disso, buscamos continuamente melhorar nossas estimativas, que podem mudar devido a melhorias ou mudanças na metodologia, nos processos de cálculo dessas métricas e, de tempos em tempos, podemos descobrir imprecisões e fazer ajustes para melhorar a precisão, incluindo ajustes que podem resultar no recálculo de nossas métricas históricas. </a:t>
          </a: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b="1" dirty="0">
              <a:solidFill>
                <a:srgbClr val="FF7A00"/>
              </a:solidFill>
              <a:latin typeface="Arial" panose="020B0604020202020204" pitchFamily="34" charset="0"/>
              <a:ea typeface="Inter Light BETA" panose="020B0402030000000004" pitchFamily="34" charset="0"/>
              <a:cs typeface="Arial" panose="020B0604020202020204" pitchFamily="34" charset="0"/>
            </a:rPr>
            <a:t>Sobre Medidas Financeiras Não-IFRS </a:t>
          </a:r>
        </a:p>
        <a:p>
          <a:pPr algn="just"/>
          <a:r>
            <a:rPr lang="pt-BR" sz="1100" b="1" dirty="0">
              <a:latin typeface="Arial" panose="020B0604020202020204" pitchFamily="34" charset="0"/>
              <a:ea typeface="Inter Light BETA" panose="020B0402030000000004" pitchFamily="34" charset="0"/>
              <a:cs typeface="Arial" panose="020B0604020202020204" pitchFamily="34" charset="0"/>
            </a:rPr>
            <a:t> </a:t>
          </a:r>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dirty="0">
              <a:latin typeface="Arial" panose="020B0604020202020204" pitchFamily="34" charset="0"/>
              <a:ea typeface="Inter Light BETA" panose="020B0402030000000004" pitchFamily="34" charset="0"/>
              <a:cs typeface="Arial" panose="020B0604020202020204" pitchFamily="34" charset="0"/>
            </a:rPr>
            <a:t>Para complementar as medidas financeiras apresentadas neste comunicado de imprensa e na teleconferência, apresentação ou webcast relacionados de acordo com o IFRS, 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também apresenta medidas não IFRS de desempenho financeiro, conforme destacado ao longo dos documentos. As Medidas Financeiras não IFRS incluem, entre outras: Resultado Líquido Ajustado, Custo de Serviço, Custo de </a:t>
          </a:r>
          <a:r>
            <a:rPr lang="pt-BR" sz="1100" dirty="0" err="1">
              <a:latin typeface="Arial" panose="020B0604020202020204" pitchFamily="34" charset="0"/>
              <a:ea typeface="Inter Light BETA" panose="020B0402030000000004" pitchFamily="34" charset="0"/>
              <a:cs typeface="Arial" panose="020B0604020202020204" pitchFamily="34" charset="0"/>
            </a:rPr>
            <a:t>Funding</a:t>
          </a:r>
          <a:r>
            <a:rPr lang="pt-BR" sz="1100" dirty="0">
              <a:latin typeface="Arial" panose="020B0604020202020204" pitchFamily="34" charset="0"/>
              <a:ea typeface="Inter Light BETA" panose="020B0402030000000004" pitchFamily="34" charset="0"/>
              <a:cs typeface="Arial" panose="020B0604020202020204" pitchFamily="34" charset="0"/>
            </a:rPr>
            <a:t>, Índice de Eficiência, Originação, NPL &gt; 90 dias, NPL 15 a 90 dias, NPL e Formação da Fase 3, </a:t>
          </a:r>
          <a:r>
            <a:rPr lang="pt-BR" sz="1100" dirty="0" err="1">
              <a:latin typeface="Arial" panose="020B0604020202020204" pitchFamily="34" charset="0"/>
              <a:ea typeface="Inter Light BETA" panose="020B0402030000000004" pitchFamily="34" charset="0"/>
              <a:cs typeface="Arial" panose="020B0604020202020204" pitchFamily="34" charset="0"/>
            </a:rPr>
            <a:t>Cost</a:t>
          </a:r>
          <a:r>
            <a:rPr lang="pt-BR" sz="1100" dirty="0">
              <a:latin typeface="Arial" panose="020B0604020202020204" pitchFamily="34" charset="0"/>
              <a:ea typeface="Inter Light BETA" panose="020B0402030000000004" pitchFamily="34" charset="0"/>
              <a:cs typeface="Arial" panose="020B0604020202020204" pitchFamily="34" charset="0"/>
            </a:rPr>
            <a:t> </a:t>
          </a:r>
          <a:r>
            <a:rPr lang="pt-BR" sz="1100" dirty="0" err="1">
              <a:latin typeface="Arial" panose="020B0604020202020204" pitchFamily="34" charset="0"/>
              <a:ea typeface="Inter Light BETA" panose="020B0402030000000004" pitchFamily="34" charset="0"/>
              <a:cs typeface="Arial" panose="020B0604020202020204" pitchFamily="34" charset="0"/>
            </a:rPr>
            <a:t>of</a:t>
          </a:r>
          <a:r>
            <a:rPr lang="pt-BR" sz="1100" dirty="0">
              <a:latin typeface="Arial" panose="020B0604020202020204" pitchFamily="34" charset="0"/>
              <a:ea typeface="Inter Light BETA" panose="020B0402030000000004" pitchFamily="34" charset="0"/>
              <a:cs typeface="Arial" panose="020B0604020202020204" pitchFamily="34" charset="0"/>
            </a:rPr>
            <a:t> Risk, índice de Cobertura, </a:t>
          </a:r>
          <a:r>
            <a:rPr lang="pt-BR" sz="1100" dirty="0" err="1">
              <a:latin typeface="Arial" panose="020B0604020202020204" pitchFamily="34" charset="0"/>
              <a:ea typeface="Inter Light BETA" panose="020B0402030000000004" pitchFamily="34" charset="0"/>
              <a:cs typeface="Arial" panose="020B0604020202020204" pitchFamily="34" charset="0"/>
            </a:rPr>
            <a:t>Funding</a:t>
          </a:r>
          <a:r>
            <a:rPr lang="pt-BR" sz="1100" dirty="0">
              <a:latin typeface="Arial" panose="020B0604020202020204" pitchFamily="34" charset="0"/>
              <a:ea typeface="Inter Light BETA" panose="020B0402030000000004" pitchFamily="34" charset="0"/>
              <a:cs typeface="Arial" panose="020B0604020202020204" pitchFamily="34" charset="0"/>
            </a:rPr>
            <a:t>, Custo de </a:t>
          </a:r>
          <a:r>
            <a:rPr lang="pt-BR" sz="1100" dirty="0" err="1">
              <a:latin typeface="Arial" panose="020B0604020202020204" pitchFamily="34" charset="0"/>
              <a:ea typeface="Inter Light BETA" panose="020B0402030000000004" pitchFamily="34" charset="0"/>
              <a:cs typeface="Arial" panose="020B0604020202020204" pitchFamily="34" charset="0"/>
            </a:rPr>
            <a:t>Funding</a:t>
          </a:r>
          <a:r>
            <a:rPr lang="pt-BR" sz="1100" dirty="0">
              <a:latin typeface="Arial" panose="020B0604020202020204" pitchFamily="34" charset="0"/>
              <a:ea typeface="Inter Light BETA" panose="020B0402030000000004" pitchFamily="34" charset="0"/>
              <a:cs typeface="Arial" panose="020B0604020202020204" pitchFamily="34" charset="0"/>
            </a:rPr>
            <a:t>, Volume Bruto de Mercadorias (GMV), Prêmios, Entradas Líquidas, Depósitos e Investimentos de Serviços Globais, </a:t>
          </a:r>
          <a:r>
            <a:rPr lang="pt-BR" sz="1100" dirty="0" err="1">
              <a:latin typeface="Arial" panose="020B0604020202020204" pitchFamily="34" charset="0"/>
              <a:ea typeface="Inter Light BETA" panose="020B0402030000000004" pitchFamily="34" charset="0"/>
              <a:cs typeface="Arial" panose="020B0604020202020204" pitchFamily="34" charset="0"/>
            </a:rPr>
            <a:t>Fee</a:t>
          </a:r>
          <a:r>
            <a:rPr lang="pt-BR" sz="1100" dirty="0">
              <a:latin typeface="Arial" panose="020B0604020202020204" pitchFamily="34" charset="0"/>
              <a:ea typeface="Inter Light BETA" panose="020B0402030000000004" pitchFamily="34" charset="0"/>
              <a:cs typeface="Arial" panose="020B0604020202020204" pitchFamily="34" charset="0"/>
            </a:rPr>
            <a:t> Income </a:t>
          </a:r>
          <a:r>
            <a:rPr lang="pt-BR" sz="1100" dirty="0" err="1">
              <a:latin typeface="Arial" panose="020B0604020202020204" pitchFamily="34" charset="0"/>
              <a:ea typeface="Inter Light BETA" panose="020B0402030000000004" pitchFamily="34" charset="0"/>
              <a:cs typeface="Arial" panose="020B0604020202020204" pitchFamily="34" charset="0"/>
            </a:rPr>
            <a:t>Ratio</a:t>
          </a:r>
          <a:r>
            <a:rPr lang="pt-BR" sz="1100" dirty="0">
              <a:latin typeface="Arial" panose="020B0604020202020204" pitchFamily="34" charset="0"/>
              <a:ea typeface="Inter Light BETA" panose="020B0402030000000004" pitchFamily="34" charset="0"/>
              <a:cs typeface="Arial" panose="020B0604020202020204" pitchFamily="34" charset="0"/>
            </a:rPr>
            <a:t>,  Custo de Aquisição de Clientes, Cartões + PIX TPV, ARPAC Bruto, ARPAC Líquido, NIM Marginal 1.0, NIM Marginal 2.0, Margem de Juros Líquida IEP + Non-int. CC Recebíveis (1.0), Margem Líquida de Juros IEP (2.0), </a:t>
          </a:r>
          <a:r>
            <a:rPr lang="pt-BR" sz="1100" dirty="0" err="1">
              <a:latin typeface="Arial" panose="020B0604020202020204" pitchFamily="34" charset="0"/>
              <a:ea typeface="Inter Light BETA" panose="020B0402030000000004" pitchFamily="34" charset="0"/>
              <a:cs typeface="Arial" panose="020B0604020202020204" pitchFamily="34" charset="0"/>
            </a:rPr>
            <a:t>Custo</a:t>
          </a:r>
          <a:r>
            <a:rPr lang="pt-BR" sz="1100" baseline="0" dirty="0" err="1">
              <a:latin typeface="Arial" panose="020B0604020202020204" pitchFamily="34" charset="0"/>
              <a:ea typeface="Inter Light BETA" panose="020B0402030000000004" pitchFamily="34" charset="0"/>
              <a:cs typeface="Arial" panose="020B0604020202020204" pitchFamily="34" charset="0"/>
            </a:rPr>
            <a:t> de Servir. </a:t>
          </a: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dirty="0">
              <a:latin typeface="Arial" panose="020B0604020202020204" pitchFamily="34" charset="0"/>
              <a:ea typeface="Inter Light BETA" panose="020B0402030000000004" pitchFamily="34" charset="0"/>
              <a:cs typeface="Arial" panose="020B0604020202020204" pitchFamily="34" charset="0"/>
            </a:rPr>
            <a:t>Uma "medida financeira não IFRS" refere-se a uma medida numérica da posição histórica ou financeira da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que exclui ou inclui montantes que normalmente não são excluídos ou incluídos na medida mais diretamente comparável calculada e apresentada de acordo com o IFRS nas demonstrações financeiras da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a:t>
          </a: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dirty="0">
              <a:latin typeface="Arial" panose="020B0604020202020204" pitchFamily="34" charset="0"/>
              <a:ea typeface="Inter Light BETA" panose="020B0402030000000004" pitchFamily="34" charset="0"/>
              <a:cs typeface="Arial" panose="020B0604020202020204" pitchFamily="34" charset="0"/>
            </a:rPr>
            <a:t>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fornece certas medidas não-IFRS como informações adicionais relacionadas aos seus resultados operacionais como complemento aos resultados fornecidos de acordo com o IFRS. As informações financeiras não IFRS aqui apresentadas devem ser consideradas em conjunto com, e não como um substituto ou superior a, as informações financeiras apresentadas de acordo com o IFRS. Existem limitações significativas associadas ao uso de medidas financeiras não IFRS. Além disso, estas medidas podem diferir das informações não IFRS, mesmo quando com títulos semelhantes, utilizadas por outras empresas e, por conseguinte, não devem ser utilizadas para comparar o desempenho da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com o de outras empresas.</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Arial" panose="020B0604020202020204" pitchFamily="34" charset="0"/>
            <a:ea typeface="Inter Light BETA" panose="020B04020300000000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Arial" panose="020B0604020202020204" pitchFamily="34" charset="0"/>
            <a:ea typeface="Inter Light BETA" panose="020B04020300000000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Arial" panose="020B0604020202020204" pitchFamily="34" charset="0"/>
            <a:ea typeface="Inter Light BETA" panose="020B0402030000000004" pitchFamily="34" charset="0"/>
            <a:cs typeface="Arial" panose="020B0604020202020204" pitchFamily="34" charset="0"/>
          </a:endParaRPr>
        </a:p>
      </xdr:txBody>
    </xdr:sp>
    <xdr:clientData/>
  </xdr:twoCellAnchor>
  <xdr:twoCellAnchor>
    <xdr:from>
      <xdr:col>0</xdr:col>
      <xdr:colOff>0</xdr:colOff>
      <xdr:row>1</xdr:row>
      <xdr:rowOff>120601</xdr:rowOff>
    </xdr:from>
    <xdr:to>
      <xdr:col>5</xdr:col>
      <xdr:colOff>375697</xdr:colOff>
      <xdr:row>4</xdr:row>
      <xdr:rowOff>180882</xdr:rowOff>
    </xdr:to>
    <xdr:sp macro="" textlink="">
      <xdr:nvSpPr>
        <xdr:cNvPr id="3" name="Rounded Rectangle 2">
          <a:extLst>
            <a:ext uri="{FF2B5EF4-FFF2-40B4-BE49-F238E27FC236}">
              <a16:creationId xmlns:a16="http://schemas.microsoft.com/office/drawing/2014/main" id="{00000000-0008-0000-1500-000003000000}"/>
            </a:ext>
          </a:extLst>
        </xdr:cNvPr>
        <xdr:cNvSpPr/>
      </xdr:nvSpPr>
      <xdr:spPr>
        <a:xfrm>
          <a:off x="0" y="311101"/>
          <a:ext cx="4503197" cy="631781"/>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lvl="0">
            <a:defRPr lang="pt-BR"/>
          </a:defPPr>
          <a:lvl1pPr marL="0" lvl="0" algn="l" defTabSz="914400" rtl="0" eaLnBrk="1" latinLnBrk="0" hangingPunct="1">
            <a:defRPr sz="1800" kern="1200">
              <a:solidFill>
                <a:schemeClr val="lt1"/>
              </a:solidFill>
              <a:latin typeface="+mn-lt"/>
              <a:ea typeface="+mn-ea"/>
              <a:cs typeface="+mn-cs"/>
            </a:defRPr>
          </a:lvl1pPr>
          <a:lvl2pPr marL="457200" lvl="1" algn="l" defTabSz="914400" rtl="0" eaLnBrk="1" latinLnBrk="0" hangingPunct="1">
            <a:defRPr sz="1800" kern="1200">
              <a:solidFill>
                <a:schemeClr val="lt1"/>
              </a:solidFill>
              <a:latin typeface="+mn-lt"/>
              <a:ea typeface="+mn-ea"/>
              <a:cs typeface="+mn-cs"/>
            </a:defRPr>
          </a:lvl2pPr>
          <a:lvl3pPr marL="914400" lvl="2" algn="l" defTabSz="914400" rtl="0" eaLnBrk="1" latinLnBrk="0" hangingPunct="1">
            <a:defRPr sz="1800" kern="1200">
              <a:solidFill>
                <a:schemeClr val="lt1"/>
              </a:solidFill>
              <a:latin typeface="+mn-lt"/>
              <a:ea typeface="+mn-ea"/>
              <a:cs typeface="+mn-cs"/>
            </a:defRPr>
          </a:lvl3pPr>
          <a:lvl4pPr marL="1371600" lvl="3" algn="l" defTabSz="914400" rtl="0" eaLnBrk="1" latinLnBrk="0" hangingPunct="1">
            <a:defRPr sz="1800" kern="1200">
              <a:solidFill>
                <a:schemeClr val="lt1"/>
              </a:solidFill>
              <a:latin typeface="+mn-lt"/>
              <a:ea typeface="+mn-ea"/>
              <a:cs typeface="+mn-cs"/>
            </a:defRPr>
          </a:lvl4pPr>
          <a:lvl5pPr marL="1828800" lvl="4" algn="l" defTabSz="914400" rtl="0" eaLnBrk="1" latinLnBrk="0" hangingPunct="1">
            <a:defRPr sz="1800" kern="1200">
              <a:solidFill>
                <a:schemeClr val="lt1"/>
              </a:solidFill>
              <a:latin typeface="+mn-lt"/>
              <a:ea typeface="+mn-ea"/>
              <a:cs typeface="+mn-cs"/>
            </a:defRPr>
          </a:lvl5pPr>
          <a:lvl6pPr marL="2286000" lvl="5" algn="l" defTabSz="914400" rtl="0" eaLnBrk="1" latinLnBrk="0" hangingPunct="1">
            <a:defRPr sz="1800" kern="1200">
              <a:solidFill>
                <a:schemeClr val="lt1"/>
              </a:solidFill>
              <a:latin typeface="+mn-lt"/>
              <a:ea typeface="+mn-ea"/>
              <a:cs typeface="+mn-cs"/>
            </a:defRPr>
          </a:lvl6pPr>
          <a:lvl7pPr marL="2743200" lvl="6" algn="l" defTabSz="914400" rtl="0" eaLnBrk="1" latinLnBrk="0" hangingPunct="1">
            <a:defRPr sz="1800" kern="1200">
              <a:solidFill>
                <a:schemeClr val="lt1"/>
              </a:solidFill>
              <a:latin typeface="+mn-lt"/>
              <a:ea typeface="+mn-ea"/>
              <a:cs typeface="+mn-cs"/>
            </a:defRPr>
          </a:lvl7pPr>
          <a:lvl8pPr marL="3200400" lvl="7" algn="l" defTabSz="914400" rtl="0" eaLnBrk="1" latinLnBrk="0" hangingPunct="1">
            <a:defRPr sz="1800" kern="1200">
              <a:solidFill>
                <a:schemeClr val="lt1"/>
              </a:solidFill>
              <a:latin typeface="+mn-lt"/>
              <a:ea typeface="+mn-ea"/>
              <a:cs typeface="+mn-cs"/>
            </a:defRPr>
          </a:lvl8pPr>
          <a:lvl9pPr marL="3657600" lvl="8" algn="l" defTabSz="914400" rtl="0" eaLnBrk="1" latinLnBrk="0" hangingPunct="1">
            <a:defRPr sz="1800" kern="1200">
              <a:solidFill>
                <a:schemeClr val="lt1"/>
              </a:solidFill>
              <a:latin typeface="+mn-lt"/>
              <a:ea typeface="+mn-ea"/>
              <a:cs typeface="+mn-cs"/>
            </a:defRPr>
          </a:lvl9pPr>
        </a:lstStyle>
        <a:p>
          <a:pPr algn="r"/>
          <a:r>
            <a:rPr lang="en-US" sz="4000" b="1">
              <a:solidFill>
                <a:srgbClr val="FF7A00"/>
              </a:solidFill>
              <a:latin typeface="Calibri" panose="020F0502020204030204" pitchFamily="34" charset="0"/>
              <a:cs typeface="Calibri" panose="020F0502020204030204" pitchFamily="34" charset="0"/>
            </a:rPr>
            <a:t>Disclaimer</a:t>
          </a:r>
        </a:p>
      </xdr:txBody>
    </xdr:sp>
    <xdr:clientData/>
  </xdr:twoCellAnchor>
  <xdr:twoCellAnchor editAs="oneCell">
    <xdr:from>
      <xdr:col>0</xdr:col>
      <xdr:colOff>180112</xdr:colOff>
      <xdr:row>6</xdr:row>
      <xdr:rowOff>55393</xdr:rowOff>
    </xdr:from>
    <xdr:to>
      <xdr:col>5</xdr:col>
      <xdr:colOff>476688</xdr:colOff>
      <xdr:row>31</xdr:row>
      <xdr:rowOff>36164</xdr:rowOff>
    </xdr:to>
    <xdr:pic>
      <xdr:nvPicPr>
        <xdr:cNvPr id="4" name="Picture 3" descr="A person sitting on an orange chair with a computer&#10;&#10;Description automatically generated with medium confidence">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80112" y="1198393"/>
          <a:ext cx="4424076" cy="4743271"/>
        </a:xfrm>
        <a:prstGeom prst="roundRect">
          <a:avLst/>
        </a:prstGeom>
      </xdr:spPr>
    </xdr:pic>
    <xdr:clientData/>
  </xdr:twoCellAnchor>
  <xdr:twoCellAnchor>
    <xdr:from>
      <xdr:col>21</xdr:col>
      <xdr:colOff>502140</xdr:colOff>
      <xdr:row>4</xdr:row>
      <xdr:rowOff>18689</xdr:rowOff>
    </xdr:from>
    <xdr:to>
      <xdr:col>30</xdr:col>
      <xdr:colOff>446138</xdr:colOff>
      <xdr:row>34</xdr:row>
      <xdr:rowOff>76043</xdr:rowOff>
    </xdr:to>
    <xdr:sp macro="" textlink="">
      <xdr:nvSpPr>
        <xdr:cNvPr id="5" name="CaixaDeTexto 6">
          <a:extLst>
            <a:ext uri="{FF2B5EF4-FFF2-40B4-BE49-F238E27FC236}">
              <a16:creationId xmlns:a16="http://schemas.microsoft.com/office/drawing/2014/main" id="{00000000-0008-0000-1500-000005000000}"/>
            </a:ext>
          </a:extLst>
        </xdr:cNvPr>
        <xdr:cNvSpPr txBox="1"/>
      </xdr:nvSpPr>
      <xdr:spPr>
        <a:xfrm>
          <a:off x="17708592" y="756108"/>
          <a:ext cx="7318191" cy="5588000"/>
        </a:xfrm>
        <a:prstGeom prst="rect">
          <a:avLst/>
        </a:prstGeom>
        <a:noFill/>
      </xdr:spPr>
      <xdr:txBody>
        <a:bodyPr wrap="square" rtlCol="0">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The numbers for our key metrics (Unit Economics), which include active users, as average revenue per active client (ARPAC), cost to serve (CTS), are calculated using Inter’s internal data. Although we believe these metrics are based on reasonable estimates, there are challenges inherent in measuring the use of our business. In addition, we continually seek to improve our estimates, which may change due to improvements or changes in methodology, in processes for calculating these metrics and, from time to time, we may discover inaccuracies and make adjustments to improve accuracy, including adjustments that may result in recalculating our historical metrics.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1200" cap="none" spc="0" normalizeH="0" baseline="0">
              <a:ln>
                <a:noFill/>
              </a:ln>
              <a:solidFill>
                <a:srgbClr val="FF7A00"/>
              </a:solidFill>
              <a:effectLst/>
              <a:uLnTx/>
              <a:uFillTx/>
              <a:latin typeface="Calibri" panose="020F0502020204030204" pitchFamily="34" charset="0"/>
              <a:ea typeface="Inter Light BETA" panose="020B0402030000000004" pitchFamily="34" charset="0"/>
              <a:cs typeface="Calibri" panose="020F0502020204030204" pitchFamily="34" charset="0"/>
            </a:rPr>
            <a:t>About Non-IFRS Financial Measures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To supplement the financial measures presented in this press release and related conference call, presentation, or webcast in accordance with IFRS, Inter&amp;Co also presents non-IFRS measures of financial performance, as highlighted throughout the documents. The non-IFRS Financial Measures include, among others: Adjusted Net Income, Cost to Serve, Cost of Funding, Efficiency Ratio, Underwriting, NPL &gt; 90 days, NPL 15 to 90 days, NPL and Stage 3 Formation, Cost of Risk, Coverage Ratio, Funding, All-in Cost of Funding, Gross Merchandise Volume (GMV), Premiums, Net Inflows, Global Services Deposits and Investments, Fee Income Ratio, Client Acquisition Cost, Cards+PIX TPV, Gross ARPAC, Net ARPAC, Marginal NIM 1.0, Marginal NIM 2.0, Net Interest Margin IEP + Non-int. CC Receivables (1.0), Net Interest Margin IEP (2.0), Cost-to-Serve.</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A “non-IFRS financial measure” refers to a numerical measure of Inter&amp;Co’s historical or financial position that either excludes or includes amounts that are not normally excluded or included in the most directly comparable measure calculated and presented in accordance with IFRS in Inter&amp;Co’s financial statements.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Inter&amp;Co provides certain non-IFRS measures as additional information relating to its operating results as a complement to results provided in accordance with IFRS. The non-IFRS financial information presented herein should be considered together with, and not as a substitute for or superior to, the financial information presented in accordance with IFRS. There are significant limitations associated with the use of non-IFRS financial measures. Further, these measures may differ from the non-IFRS information, even where similarly titled, used by other companies and therefore should not be used to compare Inter&amp;Co’s performance to that of other companies.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xdr:txBody>
    </xdr:sp>
    <xdr:clientData/>
  </xdr:twoCellAnchor>
  <xdr:twoCellAnchor>
    <xdr:from>
      <xdr:col>15</xdr:col>
      <xdr:colOff>430160</xdr:colOff>
      <xdr:row>2</xdr:row>
      <xdr:rowOff>-1</xdr:rowOff>
    </xdr:from>
    <xdr:to>
      <xdr:col>21</xdr:col>
      <xdr:colOff>17228</xdr:colOff>
      <xdr:row>5</xdr:row>
      <xdr:rowOff>78716</xdr:rowOff>
    </xdr:to>
    <xdr:sp macro="" textlink="">
      <xdr:nvSpPr>
        <xdr:cNvPr id="6" name="Rounded Rectangle 5">
          <a:extLst>
            <a:ext uri="{FF2B5EF4-FFF2-40B4-BE49-F238E27FC236}">
              <a16:creationId xmlns:a16="http://schemas.microsoft.com/office/drawing/2014/main" id="{00000000-0008-0000-1500-000006000000}"/>
            </a:ext>
          </a:extLst>
        </xdr:cNvPr>
        <xdr:cNvSpPr/>
      </xdr:nvSpPr>
      <xdr:spPr>
        <a:xfrm>
          <a:off x="12720483" y="368709"/>
          <a:ext cx="4503197" cy="631781"/>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lvl="0">
            <a:defRPr lang="pt-BR"/>
          </a:defPPr>
          <a:lvl1pPr marL="0" lvl="0" algn="l" defTabSz="914400" rtl="0" eaLnBrk="1" latinLnBrk="0" hangingPunct="1">
            <a:defRPr sz="1800" kern="1200">
              <a:solidFill>
                <a:schemeClr val="lt1"/>
              </a:solidFill>
              <a:latin typeface="+mn-lt"/>
              <a:ea typeface="+mn-ea"/>
              <a:cs typeface="+mn-cs"/>
            </a:defRPr>
          </a:lvl1pPr>
          <a:lvl2pPr marL="457200" lvl="1" algn="l" defTabSz="914400" rtl="0" eaLnBrk="1" latinLnBrk="0" hangingPunct="1">
            <a:defRPr sz="1800" kern="1200">
              <a:solidFill>
                <a:schemeClr val="lt1"/>
              </a:solidFill>
              <a:latin typeface="+mn-lt"/>
              <a:ea typeface="+mn-ea"/>
              <a:cs typeface="+mn-cs"/>
            </a:defRPr>
          </a:lvl2pPr>
          <a:lvl3pPr marL="914400" lvl="2" algn="l" defTabSz="914400" rtl="0" eaLnBrk="1" latinLnBrk="0" hangingPunct="1">
            <a:defRPr sz="1800" kern="1200">
              <a:solidFill>
                <a:schemeClr val="lt1"/>
              </a:solidFill>
              <a:latin typeface="+mn-lt"/>
              <a:ea typeface="+mn-ea"/>
              <a:cs typeface="+mn-cs"/>
            </a:defRPr>
          </a:lvl3pPr>
          <a:lvl4pPr marL="1371600" lvl="3" algn="l" defTabSz="914400" rtl="0" eaLnBrk="1" latinLnBrk="0" hangingPunct="1">
            <a:defRPr sz="1800" kern="1200">
              <a:solidFill>
                <a:schemeClr val="lt1"/>
              </a:solidFill>
              <a:latin typeface="+mn-lt"/>
              <a:ea typeface="+mn-ea"/>
              <a:cs typeface="+mn-cs"/>
            </a:defRPr>
          </a:lvl4pPr>
          <a:lvl5pPr marL="1828800" lvl="4" algn="l" defTabSz="914400" rtl="0" eaLnBrk="1" latinLnBrk="0" hangingPunct="1">
            <a:defRPr sz="1800" kern="1200">
              <a:solidFill>
                <a:schemeClr val="lt1"/>
              </a:solidFill>
              <a:latin typeface="+mn-lt"/>
              <a:ea typeface="+mn-ea"/>
              <a:cs typeface="+mn-cs"/>
            </a:defRPr>
          </a:lvl5pPr>
          <a:lvl6pPr marL="2286000" lvl="5" algn="l" defTabSz="914400" rtl="0" eaLnBrk="1" latinLnBrk="0" hangingPunct="1">
            <a:defRPr sz="1800" kern="1200">
              <a:solidFill>
                <a:schemeClr val="lt1"/>
              </a:solidFill>
              <a:latin typeface="+mn-lt"/>
              <a:ea typeface="+mn-ea"/>
              <a:cs typeface="+mn-cs"/>
            </a:defRPr>
          </a:lvl6pPr>
          <a:lvl7pPr marL="2743200" lvl="6" algn="l" defTabSz="914400" rtl="0" eaLnBrk="1" latinLnBrk="0" hangingPunct="1">
            <a:defRPr sz="1800" kern="1200">
              <a:solidFill>
                <a:schemeClr val="lt1"/>
              </a:solidFill>
              <a:latin typeface="+mn-lt"/>
              <a:ea typeface="+mn-ea"/>
              <a:cs typeface="+mn-cs"/>
            </a:defRPr>
          </a:lvl7pPr>
          <a:lvl8pPr marL="3200400" lvl="7" algn="l" defTabSz="914400" rtl="0" eaLnBrk="1" latinLnBrk="0" hangingPunct="1">
            <a:defRPr sz="1800" kern="1200">
              <a:solidFill>
                <a:schemeClr val="lt1"/>
              </a:solidFill>
              <a:latin typeface="+mn-lt"/>
              <a:ea typeface="+mn-ea"/>
              <a:cs typeface="+mn-cs"/>
            </a:defRPr>
          </a:lvl8pPr>
          <a:lvl9pPr marL="3657600" lvl="8" algn="l" defTabSz="914400" rtl="0" eaLnBrk="1" latinLnBrk="0" hangingPunct="1">
            <a:defRPr sz="1800" kern="1200">
              <a:solidFill>
                <a:schemeClr val="lt1"/>
              </a:solidFill>
              <a:latin typeface="+mn-lt"/>
              <a:ea typeface="+mn-ea"/>
              <a:cs typeface="+mn-cs"/>
            </a:defRPr>
          </a:lvl9pPr>
        </a:lstStyle>
        <a:p>
          <a:pPr algn="r"/>
          <a:r>
            <a:rPr lang="en-US" sz="4000" b="1">
              <a:solidFill>
                <a:srgbClr val="FF7A00"/>
              </a:solidFill>
              <a:latin typeface="Calibri" panose="020F0502020204030204" pitchFamily="34" charset="0"/>
              <a:cs typeface="Calibri" panose="020F0502020204030204" pitchFamily="34" charset="0"/>
            </a:rPr>
            <a:t>Disclaimer</a:t>
          </a:r>
        </a:p>
      </xdr:txBody>
    </xdr:sp>
    <xdr:clientData/>
  </xdr:twoCellAnchor>
  <xdr:twoCellAnchor editAs="oneCell">
    <xdr:from>
      <xdr:col>15</xdr:col>
      <xdr:colOff>610272</xdr:colOff>
      <xdr:row>6</xdr:row>
      <xdr:rowOff>149872</xdr:rowOff>
    </xdr:from>
    <xdr:to>
      <xdr:col>21</xdr:col>
      <xdr:colOff>118219</xdr:colOff>
      <xdr:row>32</xdr:row>
      <xdr:rowOff>99917</xdr:rowOff>
    </xdr:to>
    <xdr:pic>
      <xdr:nvPicPr>
        <xdr:cNvPr id="7" name="Picture 6" descr="A person sitting on an orange chair with a computer&#10;&#10;Description automatically generated with medium confidence">
          <a:extLst>
            <a:ext uri="{FF2B5EF4-FFF2-40B4-BE49-F238E27FC236}">
              <a16:creationId xmlns:a16="http://schemas.microsoft.com/office/drawing/2014/main" id="{00000000-0008-0000-1500-000007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900595" y="1256001"/>
          <a:ext cx="4424076" cy="4743271"/>
        </a:xfrm>
        <a:prstGeom prst="roundRect">
          <a:avLst/>
        </a:prstGeom>
      </xdr:spPr>
    </xdr:pic>
    <xdr:clientData/>
  </xdr:twoCellAnchor>
  <xdr:twoCellAnchor>
    <xdr:from>
      <xdr:col>31</xdr:col>
      <xdr:colOff>0</xdr:colOff>
      <xdr:row>1</xdr:row>
      <xdr:rowOff>0</xdr:rowOff>
    </xdr:from>
    <xdr:to>
      <xdr:col>33</xdr:col>
      <xdr:colOff>46892</xdr:colOff>
      <xdr:row>2</xdr:row>
      <xdr:rowOff>140108</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25590500" y="190500"/>
          <a:ext cx="1697892" cy="330608"/>
          <a:chOff x="9503508" y="419387"/>
          <a:chExt cx="1697892" cy="285953"/>
        </a:xfrm>
      </xdr:grpSpPr>
      <xdr:sp macro="" textlink="Names!BQ2">
        <xdr:nvSpPr>
          <xdr:cNvPr id="9" name="Rounded Rectangle 8">
            <a:hlinkClick xmlns:r="http://schemas.openxmlformats.org/officeDocument/2006/relationships" r:id="rId2"/>
            <a:extLst>
              <a:ext uri="{FF2B5EF4-FFF2-40B4-BE49-F238E27FC236}">
                <a16:creationId xmlns:a16="http://schemas.microsoft.com/office/drawing/2014/main" id="{00000000-0008-0000-1500-000009000000}"/>
              </a:ext>
            </a:extLst>
          </xdr:cNvPr>
          <xdr:cNvSpPr/>
        </xdr:nvSpPr>
        <xdr:spPr>
          <a:xfrm>
            <a:off x="9503508" y="420076"/>
            <a:ext cx="1697892" cy="285264"/>
          </a:xfrm>
          <a:prstGeom prst="roundRect">
            <a:avLst/>
          </a:prstGeom>
          <a:solidFill>
            <a:srgbClr val="FE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10" name="Gráfico 4" descr="Seta de linha: retorno na horizontal com preenchimento sólido">
            <a:hlinkClick xmlns:r="http://schemas.openxmlformats.org/officeDocument/2006/relationships" r:id="rId2"/>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a:off x="9592734" y="419387"/>
            <a:ext cx="258937" cy="264917"/>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177800</xdr:colOff>
      <xdr:row>0</xdr:row>
      <xdr:rowOff>50800</xdr:rowOff>
    </xdr:from>
    <xdr:to>
      <xdr:col>6</xdr:col>
      <xdr:colOff>780505</xdr:colOff>
      <xdr:row>2</xdr:row>
      <xdr:rowOff>78712</xdr:rowOff>
    </xdr:to>
    <xdr:sp macro="" textlink="">
      <xdr:nvSpPr>
        <xdr:cNvPr id="11" name="Content Placeholder 1">
          <a:extLst>
            <a:ext uri="{FF2B5EF4-FFF2-40B4-BE49-F238E27FC236}">
              <a16:creationId xmlns:a16="http://schemas.microsoft.com/office/drawing/2014/main" id="{00000000-0008-0000-1600-00000B000000}"/>
            </a:ext>
          </a:extLst>
        </xdr:cNvPr>
        <xdr:cNvSpPr txBox="1">
          <a:spLocks/>
        </xdr:cNvSpPr>
      </xdr:nvSpPr>
      <xdr:spPr>
        <a:xfrm>
          <a:off x="177800" y="50800"/>
          <a:ext cx="5631905" cy="434312"/>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Glossary</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of operational definitions</a:t>
          </a:r>
        </a:p>
      </xdr:txBody>
    </xdr:sp>
    <xdr:clientData/>
  </xdr:twoCellAnchor>
  <xdr:twoCellAnchor>
    <xdr:from>
      <xdr:col>0</xdr:col>
      <xdr:colOff>177800</xdr:colOff>
      <xdr:row>48</xdr:row>
      <xdr:rowOff>187926</xdr:rowOff>
    </xdr:from>
    <xdr:to>
      <xdr:col>9</xdr:col>
      <xdr:colOff>152762</xdr:colOff>
      <xdr:row>51</xdr:row>
      <xdr:rowOff>12638</xdr:rowOff>
    </xdr:to>
    <xdr:sp macro="" textlink="">
      <xdr:nvSpPr>
        <xdr:cNvPr id="13" name="Content Placeholder 1">
          <a:extLst>
            <a:ext uri="{FF2B5EF4-FFF2-40B4-BE49-F238E27FC236}">
              <a16:creationId xmlns:a16="http://schemas.microsoft.com/office/drawing/2014/main" id="{00000000-0008-0000-1600-00000D000000}"/>
            </a:ext>
          </a:extLst>
        </xdr:cNvPr>
        <xdr:cNvSpPr txBox="1">
          <a:spLocks/>
        </xdr:cNvSpPr>
      </xdr:nvSpPr>
      <xdr:spPr>
        <a:xfrm>
          <a:off x="177800" y="6893526"/>
          <a:ext cx="7518762" cy="434312"/>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Glossary</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of financial measures reconciliation</a:t>
          </a:r>
        </a:p>
      </xdr:txBody>
    </xdr:sp>
    <xdr:clientData/>
  </xdr:twoCellAnchor>
  <xdr:twoCellAnchor>
    <xdr:from>
      <xdr:col>8</xdr:col>
      <xdr:colOff>189154</xdr:colOff>
      <xdr:row>0</xdr:row>
      <xdr:rowOff>92364</xdr:rowOff>
    </xdr:from>
    <xdr:to>
      <xdr:col>15</xdr:col>
      <xdr:colOff>309259</xdr:colOff>
      <xdr:row>2</xdr:row>
      <xdr:rowOff>94876</xdr:rowOff>
    </xdr:to>
    <xdr:sp macro="" textlink="">
      <xdr:nvSpPr>
        <xdr:cNvPr id="16" name="Content Placeholder 1">
          <a:extLst>
            <a:ext uri="{FF2B5EF4-FFF2-40B4-BE49-F238E27FC236}">
              <a16:creationId xmlns:a16="http://schemas.microsoft.com/office/drawing/2014/main" id="{00000000-0008-0000-1600-000010000000}"/>
            </a:ext>
          </a:extLst>
        </xdr:cNvPr>
        <xdr:cNvSpPr txBox="1">
          <a:spLocks/>
        </xdr:cNvSpPr>
      </xdr:nvSpPr>
      <xdr:spPr>
        <a:xfrm>
          <a:off x="6885518" y="92364"/>
          <a:ext cx="5979423" cy="406603"/>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Glossário</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de definições operacionais </a:t>
          </a:r>
        </a:p>
      </xdr:txBody>
    </xdr:sp>
    <xdr:clientData/>
  </xdr:twoCellAnchor>
  <xdr:twoCellAnchor>
    <xdr:from>
      <xdr:col>8</xdr:col>
      <xdr:colOff>189154</xdr:colOff>
      <xdr:row>48</xdr:row>
      <xdr:rowOff>187927</xdr:rowOff>
    </xdr:from>
    <xdr:to>
      <xdr:col>17</xdr:col>
      <xdr:colOff>820458</xdr:colOff>
      <xdr:row>50</xdr:row>
      <xdr:rowOff>190438</xdr:rowOff>
    </xdr:to>
    <xdr:sp macro="" textlink="">
      <xdr:nvSpPr>
        <xdr:cNvPr id="18" name="Content Placeholder 1">
          <a:extLst>
            <a:ext uri="{FF2B5EF4-FFF2-40B4-BE49-F238E27FC236}">
              <a16:creationId xmlns:a16="http://schemas.microsoft.com/office/drawing/2014/main" id="{00000000-0008-0000-1600-000012000000}"/>
            </a:ext>
          </a:extLst>
        </xdr:cNvPr>
        <xdr:cNvSpPr txBox="1">
          <a:spLocks/>
        </xdr:cNvSpPr>
      </xdr:nvSpPr>
      <xdr:spPr>
        <a:xfrm>
          <a:off x="6885518" y="9886109"/>
          <a:ext cx="8164713" cy="406602"/>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Glossário</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de conciliação de indicadores financeiros</a:t>
          </a:r>
        </a:p>
      </xdr:txBody>
    </xdr:sp>
    <xdr:clientData/>
  </xdr:twoCellAnchor>
  <xdr:twoCellAnchor>
    <xdr:from>
      <xdr:col>16</xdr:col>
      <xdr:colOff>36946</xdr:colOff>
      <xdr:row>0</xdr:row>
      <xdr:rowOff>118918</xdr:rowOff>
    </xdr:from>
    <xdr:to>
      <xdr:col>18</xdr:col>
      <xdr:colOff>83838</xdr:colOff>
      <xdr:row>2</xdr:row>
      <xdr:rowOff>56684</xdr:rowOff>
    </xdr:to>
    <xdr:grpSp>
      <xdr:nvGrpSpPr>
        <xdr:cNvPr id="32" name="Group 31">
          <a:extLst>
            <a:ext uri="{FF2B5EF4-FFF2-40B4-BE49-F238E27FC236}">
              <a16:creationId xmlns:a16="http://schemas.microsoft.com/office/drawing/2014/main" id="{00000000-0008-0000-1600-000020000000}"/>
            </a:ext>
          </a:extLst>
        </xdr:cNvPr>
        <xdr:cNvGrpSpPr/>
      </xdr:nvGrpSpPr>
      <xdr:grpSpPr>
        <a:xfrm>
          <a:off x="13244946" y="118918"/>
          <a:ext cx="1697892" cy="318766"/>
          <a:chOff x="9503508" y="419387"/>
          <a:chExt cx="1697892" cy="285953"/>
        </a:xfrm>
      </xdr:grpSpPr>
      <xdr:sp macro="" textlink="Names!BQ2">
        <xdr:nvSpPr>
          <xdr:cNvPr id="33" name="Rounded Rectangle 32">
            <a:hlinkClick xmlns:r="http://schemas.openxmlformats.org/officeDocument/2006/relationships" r:id="rId1"/>
            <a:extLst>
              <a:ext uri="{FF2B5EF4-FFF2-40B4-BE49-F238E27FC236}">
                <a16:creationId xmlns:a16="http://schemas.microsoft.com/office/drawing/2014/main" id="{00000000-0008-0000-1600-000021000000}"/>
              </a:ext>
            </a:extLst>
          </xdr:cNvPr>
          <xdr:cNvSpPr/>
        </xdr:nvSpPr>
        <xdr:spPr>
          <a:xfrm>
            <a:off x="9503508" y="420076"/>
            <a:ext cx="1697892" cy="285264"/>
          </a:xfrm>
          <a:prstGeom prst="roundRect">
            <a:avLst/>
          </a:prstGeom>
          <a:solidFill>
            <a:srgbClr val="FE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3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1600-00002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9592734" y="419387"/>
            <a:ext cx="258937" cy="264917"/>
          </a:xfrm>
          <a:prstGeom prst="rect">
            <a:avLst/>
          </a:prstGeom>
        </xdr:spPr>
      </xdr:pic>
    </xdr:grpSp>
    <xdr:clientData/>
  </xdr:twoCellAnchor>
  <xdr:twoCellAnchor>
    <xdr:from>
      <xdr:col>0</xdr:col>
      <xdr:colOff>188149</xdr:colOff>
      <xdr:row>4</xdr:row>
      <xdr:rowOff>0</xdr:rowOff>
    </xdr:from>
    <xdr:to>
      <xdr:col>7</xdr:col>
      <xdr:colOff>76483</xdr:colOff>
      <xdr:row>29</xdr:row>
      <xdr:rowOff>65128</xdr:rowOff>
    </xdr:to>
    <mc:AlternateContent xmlns:mc="http://schemas.openxmlformats.org/markup-compatibility/2006" xmlns:a14="http://schemas.microsoft.com/office/drawing/2010/main">
      <mc:Choice Requires="a14">
        <xdr:sp macro="" textlink="">
          <xdr:nvSpPr>
            <xdr:cNvPr id="12" name="Retângulo 4">
              <a:extLst>
                <a:ext uri="{FF2B5EF4-FFF2-40B4-BE49-F238E27FC236}">
                  <a16:creationId xmlns:a16="http://schemas.microsoft.com/office/drawing/2014/main" id="{00000000-0008-0000-1600-00000C000000}"/>
                </a:ext>
              </a:extLst>
            </xdr:cNvPr>
            <xdr:cNvSpPr/>
          </xdr:nvSpPr>
          <xdr:spPr>
            <a:xfrm>
              <a:off x="188149" y="781538"/>
              <a:ext cx="5587052" cy="4949744"/>
            </a:xfrm>
            <a:prstGeom prst="rect">
              <a:avLst/>
            </a:prstGeom>
          </xdr:spPr>
          <xdr:txBody>
            <a:bodyPr wrap="square">
              <a:no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Activation Rate: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solidFill>
                              <a:schemeClr val="tx1"/>
                            </a:solidFill>
                            <a:latin typeface="Cambria Math" panose="02040503050406030204" pitchFamily="18" charset="0"/>
                            <a:cs typeface="Sora" pitchFamily="2" charset="0"/>
                          </a:rPr>
                        </m:ctrlPr>
                      </m:fPr>
                      <m:num>
                        <m:r>
                          <m:rPr>
                            <m:sty m:val="p"/>
                          </m:rPr>
                          <a:rPr lang="pt-BR" sz="900" i="0">
                            <a:latin typeface="Cambria Math" panose="02040503050406030204" pitchFamily="18" charset="0"/>
                            <a:cs typeface="Sora" pitchFamily="2" charset="0"/>
                          </a:rPr>
                          <m:t>Number</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of</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active</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clients</m:t>
                        </m:r>
                        <m:r>
                          <a:rPr lang="pt-BR" sz="90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at</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the</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end</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of</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the</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quarter</m:t>
                        </m:r>
                      </m:num>
                      <m:den>
                        <m:r>
                          <m:rPr>
                            <m:sty m:val="p"/>
                          </m:rPr>
                          <a:rPr lang="pt-BR" sz="900">
                            <a:latin typeface="Cambria Math" panose="02040503050406030204" pitchFamily="18" charset="0"/>
                            <a:cs typeface="Sora" pitchFamily="2" charset="0"/>
                          </a:rPr>
                          <m:t>Total</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number</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clients</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at</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end</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quarter</m:t>
                        </m:r>
                      </m:den>
                    </m:f>
                    <m:r>
                      <a:rPr lang="pt-BR" sz="900" i="1">
                        <a:latin typeface="Cambria Math" panose="02040503050406030204" pitchFamily="18" charset="0"/>
                        <a:cs typeface="Sora" pitchFamily="2" charset="0"/>
                      </a:rPr>
                      <m:t> </m:t>
                    </m:r>
                  </m:oMath>
                </m:oMathPara>
              </a14:m>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a:t>
              </a:r>
            </a:p>
            <a:p>
              <a:pPr algn="just"/>
              <a:r>
                <a:rPr lang="en-US" sz="900">
                  <a:latin typeface="Calibri" panose="020F0502020204030204" pitchFamily="34" charset="0"/>
                  <a:ea typeface="Inter" panose="020B0502030000000004" pitchFamily="34" charset="0"/>
                  <a:cs typeface="Calibri" panose="020F0502020204030204" pitchFamily="34" charset="0"/>
                </a:rPr>
                <a:t>We define an active client  as a customer at any given date that was the source of any amount of revenue for us in the preceding three months, or/and a customer that used products in the preceding three months. For Inter insurance, we calculate the number of active clients for our insurance brokerage vertical as the number of beneficiaries of insurance policies effective as of a particular date. For Inter Invest, we calculate the number of active clients as the number of individual accounts that have invested on our platform over the applicable period. </a:t>
              </a: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 per employee: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solidFill>
                              <a:schemeClr val="tx1"/>
                            </a:solidFill>
                            <a:latin typeface="Cambria Math" panose="02040503050406030204" pitchFamily="18" charset="0"/>
                            <a:cs typeface="Sora" pitchFamily="2" charset="0"/>
                          </a:rPr>
                        </m:ctrlPr>
                      </m:fPr>
                      <m:num>
                        <m:r>
                          <m:rPr>
                            <m:sty m:val="p"/>
                          </m:rPr>
                          <a:rPr lang="pt-BR" sz="900" i="0">
                            <a:latin typeface="Cambria Math" panose="02040503050406030204" pitchFamily="18" charset="0"/>
                            <a:cs typeface="Sora" pitchFamily="2" charset="0"/>
                          </a:rPr>
                          <m:t>Number</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of</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active</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clients</m:t>
                        </m:r>
                        <m:r>
                          <a:rPr lang="pt-BR" sz="90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at</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the</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end</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of</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the</m:t>
                        </m:r>
                        <m:r>
                          <a:rPr lang="pt-BR" sz="900" b="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quarter</m:t>
                        </m:r>
                      </m:num>
                      <m:den>
                        <m:r>
                          <m:rPr>
                            <m:sty m:val="p"/>
                          </m:rPr>
                          <a:rPr lang="pt-BR" sz="900">
                            <a:latin typeface="Cambria Math" panose="02040503050406030204" pitchFamily="18" charset="0"/>
                            <a:cs typeface="Sora" pitchFamily="2" charset="0"/>
                          </a:rPr>
                          <m:t>Total</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number</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employees</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at</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end</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quarter</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including</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interns</m:t>
                        </m:r>
                      </m:den>
                    </m:f>
                  </m:oMath>
                </m:oMathPara>
              </a14:m>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a:t>
              </a:r>
            </a:p>
            <a:p>
              <a:pPr algn="just"/>
              <a:r>
                <a:rPr lang="en-US" sz="900">
                  <a:latin typeface="Calibri" panose="020F0502020204030204" pitchFamily="34" charset="0"/>
                  <a:ea typeface="Inter" panose="020B0502030000000004" pitchFamily="34" charset="0"/>
                  <a:cs typeface="Calibri" panose="020F0502020204030204" pitchFamily="34" charset="0"/>
                </a:rPr>
                <a:t>PIX, debit and credit cards and withdrawal transacted volumes of a given period. PIX is a Central Bank of Brazil solution to bring instant payments among banks and financial institutions in Brazil.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 per active client:</a:t>
              </a:r>
            </a:p>
            <a:p>
              <a:pPr algn="just"/>
              <a:r>
                <a:rPr lang="en-US" sz="900">
                  <a:latin typeface="Calibri" panose="020F0502020204030204" pitchFamily="34" charset="0"/>
                  <a:ea typeface="Inter" panose="020B0502030000000004" pitchFamily="34" charset="0"/>
                  <a:cs typeface="Calibri" panose="020F0502020204030204" pitchFamily="34" charset="0"/>
                </a:rPr>
                <a:t>Card+PIX TPV for a given period divided by the number of active clients as of the last day of the period. </a:t>
              </a:r>
            </a:p>
            <a:p>
              <a:pPr algn="just"/>
              <a:endParaRPr lang="en-US" sz="900" b="1">
                <a:latin typeface="Calibri" panose="020F05020202040302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xdr:txBody>
        </xdr:sp>
      </mc:Choice>
      <mc:Fallback xmlns="">
        <xdr:sp macro="" textlink="">
          <xdr:nvSpPr>
            <xdr:cNvPr id="12" name="Retângulo 4">
              <a:extLst>
                <a:ext uri="{FF2B5EF4-FFF2-40B4-BE49-F238E27FC236}">
                  <a16:creationId xmlns:a16="http://schemas.microsoft.com/office/drawing/2014/main" id="{F9DADA9B-998C-8ADD-51C9-5BE87BE52B55}"/>
                </a:ext>
              </a:extLst>
            </xdr:cNvPr>
            <xdr:cNvSpPr/>
          </xdr:nvSpPr>
          <xdr:spPr>
            <a:xfrm>
              <a:off x="188149" y="781538"/>
              <a:ext cx="5587052" cy="4949744"/>
            </a:xfrm>
            <a:prstGeom prst="rect">
              <a:avLst/>
            </a:prstGeom>
          </xdr:spPr>
          <xdr:txBody>
            <a:bodyPr wrap="square">
              <a:no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Activation Rate:</a:t>
              </a:r>
            </a:p>
            <a:p>
              <a:endParaRPr lang="en-US" sz="900" b="1">
                <a:latin typeface="Calibri" panose="020F0502020204030204" pitchFamily="34" charset="0"/>
                <a:cs typeface="Calibri" panose="020F0502020204030204" pitchFamily="34" charset="0"/>
              </a:endParaRPr>
            </a:p>
            <a:p>
              <a:pP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Number of active clients </a:t>
              </a:r>
              <a:r>
                <a:rPr lang="pt-BR" sz="900" b="0" i="0">
                  <a:latin typeface="Cambria Math" panose="02040503050406030204" pitchFamily="18" charset="0"/>
                  <a:cs typeface="Sora" pitchFamily="2" charset="0"/>
                </a:rPr>
                <a:t>at</a:t>
              </a:r>
              <a:r>
                <a:rPr lang="pt-BR" sz="900" i="0">
                  <a:latin typeface="Cambria Math" panose="02040503050406030204" pitchFamily="18" charset="0"/>
                  <a:cs typeface="Sora" pitchFamily="2" charset="0"/>
                </a:rPr>
                <a:t> the</a:t>
              </a:r>
              <a:r>
                <a:rPr lang="pt-BR" sz="900" b="0" i="0">
                  <a:latin typeface="Cambria Math" panose="02040503050406030204" pitchFamily="18" charset="0"/>
                  <a:cs typeface="Sora" pitchFamily="2" charset="0"/>
                </a:rPr>
                <a:t> end of the</a:t>
              </a:r>
              <a:r>
                <a:rPr lang="pt-BR" sz="900" i="0">
                  <a:latin typeface="Cambria Math" panose="02040503050406030204" pitchFamily="18" charset="0"/>
                  <a:cs typeface="Sora" pitchFamily="2" charset="0"/>
                </a:rPr>
                <a:t> quarter</a:t>
              </a: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Total number of clients at the end of the quarter</a:t>
              </a:r>
              <a:r>
                <a:rPr lang="en-US" sz="900" i="0">
                  <a:solidFill>
                    <a:schemeClr val="tx1"/>
                  </a:solidFill>
                  <a:latin typeface="Cambria Math" panose="02040503050406030204" pitchFamily="18" charset="0"/>
                  <a:cs typeface="Sora" pitchFamily="2" charset="0"/>
                </a:rPr>
                <a:t>)</a:t>
              </a:r>
              <a:r>
                <a:rPr lang="pt-BR" sz="900" i="0">
                  <a:solidFill>
                    <a:schemeClr val="tx1"/>
                  </a:solidFill>
                  <a:latin typeface="Cambria Math" panose="02040503050406030204" pitchFamily="18" charset="0"/>
                  <a:cs typeface="Sora" pitchFamily="2" charset="0"/>
                </a:rPr>
                <a:t> </a:t>
              </a:r>
              <a:r>
                <a:rPr lang="pt-BR" sz="900" i="0">
                  <a:latin typeface="Cambria Math" panose="02040503050406030204" pitchFamily="18" charset="0"/>
                  <a:cs typeface="Sora" pitchFamily="2" charset="0"/>
                </a:rPr>
                <a:t> </a:t>
              </a:r>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a:t>
              </a:r>
            </a:p>
            <a:p>
              <a:pPr algn="just"/>
              <a:r>
                <a:rPr lang="en-US" sz="900">
                  <a:latin typeface="Calibri" panose="020F0502020204030204" pitchFamily="34" charset="0"/>
                  <a:ea typeface="Inter" panose="020B0502030000000004" pitchFamily="34" charset="0"/>
                  <a:cs typeface="Calibri" panose="020F0502020204030204" pitchFamily="34" charset="0"/>
                </a:rPr>
                <a:t>We define an active client  as a customer at any given date that was the source of any amount of revenue for us in the preceding three months, or/and a customer that used products in the preceding three months. For Inter insurance, we calculate the number of active clients for our insurance brokerage vertical as the number of beneficiaries of insurance policies effective as of a particular date. For Inter Invest, we calculate the number of active clients as the number of individual accounts that have invested on our platform over the applicable period. </a:t>
              </a: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 per employee:</a:t>
              </a:r>
            </a:p>
            <a:p>
              <a:endParaRPr lang="en-US" sz="900" b="1">
                <a:latin typeface="Calibri" panose="020F0502020204030204" pitchFamily="34" charset="0"/>
                <a:cs typeface="Calibri" panose="020F0502020204030204" pitchFamily="34" charset="0"/>
              </a:endParaRPr>
            </a:p>
            <a:p>
              <a:pP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Number of active clients </a:t>
              </a:r>
              <a:r>
                <a:rPr lang="pt-BR" sz="900" b="0" i="0">
                  <a:latin typeface="Cambria Math" panose="02040503050406030204" pitchFamily="18" charset="0"/>
                  <a:cs typeface="Sora" pitchFamily="2" charset="0"/>
                </a:rPr>
                <a:t>at</a:t>
              </a:r>
              <a:r>
                <a:rPr lang="pt-BR" sz="900" i="0">
                  <a:latin typeface="Cambria Math" panose="02040503050406030204" pitchFamily="18" charset="0"/>
                  <a:cs typeface="Sora" pitchFamily="2" charset="0"/>
                </a:rPr>
                <a:t> the</a:t>
              </a:r>
              <a:r>
                <a:rPr lang="pt-BR" sz="900" b="0" i="0">
                  <a:latin typeface="Cambria Math" panose="02040503050406030204" pitchFamily="18" charset="0"/>
                  <a:cs typeface="Sora" pitchFamily="2" charset="0"/>
                </a:rPr>
                <a:t> end of the  </a:t>
              </a:r>
              <a:r>
                <a:rPr lang="pt-BR" sz="900" i="0">
                  <a:latin typeface="Cambria Math" panose="02040503050406030204" pitchFamily="18" charset="0"/>
                  <a:cs typeface="Sora" pitchFamily="2" charset="0"/>
                </a:rPr>
                <a:t>quarter</a:t>
              </a: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Total number of employees at the end of the quarter, including interns</a:t>
              </a:r>
              <a:r>
                <a:rPr lang="en-US" sz="900" i="0">
                  <a:solidFill>
                    <a:schemeClr val="tx1"/>
                  </a:solidFill>
                  <a:latin typeface="Cambria Math" panose="02040503050406030204" pitchFamily="18" charset="0"/>
                  <a:cs typeface="Sora" pitchFamily="2" charset="0"/>
                </a:rPr>
                <a:t>)</a:t>
              </a:r>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a:t>
              </a:r>
            </a:p>
            <a:p>
              <a:pPr algn="just"/>
              <a:r>
                <a:rPr lang="en-US" sz="900">
                  <a:latin typeface="Calibri" panose="020F0502020204030204" pitchFamily="34" charset="0"/>
                  <a:ea typeface="Inter" panose="020B0502030000000004" pitchFamily="34" charset="0"/>
                  <a:cs typeface="Calibri" panose="020F0502020204030204" pitchFamily="34" charset="0"/>
                </a:rPr>
                <a:t>PIX, debit and credit cards and withdrawal transacted volumes of a given period. PIX is a Central Bank of Brazil solution to bring instant payments among banks and financial institutions in Brazil.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 per active client:</a:t>
              </a:r>
            </a:p>
            <a:p>
              <a:pPr algn="just"/>
              <a:r>
                <a:rPr lang="en-US" sz="900">
                  <a:latin typeface="Calibri" panose="020F0502020204030204" pitchFamily="34" charset="0"/>
                  <a:ea typeface="Inter" panose="020B0502030000000004" pitchFamily="34" charset="0"/>
                  <a:cs typeface="Calibri" panose="020F0502020204030204" pitchFamily="34" charset="0"/>
                </a:rPr>
                <a:t>Card+PIX TPV for a given period divided by the number of active clients as of the last day of the period. </a:t>
              </a:r>
            </a:p>
            <a:p>
              <a:pPr algn="just"/>
              <a:endParaRPr lang="en-US" sz="900" b="1">
                <a:latin typeface="Calibri" panose="020F05020202040302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xdr:txBody>
        </xdr:sp>
      </mc:Fallback>
    </mc:AlternateContent>
    <xdr:clientData/>
  </xdr:twoCellAnchor>
  <xdr:twoCellAnchor>
    <xdr:from>
      <xdr:col>0</xdr:col>
      <xdr:colOff>182608</xdr:colOff>
      <xdr:row>29</xdr:row>
      <xdr:rowOff>63922</xdr:rowOff>
    </xdr:from>
    <xdr:to>
      <xdr:col>6</xdr:col>
      <xdr:colOff>755210</xdr:colOff>
      <xdr:row>49</xdr:row>
      <xdr:rowOff>99933</xdr:rowOff>
    </xdr:to>
    <mc:AlternateContent xmlns:mc="http://schemas.openxmlformats.org/markup-compatibility/2006" xmlns:a14="http://schemas.microsoft.com/office/drawing/2010/main">
      <mc:Choice Requires="a14">
        <xdr:sp macro="" textlink="">
          <xdr:nvSpPr>
            <xdr:cNvPr id="15" name="Retângulo 4">
              <a:extLst>
                <a:ext uri="{FF2B5EF4-FFF2-40B4-BE49-F238E27FC236}">
                  <a16:creationId xmlns:a16="http://schemas.microsoft.com/office/drawing/2014/main" id="{00000000-0008-0000-1600-00000F000000}"/>
                </a:ext>
              </a:extLst>
            </xdr:cNvPr>
            <xdr:cNvSpPr/>
          </xdr:nvSpPr>
          <xdr:spPr>
            <a:xfrm>
              <a:off x="182608" y="5401603"/>
              <a:ext cx="5542167" cy="3717171"/>
            </a:xfrm>
            <a:prstGeom prst="rect">
              <a:avLst/>
            </a:prstGeom>
          </xdr:spPr>
          <xdr:txBody>
            <a:bodyPr wrap="square">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Client acquisition cost (CAC):</a:t>
              </a:r>
            </a:p>
            <a:p>
              <a:pPr algn="just"/>
              <a:r>
                <a:rPr lang="en-US" sz="900">
                  <a:latin typeface="Calibri" panose="020F0502020204030204" pitchFamily="34" charset="0"/>
                  <a:ea typeface="Inter" panose="020B0502030000000004" pitchFamily="34" charset="0"/>
                  <a:cs typeface="Calibri" panose="020F0502020204030204" pitchFamily="34" charset="0"/>
                </a:rPr>
                <a:t>The average cost to add a client to the platform, considering operating expenses for opening an account, such as onboarding personnel, embossing and sending cards and digital marketing expenses with a focus on client acquisition, divided by the number of accounts opened in the quarter.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merchandise volume (GMV):</a:t>
              </a:r>
            </a:p>
            <a:p>
              <a:pPr algn="just"/>
              <a:r>
                <a:rPr lang="en-US" sz="900">
                  <a:latin typeface="Calibri" panose="020F0502020204030204" pitchFamily="34" charset="0"/>
                  <a:ea typeface="Inter" panose="020B0502030000000004" pitchFamily="34" charset="0"/>
                  <a:cs typeface="Calibri" panose="020F0502020204030204" pitchFamily="34" charset="0"/>
                </a:rPr>
                <a:t>Gross merchandise value, or GMV, for a given period as the total value of all sales made or initiated through our Inter Shop &amp; Commerce Plus platform managed by Inter Shop &amp; Commerce Plus.</a:t>
              </a: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take rate: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rPr>
                        </m:ctrlPr>
                      </m:fPr>
                      <m:num>
                        <m:r>
                          <m:rPr>
                            <m:sty m:val="p"/>
                          </m:rPr>
                          <a:rPr lang="pt-BR" sz="900">
                            <a:latin typeface="Cambria Math" panose="02040503050406030204" pitchFamily="18" charset="0"/>
                          </a:rPr>
                          <m:t>Inter</m:t>
                        </m:r>
                        <m:r>
                          <a:rPr lang="pt-BR" sz="900">
                            <a:latin typeface="Cambria Math" panose="02040503050406030204" pitchFamily="18" charset="0"/>
                          </a:rPr>
                          <m:t> </m:t>
                        </m:r>
                        <m:r>
                          <m:rPr>
                            <m:sty m:val="p"/>
                          </m:rPr>
                          <a:rPr lang="pt-BR" sz="900">
                            <a:latin typeface="Cambria Math" panose="02040503050406030204" pitchFamily="18" charset="0"/>
                          </a:rPr>
                          <m:t>Shop</m:t>
                        </m:r>
                        <m:r>
                          <a:rPr lang="pt-BR" sz="900">
                            <a:latin typeface="Cambria Math" panose="02040503050406030204" pitchFamily="18" charset="0"/>
                          </a:rPr>
                          <m:t> </m:t>
                        </m:r>
                        <m:r>
                          <m:rPr>
                            <m:sty m:val="p"/>
                          </m:rPr>
                          <a:rPr lang="pt-BR" sz="900">
                            <a:latin typeface="Cambria Math" panose="02040503050406030204" pitchFamily="18" charset="0"/>
                          </a:rPr>
                          <m:t>gross</m:t>
                        </m:r>
                        <m:r>
                          <a:rPr lang="pt-BR" sz="900">
                            <a:latin typeface="Cambria Math" panose="02040503050406030204" pitchFamily="18" charset="0"/>
                          </a:rPr>
                          <m:t> </m:t>
                        </m:r>
                        <m:r>
                          <m:rPr>
                            <m:sty m:val="p"/>
                          </m:rPr>
                          <a:rPr lang="pt-BR" sz="900" i="1">
                            <a:latin typeface="Cambria Math" panose="02040503050406030204" pitchFamily="18" charset="0"/>
                          </a:rPr>
                          <m:t>revenue</m:t>
                        </m:r>
                      </m:num>
                      <m:den>
                        <m:r>
                          <m:rPr>
                            <m:sty m:val="p"/>
                          </m:rPr>
                          <a:rPr lang="pt-BR" sz="900">
                            <a:latin typeface="Cambria Math" panose="02040503050406030204" pitchFamily="18" charset="0"/>
                          </a:rPr>
                          <m:t>GMV</m:t>
                        </m:r>
                      </m:den>
                    </m:f>
                  </m:oMath>
                </m:oMathPara>
              </a14:m>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Net take rate: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rPr>
                        </m:ctrlPr>
                      </m:fPr>
                      <m:num>
                        <m:r>
                          <m:rPr>
                            <m:sty m:val="p"/>
                          </m:rPr>
                          <a:rPr lang="pt-BR" sz="900">
                            <a:latin typeface="Cambria Math" panose="02040503050406030204" pitchFamily="18" charset="0"/>
                          </a:rPr>
                          <m:t>Inter</m:t>
                        </m:r>
                        <m:r>
                          <a:rPr lang="pt-BR" sz="900">
                            <a:latin typeface="Cambria Math" panose="02040503050406030204" pitchFamily="18" charset="0"/>
                          </a:rPr>
                          <m:t> </m:t>
                        </m:r>
                        <m:r>
                          <m:rPr>
                            <m:sty m:val="p"/>
                          </m:rPr>
                          <a:rPr lang="pt-BR" sz="900">
                            <a:latin typeface="Cambria Math" panose="02040503050406030204" pitchFamily="18" charset="0"/>
                          </a:rPr>
                          <m:t>Shop</m:t>
                        </m:r>
                        <m:r>
                          <a:rPr lang="pt-BR" sz="900">
                            <a:latin typeface="Cambria Math" panose="02040503050406030204" pitchFamily="18" charset="0"/>
                          </a:rPr>
                          <m:t> </m:t>
                        </m:r>
                        <m:r>
                          <m:rPr>
                            <m:sty m:val="p"/>
                          </m:rPr>
                          <a:rPr lang="pt-BR" sz="900">
                            <a:latin typeface="Cambria Math" panose="02040503050406030204" pitchFamily="18" charset="0"/>
                          </a:rPr>
                          <m:t>net</m:t>
                        </m:r>
                        <m:r>
                          <a:rPr lang="pt-BR" sz="900">
                            <a:latin typeface="Cambria Math" panose="02040503050406030204" pitchFamily="18" charset="0"/>
                          </a:rPr>
                          <m:t> </m:t>
                        </m:r>
                        <m:r>
                          <m:rPr>
                            <m:sty m:val="p"/>
                          </m:rPr>
                          <a:rPr lang="pt-BR" sz="900" i="1">
                            <a:latin typeface="Cambria Math" panose="02040503050406030204" pitchFamily="18" charset="0"/>
                          </a:rPr>
                          <m:t>revenue</m:t>
                        </m:r>
                      </m:num>
                      <m:den>
                        <m:r>
                          <m:rPr>
                            <m:sty m:val="p"/>
                          </m:rPr>
                          <a:rPr lang="pt-BR" sz="900">
                            <a:latin typeface="Cambria Math" panose="02040503050406030204" pitchFamily="18" charset="0"/>
                          </a:rPr>
                          <m:t>GMV</m:t>
                        </m:r>
                      </m:den>
                    </m:f>
                  </m:oMath>
                </m:oMathPara>
              </a14:m>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xdr:txBody>
        </xdr:sp>
      </mc:Choice>
      <mc:Fallback xmlns="">
        <xdr:sp macro="" textlink="">
          <xdr:nvSpPr>
            <xdr:cNvPr id="15" name="Retângulo 4">
              <a:extLst>
                <a:ext uri="{FF2B5EF4-FFF2-40B4-BE49-F238E27FC236}">
                  <a16:creationId xmlns:a16="http://schemas.microsoft.com/office/drawing/2014/main" id="{6F5FBE76-732D-2025-5606-83466F1666EC}"/>
                </a:ext>
              </a:extLst>
            </xdr:cNvPr>
            <xdr:cNvSpPr/>
          </xdr:nvSpPr>
          <xdr:spPr>
            <a:xfrm>
              <a:off x="182608" y="5401603"/>
              <a:ext cx="5542167" cy="3717171"/>
            </a:xfrm>
            <a:prstGeom prst="rect">
              <a:avLst/>
            </a:prstGeom>
          </xdr:spPr>
          <xdr:txBody>
            <a:bodyPr wrap="square">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Client acquisition cost (CAC):</a:t>
              </a:r>
            </a:p>
            <a:p>
              <a:pPr algn="just"/>
              <a:r>
                <a:rPr lang="en-US" sz="900">
                  <a:latin typeface="Calibri" panose="020F0502020204030204" pitchFamily="34" charset="0"/>
                  <a:ea typeface="Inter" panose="020B0502030000000004" pitchFamily="34" charset="0"/>
                  <a:cs typeface="Calibri" panose="020F0502020204030204" pitchFamily="34" charset="0"/>
                </a:rPr>
                <a:t>The average cost to add a client to the platform, considering operating expenses for opening an account, such as onboarding personnel, embossing and sending cards and digital marketing expenses with a focus on client acquisition, divided by the number of accounts opened in the quarter.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merchandise volume (GMV):</a:t>
              </a:r>
            </a:p>
            <a:p>
              <a:pPr algn="just"/>
              <a:r>
                <a:rPr lang="en-US" sz="900">
                  <a:latin typeface="Calibri" panose="020F0502020204030204" pitchFamily="34" charset="0"/>
                  <a:ea typeface="Inter" panose="020B0502030000000004" pitchFamily="34" charset="0"/>
                  <a:cs typeface="Calibri" panose="020F0502020204030204" pitchFamily="34" charset="0"/>
                </a:rPr>
                <a:t>Gross merchandise value, or GMV, for a given period as the total value of all sales made or initiated through our Inter Shop &amp; Commerce Plus platform managed by Inter Shop &amp; Commerce Plus.</a:t>
              </a: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take rate:</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rPr>
                <a:t>(Inter Shop gross revenue)/GMV</a:t>
              </a:r>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Net take rate:</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rPr>
                <a:t>(Inter Shop net revenue)/GMV</a:t>
              </a:r>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xdr:txBody>
        </xdr:sp>
      </mc:Fallback>
    </mc:AlternateContent>
    <xdr:clientData/>
  </xdr:twoCellAnchor>
  <xdr:twoCellAnchor>
    <xdr:from>
      <xdr:col>0</xdr:col>
      <xdr:colOff>177800</xdr:colOff>
      <xdr:row>53</xdr:row>
      <xdr:rowOff>0</xdr:rowOff>
    </xdr:from>
    <xdr:to>
      <xdr:col>7</xdr:col>
      <xdr:colOff>144745</xdr:colOff>
      <xdr:row>85</xdr:row>
      <xdr:rowOff>1180</xdr:rowOff>
    </xdr:to>
    <mc:AlternateContent xmlns:mc="http://schemas.openxmlformats.org/markup-compatibility/2006" xmlns:a14="http://schemas.microsoft.com/office/drawing/2010/main">
      <mc:Choice Requires="a14">
        <xdr:sp macro="" textlink="">
          <xdr:nvSpPr>
            <xdr:cNvPr id="21" name="Retângulo 9">
              <a:extLst>
                <a:ext uri="{FF2B5EF4-FFF2-40B4-BE49-F238E27FC236}">
                  <a16:creationId xmlns:a16="http://schemas.microsoft.com/office/drawing/2014/main" id="{00000000-0008-0000-1600-000015000000}"/>
                </a:ext>
              </a:extLst>
            </xdr:cNvPr>
            <xdr:cNvSpPr/>
          </xdr:nvSpPr>
          <xdr:spPr>
            <a:xfrm>
              <a:off x="177800" y="9755072"/>
              <a:ext cx="5764771" cy="5891036"/>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Administrative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rPr>
                        </m:ctrlPr>
                      </m:fPr>
                      <m:num>
                        <m:r>
                          <m:rPr>
                            <m:sty m:val="p"/>
                          </m:rPr>
                          <a:rPr lang="pt-BR" sz="800">
                            <a:latin typeface="Cambria Math" panose="02040503050406030204" pitchFamily="18" charset="0"/>
                            <a:ea typeface="Cambria Math" panose="02040503050406030204" pitchFamily="18" charset="0"/>
                          </a:rPr>
                          <m:t>Administrative</m:t>
                        </m:r>
                        <m:r>
                          <a:rPr lang="pt-BR" sz="800">
                            <a:latin typeface="Cambria Math" panose="02040503050406030204" pitchFamily="18" charset="0"/>
                            <a:ea typeface="Cambria Math" panose="02040503050406030204" pitchFamily="18" charset="0"/>
                          </a:rPr>
                          <m:t> </m:t>
                        </m:r>
                        <m:r>
                          <m:rPr>
                            <m:sty m:val="p"/>
                          </m:rPr>
                          <a:rPr lang="pt-BR" sz="800">
                            <a:latin typeface="Cambria Math" panose="02040503050406030204" pitchFamily="18" charset="0"/>
                            <a:ea typeface="Cambria Math" panose="02040503050406030204" pitchFamily="18" charset="0"/>
                          </a:rPr>
                          <m:t>expenses</m:t>
                        </m:r>
                        <m:r>
                          <a:rPr lang="pt-BR" sz="800">
                            <a:latin typeface="Cambria Math" panose="02040503050406030204" pitchFamily="18" charset="0"/>
                            <a:ea typeface="Cambria Math" panose="02040503050406030204" pitchFamily="18" charset="0"/>
                          </a:rPr>
                          <m:t>+</m:t>
                        </m:r>
                        <m:r>
                          <m:rPr>
                            <m:sty m:val="p"/>
                          </m:rPr>
                          <a:rPr lang="pt-BR" sz="800">
                            <a:latin typeface="Cambria Math" panose="02040503050406030204" pitchFamily="18" charset="0"/>
                            <a:ea typeface="Cambria Math" panose="02040503050406030204" pitchFamily="18" charset="0"/>
                          </a:rPr>
                          <m:t>Depreciation</m:t>
                        </m:r>
                        <m:r>
                          <a:rPr lang="pt-BR" sz="800">
                            <a:latin typeface="Cambria Math" panose="02040503050406030204" pitchFamily="18" charset="0"/>
                            <a:ea typeface="Cambria Math" panose="02040503050406030204" pitchFamily="18" charset="0"/>
                          </a:rPr>
                          <m:t> </m:t>
                        </m:r>
                        <m:r>
                          <m:rPr>
                            <m:sty m:val="p"/>
                          </m:rPr>
                          <a:rPr lang="pt-BR" sz="800">
                            <a:latin typeface="Cambria Math" panose="02040503050406030204" pitchFamily="18" charset="0"/>
                            <a:ea typeface="Cambria Math" panose="02040503050406030204" pitchFamily="18" charset="0"/>
                          </a:rPr>
                          <m:t>and</m:t>
                        </m:r>
                        <m:r>
                          <a:rPr lang="pt-BR" sz="800">
                            <a:latin typeface="Cambria Math" panose="02040503050406030204" pitchFamily="18" charset="0"/>
                            <a:ea typeface="Cambria Math" panose="02040503050406030204" pitchFamily="18" charset="0"/>
                          </a:rPr>
                          <m:t> </m:t>
                        </m:r>
                        <m:r>
                          <m:rPr>
                            <m:sty m:val="p"/>
                          </m:rPr>
                          <a:rPr lang="pt-BR" sz="800">
                            <a:latin typeface="Cambria Math" panose="02040503050406030204" pitchFamily="18" charset="0"/>
                            <a:ea typeface="Cambria Math" panose="02040503050406030204" pitchFamily="18" charset="0"/>
                          </a:rPr>
                          <m:t>amortization</m:t>
                        </m:r>
                      </m:num>
                      <m:den>
                        <m:r>
                          <m:rPr>
                            <m:sty m:val="p"/>
                          </m:rPr>
                          <a:rPr lang="en-US" sz="800" b="0" i="0">
                            <a:latin typeface="Cambria Math" panose="02040503050406030204" pitchFamily="18" charset="0"/>
                            <a:ea typeface="Cambria Math" panose="02040503050406030204" pitchFamily="18" charset="0"/>
                          </a:rPr>
                          <m:t>Net</m:t>
                        </m:r>
                        <m:r>
                          <a:rPr lang="en-US" sz="800" b="0" i="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Interest</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Income</m:t>
                        </m:r>
                        <m:r>
                          <a:rPr lang="en-US" sz="800">
                            <a:latin typeface="Cambria Math" panose="02040503050406030204" pitchFamily="18" charset="0"/>
                            <a:ea typeface="Cambria Math" panose="02040503050406030204" pitchFamily="18" charset="0"/>
                          </a:rPr>
                          <m:t>+</m:t>
                        </m:r>
                        <m:r>
                          <m:rPr>
                            <m:sty m:val="p"/>
                          </m:rPr>
                          <a:rPr lang="en-US" sz="800">
                            <a:latin typeface="Cambria Math" panose="02040503050406030204" pitchFamily="18" charset="0"/>
                            <a:ea typeface="Cambria Math" panose="02040503050406030204" pitchFamily="18" charset="0"/>
                          </a:rPr>
                          <m:t>Net</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result</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from</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services</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and</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comissions</m:t>
                        </m:r>
                        <m:r>
                          <a:rPr lang="en-US" sz="800">
                            <a:latin typeface="Cambria Math" panose="02040503050406030204" pitchFamily="18" charset="0"/>
                            <a:ea typeface="Cambria Math" panose="02040503050406030204" pitchFamily="18" charset="0"/>
                          </a:rPr>
                          <m:t>+</m:t>
                        </m:r>
                        <m:r>
                          <m:rPr>
                            <m:sty m:val="p"/>
                          </m:rPr>
                          <a:rPr lang="en-US" sz="800">
                            <a:latin typeface="Cambria Math" panose="02040503050406030204" pitchFamily="18" charset="0"/>
                            <a:ea typeface="Cambria Math" panose="02040503050406030204" pitchFamily="18" charset="0"/>
                          </a:rPr>
                          <m:t>Other</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revenue</m:t>
                        </m:r>
                        <m:r>
                          <a:rPr lang="en-US" sz="800">
                            <a:latin typeface="Cambria Math" panose="02040503050406030204" pitchFamily="18" charset="0"/>
                            <a:ea typeface="Cambria Math" panose="02040503050406030204" pitchFamily="18" charset="0"/>
                          </a:rPr>
                          <m:t>−</m:t>
                        </m:r>
                        <m:r>
                          <m:rPr>
                            <m:sty m:val="p"/>
                          </m:rPr>
                          <a:rPr lang="en-US" sz="800">
                            <a:latin typeface="Cambria Math" panose="02040503050406030204" pitchFamily="18" charset="0"/>
                            <a:ea typeface="Cambria Math" panose="02040503050406030204" pitchFamily="18" charset="0"/>
                          </a:rPr>
                          <m:t>Tax</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expense</m:t>
                        </m:r>
                      </m:den>
                    </m:f>
                    <m:r>
                      <a:rPr lang="en-US" sz="800" i="1">
                        <a:latin typeface="Cambria Math" panose="02040503050406030204" pitchFamily="18" charset="0"/>
                        <a:ea typeface="Cambria Math" panose="02040503050406030204" pitchFamily="18" charset="0"/>
                      </a:rPr>
                      <m:t> </m:t>
                    </m:r>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Annualized interest rates:</a:t>
              </a:r>
            </a:p>
            <a:p>
              <a:pPr algn="just"/>
              <a:r>
                <a:rPr lang="en-US" sz="900">
                  <a:latin typeface="Calibri" panose="020F0502020204030204" pitchFamily="34" charset="0"/>
                  <a:ea typeface="Inter" panose="020B0502030000000004" pitchFamily="34" charset="0"/>
                  <a:cs typeface="Calibri" panose="020F0502020204030204" pitchFamily="34" charset="0"/>
                </a:rPr>
                <a:t>Yearly rate calculated by multiplying the quarterly interest by four, over the average portfolio of the last two quarters. All-in loans rate considers Real Estate, Personnal +FGTS, SMBs, Credit Card, excluding non-interest earnings credit card receivables, and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Anticipation of credit card receivables:</a:t>
              </a:r>
            </a:p>
            <a:p>
              <a:pPr algn="just"/>
              <a:r>
                <a:rPr lang="en-US" sz="900">
                  <a:latin typeface="Calibri" panose="020F0502020204030204" pitchFamily="34" charset="0"/>
                  <a:ea typeface="Inter" panose="020B0502030000000004" pitchFamily="34" charset="0"/>
                  <a:cs typeface="Calibri" panose="020F0502020204030204" pitchFamily="34" charset="0"/>
                </a:rPr>
                <a:t>Disclosed in note 9.a of the Financial Statements, line " "Loans to financial institutions”.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lgn="just"/>
              <a:r>
                <a:rPr lang="en-US" sz="900" b="1">
                  <a:latin typeface="Calibri" panose="020F0502020204030204" pitchFamily="34" charset="0"/>
                  <a:cs typeface="Calibri" panose="020F0502020204030204" pitchFamily="34" charset="0"/>
                </a:rPr>
                <a:t>ARPAC gross of interest expenses: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ea typeface="Cambria Math" panose="02040503050406030204" pitchFamily="18" charset="0"/>
                            <a:cs typeface="Sora" pitchFamily="2" charset="0"/>
                          </a:rPr>
                        </m:ctrlPr>
                      </m:fPr>
                      <m:num>
                        <m:eqArr>
                          <m:eqArrPr>
                            <m:ctrlPr>
                              <a:rPr lang="en-US" sz="800" b="0" i="1">
                                <a:solidFill>
                                  <a:schemeClr val="tx1"/>
                                </a:solidFill>
                                <a:latin typeface="Cambria Math" panose="02040503050406030204" pitchFamily="18" charset="0"/>
                                <a:ea typeface="Cambria Math" panose="02040503050406030204" pitchFamily="18" charset="0"/>
                                <a:cs typeface="Sora" pitchFamily="2" charset="0"/>
                              </a:rPr>
                            </m:ctrlPr>
                          </m:eqArrPr>
                          <m:e>
                            <m:r>
                              <a:rPr lang="en-US" sz="800" b="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Interest</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income</m:t>
                            </m:r>
                            <m:r>
                              <a:rPr lang="en-US" sz="800" b="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Revenue</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from</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services</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and</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comissions</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Cashback</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Inter</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rewards</m:t>
                            </m:r>
                            <m:r>
                              <a:rPr lang="en-US" sz="800" b="0" i="0">
                                <a:solidFill>
                                  <a:schemeClr val="tx1"/>
                                </a:solidFill>
                                <a:latin typeface="Cambria Math" panose="02040503050406030204" pitchFamily="18" charset="0"/>
                                <a:ea typeface="Cambria Math" panose="02040503050406030204" pitchFamily="18" charset="0"/>
                                <a:cs typeface="Sora" pitchFamily="2" charset="0"/>
                              </a:rPr>
                              <m:t>)</m:t>
                            </m:r>
                          </m:e>
                          <m:e>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Income</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from</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securities</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and</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derivarives</m:t>
                            </m:r>
                            <m:r>
                              <a:rPr lang="en-US" sz="800" b="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Other</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revenue</m:t>
                            </m:r>
                            <m:r>
                              <a:rPr lang="en-US" sz="800" b="0" i="0">
                                <a:solidFill>
                                  <a:schemeClr val="tx1"/>
                                </a:solidFill>
                                <a:latin typeface="Cambria Math" panose="02040503050406030204" pitchFamily="18" charset="0"/>
                                <a:ea typeface="Cambria Math" panose="02040503050406030204" pitchFamily="18" charset="0"/>
                                <a:cs typeface="Sora" pitchFamily="2" charset="0"/>
                              </a:rPr>
                              <m:t>)÷3</m:t>
                            </m:r>
                          </m:e>
                        </m:eqArr>
                      </m:num>
                      <m:den>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Average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of</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the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last</m:t>
                        </m:r>
                        <m:r>
                          <a:rPr lang="en-US" sz="800" i="0">
                            <a:solidFill>
                              <a:schemeClr val="tx1"/>
                            </a:solidFill>
                            <a:latin typeface="Cambria Math" panose="02040503050406030204" pitchFamily="18" charset="0"/>
                            <a:ea typeface="Cambria Math" panose="02040503050406030204" pitchFamily="18" charset="0"/>
                            <a:cs typeface="Sora" pitchFamily="2" charset="0"/>
                          </a:rPr>
                          <m:t> 2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quarters</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Active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Clients</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net of interest expenses:</a:t>
              </a:r>
            </a:p>
            <a:p>
              <a:pPr algn="ctr"/>
              <a:br>
                <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rPr>
              </a:b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ea typeface="Cambria Math" panose="02040503050406030204" pitchFamily="18" charset="0"/>
                            <a:cs typeface="Sora" pitchFamily="2" charset="0"/>
                          </a:rPr>
                        </m:ctrlPr>
                      </m:fPr>
                      <m:num>
                        <m:r>
                          <a:rPr lang="en-US" sz="80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Revenue</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Interest</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expenses</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a:rPr lang="en-US" sz="800" b="0" i="0">
                            <a:solidFill>
                              <a:schemeClr val="tx1"/>
                            </a:solidFill>
                            <a:latin typeface="Cambria Math" panose="02040503050406030204" pitchFamily="18" charset="0"/>
                            <a:ea typeface="Cambria Math" panose="02040503050406030204" pitchFamily="18" charset="0"/>
                            <a:cs typeface="Sora" pitchFamily="2" charset="0"/>
                          </a:rPr>
                          <m:t>3</m:t>
                        </m:r>
                      </m:num>
                      <m:den>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Average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of</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the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last</m:t>
                        </m:r>
                        <m:r>
                          <a:rPr lang="en-US" sz="800" i="0">
                            <a:solidFill>
                              <a:schemeClr val="tx1"/>
                            </a:solidFill>
                            <a:latin typeface="Cambria Math" panose="02040503050406030204" pitchFamily="18" charset="0"/>
                            <a:ea typeface="Cambria Math" panose="02040503050406030204" pitchFamily="18" charset="0"/>
                            <a:cs typeface="Sora" pitchFamily="2" charset="0"/>
                          </a:rPr>
                          <m:t> 2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quarters</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Active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Clients</m:t>
                        </m:r>
                      </m:den>
                    </m:f>
                  </m:oMath>
                </m:oMathPara>
              </a14:m>
              <a:endPar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endParaRPr>
            </a:p>
            <a:p>
              <a:pPr algn="ctr"/>
              <a:endParaRPr lang="en-US" sz="8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per quarterly cohort:</a:t>
              </a:r>
            </a:p>
            <a:p>
              <a:pPr algn="just"/>
              <a:r>
                <a:rPr lang="en-US" sz="900">
                  <a:latin typeface="Calibri" panose="020F0502020204030204" pitchFamily="34" charset="0"/>
                  <a:ea typeface="Inter" panose="020B0502030000000004" pitchFamily="34" charset="0"/>
                  <a:cs typeface="Calibri" panose="020F0502020204030204" pitchFamily="34" charset="0"/>
                </a:rPr>
                <a:t>Total Gross revenue net of interest expenses in a given cohort divided by the average number of active clients in the current and previous periods1. Cohort is defined as the period in which the client started his relationship with Inter.</a:t>
              </a:r>
              <a:br>
                <a:rPr lang="en-US" sz="900">
                  <a:latin typeface="Calibri" panose="020F0502020204030204" pitchFamily="34" charset="0"/>
                  <a:ea typeface="Inter" panose="020B0502030000000004" pitchFamily="34" charset="0"/>
                  <a:cs typeface="Calibri" panose="020F0502020204030204" pitchFamily="34" charset="0"/>
                </a:rPr>
              </a:br>
              <a:endParaRPr lang="en-US" sz="900">
                <a:latin typeface="Calibri" panose="020F0502020204030204" pitchFamily="34" charset="0"/>
                <a:ea typeface="Inter" panose="020B0502030000000004" pitchFamily="34" charset="0"/>
                <a:cs typeface="Calibri" panose="020F0502020204030204" pitchFamily="34" charset="0"/>
              </a:endParaRPr>
            </a:p>
            <a:p>
              <a:r>
                <a:rPr lang="en-US" sz="900" baseline="30000">
                  <a:latin typeface="Calibri" panose="020F0502020204030204" pitchFamily="34" charset="0"/>
                  <a:ea typeface="Cambria Math" panose="02040503050406030204" pitchFamily="18" charset="0"/>
                  <a:cs typeface="Calibri" panose="020F0502020204030204" pitchFamily="34" charset="0"/>
                </a:rPr>
                <a:t>1 - Average number of active clients in the current and previous periods: For the first period, is used the total number of active clients in the end of the period.</a:t>
              </a: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Assets under custody (AuC):</a:t>
              </a:r>
            </a:p>
            <a:p>
              <a:pPr algn="just"/>
              <a:r>
                <a:rPr lang="en-US" sz="900">
                  <a:latin typeface="Calibri" panose="020F0502020204030204" pitchFamily="34" charset="0"/>
                  <a:ea typeface="Inter" panose="020B0502030000000004" pitchFamily="34" charset="0"/>
                  <a:cs typeface="Calibri" panose="020F0502020204030204" pitchFamily="34" charset="0"/>
                </a:rPr>
                <a:t>We calculate assets under custody, or AUC, at a given date as the market value of all retail clients’ assets invested through our investment platform as of that same date. We believe that AUC, as it reflects the total volume of assets invested in our investment platform without accounting for our operational efficiency, provides us useful insight on the appeal of our platform. We use this metric to monitor the size of our investment platform.</a:t>
              </a:r>
            </a:p>
            <a:p>
              <a:endParaRPr lang="en-US" sz="800">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21" name="Retângulo 9">
              <a:extLst>
                <a:ext uri="{FF2B5EF4-FFF2-40B4-BE49-F238E27FC236}">
                  <a16:creationId xmlns:a16="http://schemas.microsoft.com/office/drawing/2014/main" id="{70BBBFDC-97EA-DB78-9935-3D590DAA2910}"/>
                </a:ext>
              </a:extLst>
            </xdr:cNvPr>
            <xdr:cNvSpPr/>
          </xdr:nvSpPr>
          <xdr:spPr>
            <a:xfrm>
              <a:off x="177800" y="9755072"/>
              <a:ext cx="5764771" cy="5891036"/>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Administrative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r>
                <a:rPr lang="en-US" sz="800" i="0">
                  <a:latin typeface="Cambria Math" panose="02040503050406030204" pitchFamily="18" charset="0"/>
                  <a:ea typeface="Cambria Math" panose="02040503050406030204" pitchFamily="18" charset="0"/>
                </a:rPr>
                <a:t>(</a:t>
              </a:r>
              <a:r>
                <a:rPr lang="pt-BR" sz="800" i="0">
                  <a:latin typeface="Cambria Math" panose="02040503050406030204" pitchFamily="18" charset="0"/>
                  <a:ea typeface="Cambria Math" panose="02040503050406030204" pitchFamily="18" charset="0"/>
                </a:rPr>
                <a:t>Administrative expenses+Depreciation and amortization</a:t>
              </a:r>
              <a:r>
                <a:rPr lang="en-US" sz="800" i="0">
                  <a:latin typeface="Cambria Math" panose="02040503050406030204" pitchFamily="18" charset="0"/>
                  <a:ea typeface="Cambria Math" panose="02040503050406030204" pitchFamily="18" charset="0"/>
                </a:rPr>
                <a:t>)/(</a:t>
              </a:r>
              <a:r>
                <a:rPr lang="en-US" sz="800" b="0" i="0">
                  <a:latin typeface="Cambria Math" panose="02040503050406030204" pitchFamily="18" charset="0"/>
                  <a:ea typeface="Cambria Math" panose="02040503050406030204" pitchFamily="18" charset="0"/>
                </a:rPr>
                <a:t>Net </a:t>
              </a:r>
              <a:r>
                <a:rPr lang="en-US" sz="800" i="0">
                  <a:latin typeface="Cambria Math" panose="02040503050406030204" pitchFamily="18" charset="0"/>
                  <a:ea typeface="Cambria Math" panose="02040503050406030204" pitchFamily="18" charset="0"/>
                </a:rPr>
                <a:t>Interest Income+Net result from services and comissions+Other revenue−Tax expense)  </a:t>
              </a: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Annualized interest rates:</a:t>
              </a:r>
            </a:p>
            <a:p>
              <a:pPr algn="just"/>
              <a:r>
                <a:rPr lang="en-US" sz="900">
                  <a:latin typeface="Calibri" panose="020F0502020204030204" pitchFamily="34" charset="0"/>
                  <a:ea typeface="Inter" panose="020B0502030000000004" pitchFamily="34" charset="0"/>
                  <a:cs typeface="Calibri" panose="020F0502020204030204" pitchFamily="34" charset="0"/>
                </a:rPr>
                <a:t>Yearly rate calculated by multiplying the quarterly interest by four, over the average portfolio of the last two quarters. All-in loans rate considers Real Estate, Personnal +FGTS, SMBs, Credit Card, excluding non-interest earnings credit card receivables, and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Anticipation of credit card receivables:</a:t>
              </a:r>
            </a:p>
            <a:p>
              <a:pPr algn="just"/>
              <a:r>
                <a:rPr lang="en-US" sz="900">
                  <a:latin typeface="Calibri" panose="020F0502020204030204" pitchFamily="34" charset="0"/>
                  <a:ea typeface="Inter" panose="020B0502030000000004" pitchFamily="34" charset="0"/>
                  <a:cs typeface="Calibri" panose="020F0502020204030204" pitchFamily="34" charset="0"/>
                </a:rPr>
                <a:t>Disclosed in note 9.a of the Financial Statements, line " "Loans to financial institutions”.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lgn="just"/>
              <a:r>
                <a:rPr lang="en-US" sz="900" b="1">
                  <a:latin typeface="Calibri" panose="020F0502020204030204" pitchFamily="34" charset="0"/>
                  <a:cs typeface="Calibri" panose="020F0502020204030204" pitchFamily="34" charset="0"/>
                </a:rPr>
                <a:t>ARPAC gross of interest expenses: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r>
                <a:rPr lang="en-US" sz="800" b="0" i="0">
                  <a:solidFill>
                    <a:schemeClr val="tx1"/>
                  </a:solidFill>
                  <a:latin typeface="Cambria Math" panose="02040503050406030204" pitchFamily="18" charset="0"/>
                  <a:ea typeface="Cambria Math" panose="02040503050406030204" pitchFamily="18" charset="0"/>
                  <a:cs typeface="Sora" pitchFamily="2" charset="0"/>
                </a:rPr>
                <a:t>█((Interest income+(Revenue from services and comissions −Cashback −Inter rewards)@+ Income from securities and derivarives+Other revenue)÷3)/(</a:t>
              </a:r>
              <a:r>
                <a:rPr lang="en-US" sz="800" i="0">
                  <a:solidFill>
                    <a:schemeClr val="tx1"/>
                  </a:solidFill>
                  <a:latin typeface="Cambria Math" panose="02040503050406030204" pitchFamily="18" charset="0"/>
                  <a:ea typeface="Cambria Math" panose="02040503050406030204" pitchFamily="18" charset="0"/>
                  <a:cs typeface="Sora" pitchFamily="2" charset="0"/>
                </a:rPr>
                <a:t>Average of the last 2 quarters Active Clients)</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net of interest expenses:</a:t>
              </a:r>
            </a:p>
            <a:p>
              <a:pPr algn="ctr"/>
              <a:br>
                <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rPr>
              </a:br>
              <a:r>
                <a:rPr lang="en-US" sz="800" i="0">
                  <a:solidFill>
                    <a:schemeClr val="tx1"/>
                  </a:solidFill>
                  <a:latin typeface="Cambria Math" panose="02040503050406030204" pitchFamily="18" charset="0"/>
                  <a:ea typeface="Cambria Math" panose="02040503050406030204" pitchFamily="18" charset="0"/>
                  <a:cs typeface="Sora" pitchFamily="2" charset="0"/>
                </a:rPr>
                <a:t>((</a:t>
              </a:r>
              <a:r>
                <a:rPr lang="en-US" sz="800" b="0" i="0">
                  <a:solidFill>
                    <a:schemeClr val="tx1"/>
                  </a:solidFill>
                  <a:latin typeface="Cambria Math" panose="02040503050406030204" pitchFamily="18" charset="0"/>
                  <a:ea typeface="Cambria Math" panose="02040503050406030204" pitchFamily="18" charset="0"/>
                  <a:cs typeface="Sora" pitchFamily="2" charset="0"/>
                </a:rPr>
                <a:t>Revenue −Interest expenses</a:t>
              </a:r>
              <a:r>
                <a:rPr lang="en-US" sz="800" i="0">
                  <a:solidFill>
                    <a:schemeClr val="tx1"/>
                  </a:solidFill>
                  <a:latin typeface="Cambria Math" panose="02040503050406030204" pitchFamily="18" charset="0"/>
                  <a:ea typeface="Cambria Math" panose="02040503050406030204" pitchFamily="18" charset="0"/>
                  <a:cs typeface="Sora" pitchFamily="2" charset="0"/>
                </a:rPr>
                <a:t>)  ÷</a:t>
              </a:r>
              <a:r>
                <a:rPr lang="en-US" sz="800" b="0" i="0">
                  <a:solidFill>
                    <a:schemeClr val="tx1"/>
                  </a:solidFill>
                  <a:latin typeface="Cambria Math" panose="02040503050406030204" pitchFamily="18" charset="0"/>
                  <a:ea typeface="Cambria Math" panose="02040503050406030204" pitchFamily="18" charset="0"/>
                  <a:cs typeface="Sora" pitchFamily="2" charset="0"/>
                </a:rPr>
                <a:t>3)/(</a:t>
              </a:r>
              <a:r>
                <a:rPr lang="en-US" sz="800" i="0">
                  <a:solidFill>
                    <a:schemeClr val="tx1"/>
                  </a:solidFill>
                  <a:latin typeface="Cambria Math" panose="02040503050406030204" pitchFamily="18" charset="0"/>
                  <a:ea typeface="Cambria Math" panose="02040503050406030204" pitchFamily="18" charset="0"/>
                  <a:cs typeface="Sora" pitchFamily="2" charset="0"/>
                </a:rPr>
                <a:t>Average of the last 2 quarters Active Clients)</a:t>
              </a:r>
              <a:endPar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endParaRPr>
            </a:p>
            <a:p>
              <a:pPr algn="ctr"/>
              <a:endParaRPr lang="en-US" sz="8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per quarterly cohort:</a:t>
              </a:r>
            </a:p>
            <a:p>
              <a:pPr algn="just"/>
              <a:r>
                <a:rPr lang="en-US" sz="900">
                  <a:latin typeface="Calibri" panose="020F0502020204030204" pitchFamily="34" charset="0"/>
                  <a:ea typeface="Inter" panose="020B0502030000000004" pitchFamily="34" charset="0"/>
                  <a:cs typeface="Calibri" panose="020F0502020204030204" pitchFamily="34" charset="0"/>
                </a:rPr>
                <a:t>Total Gross revenue net of interest expenses in a given cohort divided by the average number of active clients in the current and previous periods1. Cohort is defined as the period in which the client started his relationship with Inter.</a:t>
              </a:r>
              <a:br>
                <a:rPr lang="en-US" sz="900">
                  <a:latin typeface="Calibri" panose="020F0502020204030204" pitchFamily="34" charset="0"/>
                  <a:ea typeface="Inter" panose="020B0502030000000004" pitchFamily="34" charset="0"/>
                  <a:cs typeface="Calibri" panose="020F0502020204030204" pitchFamily="34" charset="0"/>
                </a:rPr>
              </a:br>
              <a:endParaRPr lang="en-US" sz="900">
                <a:latin typeface="Calibri" panose="020F0502020204030204" pitchFamily="34" charset="0"/>
                <a:ea typeface="Inter" panose="020B0502030000000004" pitchFamily="34" charset="0"/>
                <a:cs typeface="Calibri" panose="020F0502020204030204" pitchFamily="34" charset="0"/>
              </a:endParaRPr>
            </a:p>
            <a:p>
              <a:r>
                <a:rPr lang="en-US" sz="900" baseline="30000">
                  <a:latin typeface="Calibri" panose="020F0502020204030204" pitchFamily="34" charset="0"/>
                  <a:ea typeface="Cambria Math" panose="02040503050406030204" pitchFamily="18" charset="0"/>
                  <a:cs typeface="Calibri" panose="020F0502020204030204" pitchFamily="34" charset="0"/>
                </a:rPr>
                <a:t>1 - Average number of active clients in the current and previous periods: For the first period, is used the total number of active clients in the end of the period.</a:t>
              </a: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Assets under custody (AuC):</a:t>
              </a:r>
            </a:p>
            <a:p>
              <a:pPr algn="just"/>
              <a:r>
                <a:rPr lang="en-US" sz="900">
                  <a:latin typeface="Calibri" panose="020F0502020204030204" pitchFamily="34" charset="0"/>
                  <a:ea typeface="Inter" panose="020B0502030000000004" pitchFamily="34" charset="0"/>
                  <a:cs typeface="Calibri" panose="020F0502020204030204" pitchFamily="34" charset="0"/>
                </a:rPr>
                <a:t>We calculate assets under custody, or AUC, at a given date as the market value of all retail clients’ assets invested through our investment platform as of that same date. We believe that AUC, as it reflects the total volume of assets invested in our investment platform without accounting for our operational efficiency, provides us useful insight on the appeal of our platform. We use this metric to monitor the size of our investment platform.</a:t>
              </a:r>
            </a:p>
            <a:p>
              <a:endParaRPr lang="en-US" sz="800">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0</xdr:col>
      <xdr:colOff>151610</xdr:colOff>
      <xdr:row>86</xdr:row>
      <xdr:rowOff>95088</xdr:rowOff>
    </xdr:from>
    <xdr:to>
      <xdr:col>7</xdr:col>
      <xdr:colOff>119810</xdr:colOff>
      <xdr:row>117</xdr:row>
      <xdr:rowOff>137211</xdr:rowOff>
    </xdr:to>
    <mc:AlternateContent xmlns:mc="http://schemas.openxmlformats.org/markup-compatibility/2006" xmlns:a14="http://schemas.microsoft.com/office/drawing/2010/main">
      <mc:Choice Requires="a14">
        <xdr:sp macro="" textlink="">
          <xdr:nvSpPr>
            <xdr:cNvPr id="22" name="Retângulo 9">
              <a:extLst>
                <a:ext uri="{FF2B5EF4-FFF2-40B4-BE49-F238E27FC236}">
                  <a16:creationId xmlns:a16="http://schemas.microsoft.com/office/drawing/2014/main" id="{00000000-0008-0000-1600-000016000000}"/>
                </a:ext>
              </a:extLst>
            </xdr:cNvPr>
            <xdr:cNvSpPr/>
          </xdr:nvSpPr>
          <xdr:spPr>
            <a:xfrm>
              <a:off x="151610" y="15924074"/>
              <a:ext cx="5766026" cy="5747920"/>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Card fee revenue:</a:t>
              </a:r>
            </a:p>
            <a:p>
              <a:r>
                <a:rPr lang="en-US" sz="900">
                  <a:latin typeface="Calibri" panose="020F0502020204030204" pitchFamily="34" charset="0"/>
                  <a:ea typeface="Inter" panose="020B0502030000000004" pitchFamily="34" charset="0"/>
                  <a:cs typeface="Calibri" panose="020F0502020204030204" pitchFamily="34" charset="0"/>
                </a:rPr>
                <a:t>It is part of the “Revenue from services and commission” and “Other revenue” on IFRS Income Statement.  </a:t>
              </a:r>
            </a:p>
            <a:p>
              <a:endParaRPr lang="en-US" sz="8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funding:</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Interest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expenses</m:t>
                        </m:r>
                        <m:r>
                          <a:rPr lang="pt-BR" sz="80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eqArr>
                          <m:eqArrPr>
                            <m:ctrlPr>
                              <a:rPr lang="pt-BR" sz="800" i="1">
                                <a:latin typeface="Cambria Math" panose="02040503050406030204" pitchFamily="18" charset="0"/>
                                <a:ea typeface="Cambria Math" panose="02040503050406030204" pitchFamily="18" charset="0"/>
                                <a:cs typeface="Sora" pitchFamily="2" charset="0"/>
                              </a:rPr>
                            </m:ctrlPr>
                          </m:eqArrPr>
                          <m:e>
                            <m:r>
                              <m:rPr>
                                <m:sty m:val="p"/>
                              </m:rPr>
                              <a:rPr lang="pt-BR" sz="800" i="0">
                                <a:latin typeface="Cambria Math" panose="02040503050406030204" pitchFamily="18" charset="0"/>
                                <a:ea typeface="Cambria Math" panose="02040503050406030204" pitchFamily="18" charset="0"/>
                                <a:cs typeface="Sora" pitchFamily="2" charset="0"/>
                              </a:rPr>
                              <m:t>Average</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of</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last</m:t>
                            </m:r>
                            <m:r>
                              <a:rPr lang="pt-BR" sz="800" i="0">
                                <a:latin typeface="Cambria Math" panose="02040503050406030204" pitchFamily="18" charset="0"/>
                                <a:ea typeface="Cambria Math" panose="02040503050406030204" pitchFamily="18" charset="0"/>
                                <a:cs typeface="Sora" pitchFamily="2" charset="0"/>
                              </a:rPr>
                              <m:t> 2 </m:t>
                            </m:r>
                            <m:r>
                              <m:rPr>
                                <m:sty m:val="p"/>
                              </m:rPr>
                              <a:rPr lang="pt-BR" sz="800" i="0">
                                <a:latin typeface="Cambria Math" panose="02040503050406030204" pitchFamily="18" charset="0"/>
                                <a:ea typeface="Cambria Math" panose="02040503050406030204" pitchFamily="18" charset="0"/>
                                <a:cs typeface="Sora" pitchFamily="2" charset="0"/>
                              </a:rPr>
                              <m:t>quarters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Interest</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bearing</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liabilities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demand</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deposits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time</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deposits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savings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deposits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creditors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by</m:t>
                            </m:r>
                          </m:e>
                          <m:e>
                            <m:r>
                              <m:rPr>
                                <m:sty m:val="p"/>
                              </m:rPr>
                              <a:rPr lang="pt-BR" sz="800" i="0">
                                <a:latin typeface="Cambria Math" panose="02040503050406030204" pitchFamily="18" charset="0"/>
                                <a:ea typeface="Cambria Math" panose="02040503050406030204" pitchFamily="18" charset="0"/>
                                <a:cs typeface="Sora" pitchFamily="2" charset="0"/>
                              </a:rPr>
                              <m:t>resources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to</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release</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securities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issued</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securities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sold</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under</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agreements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to</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repurchase</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interbank</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deposits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and</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others</m:t>
                            </m:r>
                            <m:r>
                              <a:rPr lang="pt-BR" sz="800" b="0" i="0">
                                <a:latin typeface="Cambria Math" panose="02040503050406030204" pitchFamily="18" charset="0"/>
                                <a:ea typeface="Cambria Math" panose="02040503050406030204" pitchFamily="18" charset="0"/>
                                <a:cs typeface="Sora" pitchFamily="2" charset="0"/>
                              </a:rPr>
                              <m:t>)</m:t>
                            </m:r>
                          </m:e>
                        </m:eqArr>
                      </m:den>
                    </m:f>
                    <m:r>
                      <a:rPr lang="pt-BR" sz="800" b="0" i="1">
                        <a:latin typeface="Cambria Math" panose="02040503050406030204" pitchFamily="18" charset="0"/>
                        <a:ea typeface="Cambria Math" panose="02040503050406030204" pitchFamily="18" charset="0"/>
                        <a:cs typeface="Sora" pitchFamily="2" charset="0"/>
                      </a:rPr>
                      <m:t> </m:t>
                    </m:r>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Impairment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losses</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on</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financial</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assets</m:t>
                        </m:r>
                        <m:r>
                          <a:rPr lang="pt-BR" sz="800" b="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r>
                          <m:rPr>
                            <m:sty m:val="p"/>
                          </m:rPr>
                          <a:rPr lang="pt-BR" sz="800" i="0">
                            <a:latin typeface="Cambria Math" panose="02040503050406030204" pitchFamily="18" charset="0"/>
                            <a:ea typeface="Cambria Math" panose="02040503050406030204" pitchFamily="18" charset="0"/>
                            <a:cs typeface="Sora" pitchFamily="2" charset="0"/>
                          </a:rPr>
                          <m:t>Average</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of</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last</m:t>
                        </m:r>
                        <m:r>
                          <a:rPr lang="pt-BR" sz="800" i="0">
                            <a:latin typeface="Cambria Math" panose="02040503050406030204" pitchFamily="18" charset="0"/>
                            <a:ea typeface="Cambria Math" panose="02040503050406030204" pitchFamily="18" charset="0"/>
                            <a:cs typeface="Sora" pitchFamily="2" charset="0"/>
                          </a:rPr>
                          <m:t> 2 </m:t>
                        </m:r>
                        <m:r>
                          <m:rPr>
                            <m:sty m:val="p"/>
                          </m:rPr>
                          <a:rPr lang="pt-BR" sz="800" i="0">
                            <a:latin typeface="Cambria Math" panose="02040503050406030204" pitchFamily="18" charset="0"/>
                            <a:ea typeface="Cambria Math" panose="02040503050406030204" pitchFamily="18" charset="0"/>
                            <a:cs typeface="Sora" pitchFamily="2" charset="0"/>
                          </a:rPr>
                          <m:t>quarters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of</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Loans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and</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advances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to</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customers</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Impairment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losses</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on</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financial</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assets</m:t>
                        </m:r>
                        <m:r>
                          <a:rPr lang="pt-BR" sz="800" b="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r>
                          <m:rPr>
                            <m:sty m:val="p"/>
                          </m:rPr>
                          <a:rPr lang="pt-BR" sz="800">
                            <a:latin typeface="Cambria Math" panose="02040503050406030204" pitchFamily="18" charset="0"/>
                            <a:ea typeface="Cambria Math" panose="02040503050406030204" pitchFamily="18" charset="0"/>
                            <a:cs typeface="Sora" pitchFamily="2" charset="0"/>
                          </a:rPr>
                          <m:t>Average</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last</m:t>
                        </m:r>
                        <m:r>
                          <a:rPr lang="pt-BR" sz="800">
                            <a:latin typeface="Cambria Math" panose="02040503050406030204" pitchFamily="18" charset="0"/>
                            <a:ea typeface="Cambria Math" panose="02040503050406030204" pitchFamily="18" charset="0"/>
                            <a:cs typeface="Sora" pitchFamily="2" charset="0"/>
                          </a:rPr>
                          <m:t> 2 </m:t>
                        </m:r>
                        <m:r>
                          <m:rPr>
                            <m:sty m:val="p"/>
                          </m:rPr>
                          <a:rPr lang="pt-BR" sz="800">
                            <a:latin typeface="Cambria Math" panose="02040503050406030204" pitchFamily="18" charset="0"/>
                            <a:ea typeface="Cambria Math" panose="02040503050406030204" pitchFamily="18" charset="0"/>
                            <a:cs typeface="Sora" pitchFamily="2" charset="0"/>
                          </a:rPr>
                          <m:t>quarters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Loans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and</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advances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to</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customers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excluding</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anticipation</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credit</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card</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receivables</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credit card:</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Impairment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losses</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on</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financial</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assets</m:t>
                        </m:r>
                        <m:r>
                          <a:rPr lang="pt-BR" sz="800" b="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r>
                          <m:rPr>
                            <m:sty m:val="p"/>
                          </m:rPr>
                          <a:rPr lang="pt-BR" sz="800">
                            <a:latin typeface="Cambria Math" panose="02040503050406030204" pitchFamily="18" charset="0"/>
                            <a:ea typeface="Cambria Math" panose="02040503050406030204" pitchFamily="18" charset="0"/>
                            <a:cs typeface="Sora" pitchFamily="2" charset="0"/>
                          </a:rPr>
                          <m:t>Average</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last</m:t>
                        </m:r>
                        <m:r>
                          <a:rPr lang="pt-BR" sz="800">
                            <a:latin typeface="Cambria Math" panose="02040503050406030204" pitchFamily="18" charset="0"/>
                            <a:ea typeface="Cambria Math" panose="02040503050406030204" pitchFamily="18" charset="0"/>
                            <a:cs typeface="Sora" pitchFamily="2" charset="0"/>
                          </a:rPr>
                          <m:t> 2 </m:t>
                        </m:r>
                        <m:r>
                          <m:rPr>
                            <m:sty m:val="p"/>
                          </m:rPr>
                          <a:rPr lang="pt-BR" sz="800">
                            <a:latin typeface="Cambria Math" panose="02040503050406030204" pitchFamily="18" charset="0"/>
                            <a:ea typeface="Cambria Math" panose="02040503050406030204" pitchFamily="18" charset="0"/>
                            <a:cs typeface="Sora" pitchFamily="2" charset="0"/>
                          </a:rPr>
                          <m:t>quarters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Loans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and</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advances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to</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customers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excluding</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credit</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card</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Cost-to-serve (CTS):</a:t>
              </a:r>
            </a:p>
            <a:p>
              <a:pPr algn="ctr"/>
              <a:endParaRPr lang="en-US"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800" i="1">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ctrlPr>
                      </m:fPr>
                      <m:num>
                        <m:d>
                          <m:dPr>
                            <m:ctrlPr>
                              <a:rPr lang="en-US" sz="800" i="1">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ctrlPr>
                          </m:dPr>
                          <m:e>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Personnel</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Expense</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Administrative</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Expenses</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Total</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CAC</m:t>
                            </m:r>
                          </m:e>
                        </m:d>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÷3</m:t>
                        </m:r>
                      </m:num>
                      <m:den>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Average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of</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the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last</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2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quarters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Active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Clients</m:t>
                        </m:r>
                      </m:den>
                    </m:f>
                    <m:r>
                      <a:rPr lang="pt-BR" sz="800" i="1">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i="1">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22" name="Retângulo 9">
              <a:extLst>
                <a:ext uri="{FF2B5EF4-FFF2-40B4-BE49-F238E27FC236}">
                  <a16:creationId xmlns:a16="http://schemas.microsoft.com/office/drawing/2014/main" id="{E053E71D-69F7-C852-2686-4DDCCC5EB831}"/>
                </a:ext>
              </a:extLst>
            </xdr:cNvPr>
            <xdr:cNvSpPr/>
          </xdr:nvSpPr>
          <xdr:spPr>
            <a:xfrm>
              <a:off x="151610" y="15924074"/>
              <a:ext cx="5766026" cy="5747920"/>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Card fee revenue:</a:t>
              </a:r>
            </a:p>
            <a:p>
              <a:r>
                <a:rPr lang="en-US" sz="900">
                  <a:latin typeface="Calibri" panose="020F0502020204030204" pitchFamily="34" charset="0"/>
                  <a:ea typeface="Inter" panose="020B0502030000000004" pitchFamily="34" charset="0"/>
                  <a:cs typeface="Calibri" panose="020F0502020204030204" pitchFamily="34" charset="0"/>
                </a:rPr>
                <a:t>It is part of the “Revenue from services and commission” and “Other revenue” on IFRS Income Statement.  </a:t>
              </a:r>
            </a:p>
            <a:p>
              <a:endParaRPr lang="en-US" sz="8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funding:</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(Interest expenses</a:t>
              </a:r>
              <a:r>
                <a:rPr lang="pt-BR" sz="80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 Interest bearing liabilities (demand deposits, time deposits, savings </a:t>
              </a:r>
              <a:r>
                <a:rPr lang="pt-BR" sz="800" b="0" i="0">
                  <a:latin typeface="Cambria Math" panose="02040503050406030204" pitchFamily="18" charset="0"/>
                  <a:ea typeface="Cambria Math" panose="02040503050406030204" pitchFamily="18" charset="0"/>
                  <a:cs typeface="Sora" pitchFamily="2" charset="0"/>
                </a:rPr>
                <a:t>deposits, creditors by@</a:t>
              </a:r>
              <a:r>
                <a:rPr lang="pt-BR" sz="800" i="0">
                  <a:latin typeface="Cambria Math" panose="02040503050406030204" pitchFamily="18" charset="0"/>
                  <a:ea typeface="Cambria Math" panose="02040503050406030204" pitchFamily="18" charset="0"/>
                  <a:cs typeface="Sora" pitchFamily="2" charset="0"/>
                </a:rPr>
                <a:t>resources to release</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cs typeface="Sora" pitchFamily="2" charset="0"/>
                </a:rPr>
                <a:t>securities issued</a:t>
              </a:r>
              <a:r>
                <a:rPr lang="pt-BR" sz="800" b="0" i="0">
                  <a:latin typeface="Cambria Math" panose="02040503050406030204" pitchFamily="18" charset="0"/>
                  <a:ea typeface="Cambria Math" panose="02040503050406030204" pitchFamily="18" charset="0"/>
                  <a:cs typeface="Sora" pitchFamily="2" charset="0"/>
                </a:rPr>
                <a:t>, securities sold under agreements to repurchase, interbank deposits and others))  </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(Impairment losses on financial assets</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a:t>
              </a:r>
              <a:r>
                <a:rPr lang="pt-BR" sz="800" b="0" i="0">
                  <a:latin typeface="Cambria Math" panose="02040503050406030204" pitchFamily="18" charset="0"/>
                  <a:ea typeface="Cambria Math" panose="02040503050406030204" pitchFamily="18" charset="0"/>
                  <a:cs typeface="Sora" pitchFamily="2" charset="0"/>
                </a:rPr>
                <a:t> of Loans</a:t>
              </a:r>
              <a:r>
                <a:rPr lang="pt-BR" sz="800" i="0">
                  <a:latin typeface="Cambria Math" panose="02040503050406030204" pitchFamily="18" charset="0"/>
                  <a:ea typeface="Cambria Math" panose="02040503050406030204" pitchFamily="18" charset="0"/>
                  <a:cs typeface="Sora" pitchFamily="2" charset="0"/>
                </a:rPr>
                <a:t> and advances to c</a:t>
              </a:r>
              <a:r>
                <a:rPr lang="pt-BR" sz="800" b="0" i="0">
                  <a:latin typeface="Cambria Math" panose="02040503050406030204" pitchFamily="18" charset="0"/>
                  <a:ea typeface="Cambria Math" panose="02040503050406030204" pitchFamily="18" charset="0"/>
                  <a:cs typeface="Sora" pitchFamily="2" charset="0"/>
                </a:rPr>
                <a:t>ustomer</a:t>
              </a:r>
              <a:r>
                <a:rPr lang="pt-BR" sz="800" i="0">
                  <a:latin typeface="Cambria Math" panose="02040503050406030204" pitchFamily="18" charset="0"/>
                  <a:ea typeface="Cambria Math" panose="02040503050406030204" pitchFamily="18" charset="0"/>
                  <a:cs typeface="Sora" pitchFamily="2" charset="0"/>
                </a:rPr>
                <a:t>s</a:t>
              </a:r>
              <a:r>
                <a:rPr lang="en-US" sz="800" i="0">
                  <a:latin typeface="Cambria Math" panose="02040503050406030204" pitchFamily="18" charset="0"/>
                  <a:ea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(Impairment losses on financial assets</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 of Loans and advances to customers excluding anticipation of credit card receivables</a:t>
              </a:r>
              <a:r>
                <a:rPr lang="en-US" sz="800" i="0">
                  <a:latin typeface="Cambria Math" panose="02040503050406030204" pitchFamily="18" charset="0"/>
                  <a:ea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credit card:</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(Impairment losses on financial assets</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 of Loans and advances to customers excluding credit card</a:t>
              </a:r>
              <a:r>
                <a:rPr lang="en-US" sz="800" i="0">
                  <a:latin typeface="Cambria Math" panose="02040503050406030204" pitchFamily="18" charset="0"/>
                  <a:ea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Cost-to-serve (CTS):</a:t>
              </a:r>
            </a:p>
            <a:p>
              <a:pPr algn="ctr"/>
              <a:endParaRPr lang="en-US"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r>
                <a:rPr lang="en-US"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((Personnel Expense+Administrative Expenses −</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Total CAC)</a:t>
              </a:r>
              <a:r>
                <a:rPr lang="en-US"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÷3)/(</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Average of the last 2 quarters Active Clients</a:t>
              </a:r>
              <a:r>
                <a:rPr lang="en-US"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  </a:t>
              </a: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i="1">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7</xdr:col>
      <xdr:colOff>254000</xdr:colOff>
      <xdr:row>0</xdr:row>
      <xdr:rowOff>127258</xdr:rowOff>
    </xdr:from>
    <xdr:to>
      <xdr:col>7</xdr:col>
      <xdr:colOff>254000</xdr:colOff>
      <xdr:row>226</xdr:row>
      <xdr:rowOff>76200</xdr:rowOff>
    </xdr:to>
    <xdr:cxnSp macro="">
      <xdr:nvCxnSpPr>
        <xdr:cNvPr id="29" name="Straight Connector 28">
          <a:extLst>
            <a:ext uri="{FF2B5EF4-FFF2-40B4-BE49-F238E27FC236}">
              <a16:creationId xmlns:a16="http://schemas.microsoft.com/office/drawing/2014/main" id="{00000000-0008-0000-1600-00001D000000}"/>
            </a:ext>
          </a:extLst>
        </xdr:cNvPr>
        <xdr:cNvCxnSpPr>
          <a:cxnSpLocks/>
        </xdr:cNvCxnSpPr>
      </xdr:nvCxnSpPr>
      <xdr:spPr>
        <a:xfrm flipH="1">
          <a:off x="6121400" y="127258"/>
          <a:ext cx="0" cy="45872142"/>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xdr:from>
      <xdr:col>0</xdr:col>
      <xdr:colOff>161844</xdr:colOff>
      <xdr:row>116</xdr:row>
      <xdr:rowOff>169334</xdr:rowOff>
    </xdr:from>
    <xdr:to>
      <xdr:col>7</xdr:col>
      <xdr:colOff>128789</xdr:colOff>
      <xdr:row>146</xdr:row>
      <xdr:rowOff>166606</xdr:rowOff>
    </xdr:to>
    <mc:AlternateContent xmlns:mc="http://schemas.openxmlformats.org/markup-compatibility/2006" xmlns:a14="http://schemas.microsoft.com/office/drawing/2010/main">
      <mc:Choice Requires="a14">
        <xdr:sp macro="" textlink="">
          <xdr:nvSpPr>
            <xdr:cNvPr id="30" name="Retângulo 9">
              <a:extLst>
                <a:ext uri="{FF2B5EF4-FFF2-40B4-BE49-F238E27FC236}">
                  <a16:creationId xmlns:a16="http://schemas.microsoft.com/office/drawing/2014/main" id="{00000000-0008-0000-1600-00001E000000}"/>
                </a:ext>
              </a:extLst>
            </xdr:cNvPr>
            <xdr:cNvSpPr/>
          </xdr:nvSpPr>
          <xdr:spPr>
            <a:xfrm>
              <a:off x="161844" y="21520059"/>
              <a:ext cx="5764771" cy="5519011"/>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Coverage ratio:</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i="0">
                            <a:latin typeface="Cambria Math" panose="02040503050406030204" pitchFamily="18" charset="0"/>
                            <a:ea typeface="Cambria Math" panose="02040503050406030204" pitchFamily="18" charset="0"/>
                          </a:rPr>
                          <m:t>Provision</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for</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expected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credit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loss</m:t>
                        </m:r>
                      </m:num>
                      <m:den>
                        <m:r>
                          <m:rPr>
                            <m:sty m:val="p"/>
                          </m:rPr>
                          <a:rPr lang="pt-BR" sz="900" b="0" i="0">
                            <a:latin typeface="Cambria Math" panose="02040503050406030204" pitchFamily="18" charset="0"/>
                            <a:ea typeface="Cambria Math" panose="02040503050406030204" pitchFamily="18" charset="0"/>
                          </a:rPr>
                          <m:t>O</m:t>
                        </m:r>
                        <m:r>
                          <m:rPr>
                            <m:sty m:val="p"/>
                          </m:rPr>
                          <a:rPr lang="pt-BR" sz="900" i="0">
                            <a:latin typeface="Cambria Math" panose="02040503050406030204" pitchFamily="18" charset="0"/>
                            <a:ea typeface="Cambria Math" panose="02040503050406030204" pitchFamily="18" charset="0"/>
                          </a:rPr>
                          <m:t>verdue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higher</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than</m:t>
                        </m:r>
                        <m:r>
                          <a:rPr lang="pt-BR" sz="900" i="0">
                            <a:latin typeface="Cambria Math" panose="02040503050406030204" pitchFamily="18" charset="0"/>
                            <a:ea typeface="Cambria Math" panose="02040503050406030204" pitchFamily="18" charset="0"/>
                          </a:rPr>
                          <m:t> 90 </m:t>
                        </m:r>
                        <m:r>
                          <m:rPr>
                            <m:sty m:val="p"/>
                          </m:rPr>
                          <a:rPr lang="pt-BR" sz="900" i="0">
                            <a:latin typeface="Cambria Math" panose="02040503050406030204" pitchFamily="18" charset="0"/>
                            <a:ea typeface="Cambria Math" panose="02040503050406030204" pitchFamily="18" charset="0"/>
                          </a:rPr>
                          <m:t>days</m:t>
                        </m:r>
                      </m:den>
                    </m:f>
                  </m:oMath>
                </m:oMathPara>
              </a14:m>
              <a:endParaRPr lang="en-US" sz="900">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Earning portfolio (IEP):</a:t>
              </a:r>
            </a:p>
            <a:p>
              <a:pPr algn="ctr"/>
              <a:r>
                <a:rPr lang="pt-BR" sz="900">
                  <a:latin typeface="Calibri" panose="020F0502020204030204" pitchFamily="34" charset="0"/>
                  <a:ea typeface="Inter" panose="020B0502030000000004" pitchFamily="34" charset="0"/>
                  <a:cs typeface="Calibri" panose="020F0502020204030204" pitchFamily="34" charset="0"/>
                </a:rPr>
                <a:t>Earnings Portfolio includes “Amounts due from financial institutions” + “Loans and advances to customers” + “Securities” + “Derivatives” from the IFRS Balance Sheet</a:t>
              </a: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eqArr>
                          <m:eqArrPr>
                            <m:ctrlPr>
                              <a:rPr lang="pt-BR" sz="900" i="1">
                                <a:latin typeface="Cambria Math" panose="02040503050406030204" pitchFamily="18" charset="0"/>
                                <a:ea typeface="Cambria Math" panose="02040503050406030204" pitchFamily="18" charset="0"/>
                              </a:rPr>
                            </m:ctrlPr>
                          </m:eqArrPr>
                          <m:e>
                            <m:r>
                              <a:rPr lang="pt-BR" sz="900" i="0">
                                <a:latin typeface="Cambria Math" panose="02040503050406030204" pitchFamily="18" charset="0"/>
                                <a:ea typeface="Cambria Math" panose="02040503050406030204" pitchFamily="18" charset="0"/>
                              </a:rPr>
                              <m:t> </m:t>
                            </m:r>
                          </m:e>
                          <m:e>
                            <m:r>
                              <m:rPr>
                                <m:sty m:val="p"/>
                              </m:rPr>
                              <a:rPr lang="pt-BR" sz="900" i="0">
                                <a:latin typeface="Cambria Math" panose="02040503050406030204" pitchFamily="18" charset="0"/>
                                <a:ea typeface="Cambria Math" panose="02040503050406030204" pitchFamily="18" charset="0"/>
                              </a:rPr>
                              <m:t>Personnel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expense</m:t>
                            </m:r>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Administrative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expenses</m:t>
                            </m:r>
                            <m:r>
                              <a:rPr lang="pt-BR" sz="900" b="0" i="0">
                                <a:latin typeface="Cambria Math" panose="02040503050406030204" pitchFamily="18" charset="0"/>
                                <a:ea typeface="Cambria Math" panose="02040503050406030204" pitchFamily="18" charset="0"/>
                              </a:rPr>
                              <m:t>+</m:t>
                            </m:r>
                            <m:r>
                              <m:rPr>
                                <m:sty m:val="p"/>
                              </m:rPr>
                              <a:rPr lang="pt-BR" sz="900" b="0" i="0">
                                <a:latin typeface="Cambria Math" panose="02040503050406030204" pitchFamily="18" charset="0"/>
                                <a:ea typeface="Cambria Math" panose="02040503050406030204" pitchFamily="18" charset="0"/>
                              </a:rPr>
                              <m:t>Depreciation</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and</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amortization</m:t>
                            </m:r>
                            <m:r>
                              <a:rPr lang="pt-BR" sz="900" b="0" i="0">
                                <a:latin typeface="Cambria Math" panose="02040503050406030204" pitchFamily="18" charset="0"/>
                                <a:ea typeface="Cambria Math" panose="02040503050406030204" pitchFamily="18" charset="0"/>
                              </a:rPr>
                              <m:t> </m:t>
                            </m:r>
                          </m:e>
                        </m:eqArr>
                      </m:num>
                      <m:den>
                        <m:r>
                          <m:rPr>
                            <m:sty m:val="p"/>
                          </m:rPr>
                          <a:rPr lang="pt-BR" sz="900" i="1">
                            <a:latin typeface="Cambria Math" panose="02040503050406030204" pitchFamily="18" charset="0"/>
                            <a:ea typeface="Cambria Math" panose="02040503050406030204" pitchFamily="18" charset="0"/>
                          </a:rPr>
                          <m:t>Net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Interest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Income</m:t>
                        </m:r>
                        <m:r>
                          <a:rPr lang="pt-BR" sz="900" i="1">
                            <a:latin typeface="Cambria Math" panose="02040503050406030204" pitchFamily="18" charset="0"/>
                            <a:ea typeface="Cambria Math" panose="02040503050406030204" pitchFamily="18" charset="0"/>
                          </a:rPr>
                          <m:t>+</m:t>
                        </m:r>
                        <m:r>
                          <m:rPr>
                            <m:sty m:val="p"/>
                          </m:rPr>
                          <a:rPr lang="pt-BR" sz="900" i="1">
                            <a:latin typeface="Cambria Math" panose="02040503050406030204" pitchFamily="18" charset="0"/>
                            <a:ea typeface="Cambria Math" panose="02040503050406030204" pitchFamily="18" charset="0"/>
                          </a:rPr>
                          <m:t>Net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result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from</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services</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and</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comissions</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Other</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revenue</m:t>
                        </m:r>
                        <m:r>
                          <a:rPr lang="pt-BR" sz="900" i="1">
                            <a:latin typeface="Cambria Math" panose="02040503050406030204" pitchFamily="18" charset="0"/>
                            <a:ea typeface="Cambria Math" panose="02040503050406030204" pitchFamily="18" charset="0"/>
                          </a:rPr>
                          <m:t>−</m:t>
                        </m:r>
                        <m:r>
                          <m:rPr>
                            <m:sty m:val="p"/>
                          </m:rPr>
                          <a:rPr lang="pt-BR" sz="900" i="1">
                            <a:latin typeface="Cambria Math" panose="02040503050406030204" pitchFamily="18" charset="0"/>
                            <a:ea typeface="Cambria Math" panose="02040503050406030204" pitchFamily="18" charset="0"/>
                          </a:rPr>
                          <m:t>Tax</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expense</m:t>
                        </m:r>
                      </m:den>
                    </m:f>
                    <m:r>
                      <a:rPr lang="pt-BR" sz="900" i="1">
                        <a:latin typeface="Cambria Math" panose="02040503050406030204" pitchFamily="18" charset="0"/>
                        <a:ea typeface="Cambria Math" panose="02040503050406030204" pitchFamily="18" charset="0"/>
                      </a:rPr>
                      <m:t> </m:t>
                    </m:r>
                  </m:oMath>
                </m:oMathPara>
              </a14:m>
              <a:endParaRPr lang="pt-BR" sz="900" i="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Net</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result</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from</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services</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and</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commissions</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Other</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revenue</m:t>
                        </m:r>
                      </m:num>
                      <m:den>
                        <m:r>
                          <m:rPr>
                            <m:sty m:val="p"/>
                          </m:rPr>
                          <a:rPr lang="pt-BR" sz="900">
                            <a:latin typeface="Cambria Math" panose="02040503050406030204" pitchFamily="18" charset="0"/>
                            <a:ea typeface="Cambria Math" panose="02040503050406030204" pitchFamily="18" charset="0"/>
                          </a:rPr>
                          <m:t>Net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Interest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Income</m:t>
                        </m:r>
                        <m:r>
                          <a:rPr lang="pt-BR" sz="900">
                            <a:latin typeface="Cambria Math" panose="02040503050406030204" pitchFamily="18" charset="0"/>
                            <a:ea typeface="Cambria Math" panose="02040503050406030204" pitchFamily="18" charset="0"/>
                          </a:rPr>
                          <m:t>+</m:t>
                        </m:r>
                        <m:r>
                          <m:rPr>
                            <m:sty m:val="p"/>
                          </m:rPr>
                          <a:rPr lang="pt-BR" sz="900">
                            <a:latin typeface="Cambria Math" panose="02040503050406030204" pitchFamily="18" charset="0"/>
                            <a:ea typeface="Cambria Math" panose="02040503050406030204" pitchFamily="18" charset="0"/>
                          </a:rPr>
                          <m:t>Net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result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from</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services</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and</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comissions</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Other</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revenue</m:t>
                        </m:r>
                        <m:r>
                          <a:rPr lang="pt-BR" sz="900">
                            <a:latin typeface="Cambria Math" panose="02040503050406030204" pitchFamily="18" charset="0"/>
                            <a:ea typeface="Cambria Math" panose="02040503050406030204" pitchFamily="18" charset="0"/>
                          </a:rPr>
                          <m:t>−</m:t>
                        </m:r>
                        <m:r>
                          <m:rPr>
                            <m:sty m:val="p"/>
                          </m:rPr>
                          <a:rPr lang="pt-BR" sz="900">
                            <a:latin typeface="Cambria Math" panose="02040503050406030204" pitchFamily="18" charset="0"/>
                            <a:ea typeface="Cambria Math" panose="02040503050406030204" pitchFamily="18" charset="0"/>
                          </a:rPr>
                          <m:t>Tax</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expense</m:t>
                        </m:r>
                      </m:den>
                    </m:f>
                  </m:oMath>
                </m:oMathPara>
              </a14:m>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Funding:</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nor/>
                    </m:rPr>
                    <a:rPr lang="pt-BR" sz="900">
                      <a:latin typeface="Calibri" panose="020F0502020204030204" pitchFamily="34" charset="0"/>
                      <a:ea typeface="Inter" panose="020B0502030000000004" pitchFamily="34" charset="0"/>
                      <a:cs typeface="Calibri" panose="020F0502020204030204" pitchFamily="34" charset="0"/>
                    </a:rPr>
                    <m:t>Demand</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Deposits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Time</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Deposits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Securities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Issued</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Savings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Deposits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Creditors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by</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Resources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to</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Release</m:t>
                  </m:r>
                </m:oMath>
              </a14:m>
              <a:r>
                <a:rPr lang="en-US" sz="900">
                  <a:latin typeface="Calibri" panose="020F0502020204030204" pitchFamily="34" charset="0"/>
                  <a:ea typeface="Inter" panose="020B0502030000000004" pitchFamily="34" charset="0"/>
                  <a:cs typeface="Calibri" panose="020F0502020204030204" pitchFamily="34" charset="0"/>
                </a:rPr>
                <a:t> +</a:t>
              </a:r>
              <a:br>
                <a:rPr lang="en-US" sz="900">
                  <a:latin typeface="Calibri" panose="020F0502020204030204" pitchFamily="34" charset="0"/>
                  <a:ea typeface="Inter" panose="020B0502030000000004" pitchFamily="34" charset="0"/>
                  <a:cs typeface="Calibri" panose="020F0502020204030204" pitchFamily="34" charset="0"/>
                </a:rPr>
              </a:br>
              <a:r>
                <a:rPr lang="en-US" sz="900">
                  <a:latin typeface="Calibri" panose="020F0502020204030204" pitchFamily="34" charset="0"/>
                  <a:ea typeface="Inter" panose="020B0502030000000004" pitchFamily="34" charset="0"/>
                  <a:cs typeface="Calibri" panose="020F0502020204030204" pitchFamily="34" charset="0"/>
                </a:rPr>
                <a:t>Securities sold under agreements to repurchase + Interbank deposits + Borrowing and onlending</a:t>
              </a:r>
            </a:p>
            <a:p>
              <a:endParaRPr lang="en-US" sz="5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loan portfolio:</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just"/>
              <a14:m>
                <m:oMathPara xmlns:m="http://schemas.openxmlformats.org/officeDocument/2006/math">
                  <m:oMathParaPr>
                    <m:jc m:val="centerGroup"/>
                  </m:oMathParaPr>
                  <m:oMath xmlns:m="http://schemas.openxmlformats.org/officeDocument/2006/math">
                    <m:r>
                      <m:rPr>
                        <m:nor/>
                      </m:rPr>
                      <a:rPr lang="pt-BR" sz="900">
                        <a:latin typeface="Calibri" panose="020F0502020204030204" pitchFamily="34" charset="0"/>
                        <a:ea typeface="Inter" panose="020B0502030000000004" pitchFamily="34" charset="0"/>
                        <a:cs typeface="Calibri" panose="020F0502020204030204" pitchFamily="34" charset="0"/>
                      </a:rPr>
                      <m:t>Loans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and</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Advance</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to</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Customers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Loans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to</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financial</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institutions</m:t>
                    </m:r>
                    <m:r>
                      <m:rPr>
                        <m:nor/>
                      </m:rPr>
                      <a:rPr lang="pt-BR" sz="900">
                        <a:latin typeface="Calibri" panose="020F0502020204030204" pitchFamily="34" charset="0"/>
                        <a:ea typeface="Inter" panose="020B0502030000000004" pitchFamily="34" charset="0"/>
                        <a:cs typeface="Calibri" panose="020F0502020204030204" pitchFamily="34" charset="0"/>
                      </a:rPr>
                      <m:t>  </m:t>
                    </m:r>
                  </m:oMath>
                </m:oMathPara>
              </a14:m>
              <a:endParaRPr lang="en-US" sz="900">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margin per active client gross of interest expenses:</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900">
                        <a:latin typeface="Cambria Math" panose="02040503050406030204" pitchFamily="18" charset="0"/>
                        <a:ea typeface="Inter" panose="020B0502030000000004" pitchFamily="34" charset="0"/>
                      </a:rPr>
                      <m:t>ARPAC</m:t>
                    </m:r>
                    <m:r>
                      <a:rPr lang="pt-BR" sz="90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g</m:t>
                    </m:r>
                    <m:r>
                      <m:rPr>
                        <m:sty m:val="p"/>
                      </m:rPr>
                      <a:rPr lang="pt-BR" sz="900">
                        <a:latin typeface="Cambria Math" panose="02040503050406030204" pitchFamily="18" charset="0"/>
                        <a:ea typeface="Inter" panose="020B0502030000000004" pitchFamily="34" charset="0"/>
                      </a:rPr>
                      <m:t>ross</m:t>
                    </m:r>
                    <m:r>
                      <a:rPr lang="pt-BR" sz="900">
                        <a:latin typeface="Cambria Math" panose="02040503050406030204" pitchFamily="18" charset="0"/>
                        <a:ea typeface="Inter" panose="020B0502030000000004" pitchFamily="34" charset="0"/>
                      </a:rPr>
                      <m:t> </m:t>
                    </m:r>
                    <m:r>
                      <m:rPr>
                        <m:sty m:val="p"/>
                      </m:rPr>
                      <a:rPr lang="pt-BR" sz="900">
                        <a:latin typeface="Cambria Math" panose="02040503050406030204" pitchFamily="18" charset="0"/>
                        <a:ea typeface="Inter" panose="020B0502030000000004" pitchFamily="34" charset="0"/>
                      </a:rPr>
                      <m:t>of</m:t>
                    </m:r>
                    <m:r>
                      <a:rPr lang="pt-BR" sz="90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interest</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expenses</m:t>
                    </m:r>
                    <m:r>
                      <a:rPr lang="pt-BR" sz="90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C</m:t>
                    </m:r>
                    <m:r>
                      <m:rPr>
                        <m:sty m:val="p"/>
                      </m:rPr>
                      <a:rPr lang="pt-BR" sz="900">
                        <a:latin typeface="Cambria Math" panose="02040503050406030204" pitchFamily="18" charset="0"/>
                        <a:ea typeface="Inter" panose="020B0502030000000004" pitchFamily="34" charset="0"/>
                      </a:rPr>
                      <m:t>ost</m:t>
                    </m:r>
                    <m:r>
                      <a:rPr lang="pt-BR" sz="900" b="0" i="0">
                        <a:latin typeface="Cambria Math" panose="02040503050406030204" pitchFamily="18" charset="0"/>
                        <a:ea typeface="Inter" panose="020B0502030000000004" pitchFamily="34" charset="0"/>
                      </a:rPr>
                      <m:t> </m:t>
                    </m:r>
                    <m:r>
                      <m:rPr>
                        <m:sty m:val="p"/>
                      </m:rPr>
                      <a:rPr lang="pt-BR" sz="900">
                        <a:latin typeface="Cambria Math" panose="02040503050406030204" pitchFamily="18" charset="0"/>
                        <a:ea typeface="Inter" panose="020B0502030000000004" pitchFamily="34" charset="0"/>
                      </a:rPr>
                      <m:t>to</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Serve</m:t>
                    </m:r>
                  </m:oMath>
                </m:oMathPara>
              </a14:m>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xdr:txBody>
        </xdr:sp>
      </mc:Choice>
      <mc:Fallback xmlns="">
        <xdr:sp macro="" textlink="">
          <xdr:nvSpPr>
            <xdr:cNvPr id="30" name="Retângulo 9">
              <a:extLst>
                <a:ext uri="{FF2B5EF4-FFF2-40B4-BE49-F238E27FC236}">
                  <a16:creationId xmlns:a16="http://schemas.microsoft.com/office/drawing/2014/main" id="{70BBBFDC-97EA-DB78-9935-3D590DAA2910}"/>
                </a:ext>
              </a:extLst>
            </xdr:cNvPr>
            <xdr:cNvSpPr/>
          </xdr:nvSpPr>
          <xdr:spPr>
            <a:xfrm>
              <a:off x="161844" y="21520059"/>
              <a:ext cx="5764771" cy="5519011"/>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Coverage ratio:</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r>
                <a:rPr lang="pt-BR" sz="900" i="0">
                  <a:latin typeface="Cambria Math" panose="02040503050406030204" pitchFamily="18" charset="0"/>
                  <a:ea typeface="Cambria Math" panose="02040503050406030204" pitchFamily="18" charset="0"/>
                </a:rPr>
                <a:t>(Provision for expected credit loss)/(</a:t>
              </a:r>
              <a:r>
                <a:rPr lang="pt-BR" sz="900" b="0" i="0">
                  <a:latin typeface="Cambria Math" panose="02040503050406030204" pitchFamily="18" charset="0"/>
                  <a:ea typeface="Cambria Math" panose="02040503050406030204" pitchFamily="18" charset="0"/>
                </a:rPr>
                <a:t>O</a:t>
              </a:r>
              <a:r>
                <a:rPr lang="pt-BR" sz="900" i="0">
                  <a:latin typeface="Cambria Math" panose="02040503050406030204" pitchFamily="18" charset="0"/>
                  <a:ea typeface="Cambria Math" panose="02040503050406030204" pitchFamily="18" charset="0"/>
                </a:rPr>
                <a:t>verdue higher than 90 days)</a:t>
              </a:r>
              <a:endParaRPr lang="en-US" sz="900">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Earning portfolio (IEP):</a:t>
              </a:r>
            </a:p>
            <a:p>
              <a:pPr algn="ctr"/>
              <a:r>
                <a:rPr lang="pt-BR" sz="900">
                  <a:latin typeface="Calibri" panose="020F0502020204030204" pitchFamily="34" charset="0"/>
                  <a:ea typeface="Inter" panose="020B0502030000000004" pitchFamily="34" charset="0"/>
                  <a:cs typeface="Calibri" panose="020F0502020204030204" pitchFamily="34" charset="0"/>
                </a:rPr>
                <a:t>Earnings Portfolio includes “Amounts due from financial institutions” + “Loans and advances to customers” + “Securities” + “Derivatives” from the IFRS Balance Sheet</a:t>
              </a: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Cambria Math" panose="02040503050406030204" pitchFamily="18" charset="0"/>
                </a:rPr>
                <a:t>█( @Personnel expense+Administrative expenses</a:t>
              </a:r>
              <a:r>
                <a:rPr lang="pt-BR" sz="900" b="0" i="0">
                  <a:latin typeface="Cambria Math" panose="02040503050406030204" pitchFamily="18" charset="0"/>
                  <a:ea typeface="Cambria Math" panose="02040503050406030204" pitchFamily="18" charset="0"/>
                </a:rPr>
                <a:t>+Depreciation and amortization )/(</a:t>
              </a:r>
              <a:r>
                <a:rPr lang="pt-BR" sz="900" i="0">
                  <a:latin typeface="Cambria Math" panose="02040503050406030204" pitchFamily="18" charset="0"/>
                  <a:ea typeface="Cambria Math" panose="02040503050406030204" pitchFamily="18" charset="0"/>
                </a:rPr>
                <a:t>Net Interest Income+Net result from services and comissions+ Other revenue−Tax expense)  </a:t>
              </a:r>
              <a:endParaRPr lang="pt-BR" sz="900" i="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r>
                <a:rPr lang="pt-BR" sz="900" i="0">
                  <a:latin typeface="Cambria Math" panose="02040503050406030204" pitchFamily="18" charset="0"/>
                  <a:ea typeface="Cambria Math" panose="02040503050406030204" pitchFamily="18" charset="0"/>
                </a:rPr>
                <a:t>(</a:t>
              </a:r>
              <a: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Net result from services and commissions + Other revenue)/(</a:t>
              </a:r>
              <a:r>
                <a:rPr lang="pt-BR" sz="900" i="0">
                  <a:latin typeface="Cambria Math" panose="02040503050406030204" pitchFamily="18" charset="0"/>
                  <a:ea typeface="Cambria Math" panose="02040503050406030204" pitchFamily="18" charset="0"/>
                </a:rPr>
                <a:t>Net Interest Income+Net result from services and comissions+ Other revenue−Tax expense)</a:t>
              </a:r>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Funding:</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Inter" panose="020B0502030000000004" pitchFamily="34" charset="0"/>
                  <a:cs typeface="Calibri" panose="020F0502020204030204" pitchFamily="34" charset="0"/>
                </a:rPr>
                <a:t>"Demand Deposits + Time Deposits + Securities Issued + Savings Deposits + Creditors by Resources to Release</a:t>
              </a:r>
              <a:r>
                <a:rPr lang="en-US" sz="900" i="0">
                  <a:latin typeface="Calibri" panose="020F0502020204030204" pitchFamily="34" charset="0"/>
                  <a:ea typeface="Inter" panose="020B0502030000000004" pitchFamily="34" charset="0"/>
                  <a:cs typeface="Calibri" panose="020F0502020204030204" pitchFamily="34" charset="0"/>
                </a:rPr>
                <a:t>"</a:t>
              </a:r>
              <a:r>
                <a:rPr lang="en-US" sz="900">
                  <a:latin typeface="Calibri" panose="020F0502020204030204" pitchFamily="34" charset="0"/>
                  <a:ea typeface="Inter" panose="020B0502030000000004" pitchFamily="34" charset="0"/>
                  <a:cs typeface="Calibri" panose="020F0502020204030204" pitchFamily="34" charset="0"/>
                </a:rPr>
                <a:t> +</a:t>
              </a:r>
              <a:br>
                <a:rPr lang="en-US" sz="900">
                  <a:latin typeface="Calibri" panose="020F0502020204030204" pitchFamily="34" charset="0"/>
                  <a:ea typeface="Inter" panose="020B0502030000000004" pitchFamily="34" charset="0"/>
                  <a:cs typeface="Calibri" panose="020F0502020204030204" pitchFamily="34" charset="0"/>
                </a:rPr>
              </a:br>
              <a:r>
                <a:rPr lang="en-US" sz="900">
                  <a:latin typeface="Calibri" panose="020F0502020204030204" pitchFamily="34" charset="0"/>
                  <a:ea typeface="Inter" panose="020B0502030000000004" pitchFamily="34" charset="0"/>
                  <a:cs typeface="Calibri" panose="020F0502020204030204" pitchFamily="34" charset="0"/>
                </a:rPr>
                <a:t>Securities sold under agreements to repurchase + Interbank deposits + Borrowing and onlending</a:t>
              </a:r>
            </a:p>
            <a:p>
              <a:endParaRPr lang="en-US" sz="5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loan portfolio:</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just"/>
              <a:r>
                <a:rPr lang="pt-BR" sz="900" i="0">
                  <a:latin typeface="Cambria Math" panose="02040503050406030204" pitchFamily="18" charset="0"/>
                  <a:ea typeface="Inter" panose="020B0502030000000004" pitchFamily="34" charset="0"/>
                  <a:cs typeface="Calibri" panose="020F0502020204030204" pitchFamily="34" charset="0"/>
                </a:rPr>
                <a:t>"Loans and Advance to Customers + Loans to  financial institutions  </a:t>
              </a:r>
              <a:r>
                <a:rPr lang="en-US" sz="900" i="0">
                  <a:latin typeface="Calibri" panose="020F0502020204030204" pitchFamily="34" charset="0"/>
                  <a:ea typeface="Inter" panose="020B0502030000000004" pitchFamily="34" charset="0"/>
                  <a:cs typeface="Calibri" panose="020F0502020204030204" pitchFamily="34" charset="0"/>
                </a:rPr>
                <a:t>"</a:t>
              </a:r>
              <a:endParaRPr lang="en-US" sz="900">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margin per active client gross of interest expenses:</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ea typeface="Inter" panose="020B0502030000000004" pitchFamily="34" charset="0"/>
                </a:rPr>
                <a:t>ARPAC </a:t>
              </a:r>
              <a:r>
                <a:rPr lang="pt-BR" sz="900" b="0" i="0">
                  <a:latin typeface="Cambria Math" panose="02040503050406030204" pitchFamily="18" charset="0"/>
                  <a:ea typeface="Inter" panose="020B0502030000000004" pitchFamily="34" charset="0"/>
                </a:rPr>
                <a:t>g</a:t>
              </a:r>
              <a:r>
                <a:rPr lang="pt-BR" sz="900" i="0">
                  <a:latin typeface="Cambria Math" panose="02040503050406030204" pitchFamily="18" charset="0"/>
                  <a:ea typeface="Inter" panose="020B0502030000000004" pitchFamily="34" charset="0"/>
                </a:rPr>
                <a:t>ross of </a:t>
              </a:r>
              <a:r>
                <a:rPr lang="pt-BR" sz="900" b="0" i="0">
                  <a:latin typeface="Cambria Math" panose="02040503050406030204" pitchFamily="18" charset="0"/>
                  <a:ea typeface="Inter" panose="020B0502030000000004" pitchFamily="34" charset="0"/>
                </a:rPr>
                <a:t>interest expenses</a:t>
              </a:r>
              <a:r>
                <a:rPr lang="pt-BR" sz="900" i="0">
                  <a:latin typeface="Cambria Math" panose="02040503050406030204" pitchFamily="18" charset="0"/>
                  <a:ea typeface="Inter" panose="020B0502030000000004" pitchFamily="34" charset="0"/>
                </a:rPr>
                <a:t> –</a:t>
              </a:r>
              <a:r>
                <a:rPr lang="pt-BR" sz="900" b="0" i="0">
                  <a:latin typeface="Cambria Math" panose="02040503050406030204" pitchFamily="18" charset="0"/>
                  <a:ea typeface="Inter" panose="020B0502030000000004" pitchFamily="34" charset="0"/>
                </a:rPr>
                <a:t>C</a:t>
              </a:r>
              <a:r>
                <a:rPr lang="pt-BR" sz="900" i="0">
                  <a:latin typeface="Cambria Math" panose="02040503050406030204" pitchFamily="18" charset="0"/>
                  <a:ea typeface="Inter" panose="020B0502030000000004" pitchFamily="34" charset="0"/>
                </a:rPr>
                <a:t>ost</a:t>
              </a:r>
              <a:r>
                <a:rPr lang="pt-BR" sz="900" b="0" i="0">
                  <a:latin typeface="Cambria Math" panose="02040503050406030204" pitchFamily="18" charset="0"/>
                  <a:ea typeface="Inter" panose="020B0502030000000004" pitchFamily="34" charset="0"/>
                </a:rPr>
                <a:t> </a:t>
              </a:r>
              <a:r>
                <a:rPr lang="pt-BR" sz="900" i="0">
                  <a:latin typeface="Cambria Math" panose="02040503050406030204" pitchFamily="18" charset="0"/>
                  <a:ea typeface="Inter" panose="020B0502030000000004" pitchFamily="34" charset="0"/>
                </a:rPr>
                <a:t>to</a:t>
              </a:r>
              <a:r>
                <a:rPr lang="pt-BR" sz="900" b="0" i="0">
                  <a:latin typeface="Cambria Math" panose="02040503050406030204" pitchFamily="18" charset="0"/>
                  <a:ea typeface="Inter" panose="020B0502030000000004" pitchFamily="34" charset="0"/>
                </a:rPr>
                <a:t> Serve</a:t>
              </a:r>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xdr:txBody>
        </xdr:sp>
      </mc:Fallback>
    </mc:AlternateContent>
    <xdr:clientData/>
  </xdr:twoCellAnchor>
  <xdr:twoCellAnchor>
    <xdr:from>
      <xdr:col>0</xdr:col>
      <xdr:colOff>177988</xdr:colOff>
      <xdr:row>146</xdr:row>
      <xdr:rowOff>79457</xdr:rowOff>
    </xdr:from>
    <xdr:to>
      <xdr:col>7</xdr:col>
      <xdr:colOff>146188</xdr:colOff>
      <xdr:row>176</xdr:row>
      <xdr:rowOff>128025</xdr:rowOff>
    </xdr:to>
    <mc:AlternateContent xmlns:mc="http://schemas.openxmlformats.org/markup-compatibility/2006" xmlns:a14="http://schemas.microsoft.com/office/drawing/2010/main">
      <mc:Choice Requires="a14">
        <xdr:sp macro="" textlink="">
          <xdr:nvSpPr>
            <xdr:cNvPr id="31" name="Retângulo 9">
              <a:extLst>
                <a:ext uri="{FF2B5EF4-FFF2-40B4-BE49-F238E27FC236}">
                  <a16:creationId xmlns:a16="http://schemas.microsoft.com/office/drawing/2014/main" id="{00000000-0008-0000-1600-00001F000000}"/>
                </a:ext>
              </a:extLst>
            </xdr:cNvPr>
            <xdr:cNvSpPr/>
          </xdr:nvSpPr>
          <xdr:spPr>
            <a:xfrm>
              <a:off x="177988" y="26951921"/>
              <a:ext cx="5766026" cy="5570307"/>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Gross margin per active client net of interest expenses:</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900" i="0">
                        <a:latin typeface="Cambria Math" panose="02040503050406030204" pitchFamily="18" charset="0"/>
                        <a:ea typeface="Inter" panose="020B0502030000000004" pitchFamily="34" charset="0"/>
                      </a:rPr>
                      <m:t>ARPAC</m:t>
                    </m:r>
                    <m:r>
                      <a:rPr lang="pt-BR" sz="90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net</m:t>
                    </m:r>
                    <m:r>
                      <a:rPr lang="pt-BR" sz="900" b="0" i="0">
                        <a:latin typeface="Cambria Math" panose="02040503050406030204" pitchFamily="18" charset="0"/>
                        <a:ea typeface="Inter" panose="020B0502030000000004" pitchFamily="34" charset="0"/>
                      </a:rPr>
                      <m:t>  </m:t>
                    </m:r>
                    <m:r>
                      <m:rPr>
                        <m:sty m:val="p"/>
                      </m:rPr>
                      <a:rPr lang="pt-BR" sz="900" i="0">
                        <a:latin typeface="Cambria Math" panose="02040503050406030204" pitchFamily="18" charset="0"/>
                        <a:ea typeface="Inter" panose="020B0502030000000004" pitchFamily="34" charset="0"/>
                      </a:rPr>
                      <m:t>of</m:t>
                    </m:r>
                    <m:r>
                      <a:rPr lang="pt-BR" sz="90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interest</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expenses</m:t>
                    </m:r>
                    <m:r>
                      <a:rPr lang="pt-BR" sz="90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C</m:t>
                    </m:r>
                    <m:r>
                      <m:rPr>
                        <m:sty m:val="p"/>
                      </m:rPr>
                      <a:rPr lang="pt-BR" sz="900" i="0">
                        <a:latin typeface="Cambria Math" panose="02040503050406030204" pitchFamily="18" charset="0"/>
                        <a:ea typeface="Inter" panose="020B0502030000000004" pitchFamily="34" charset="0"/>
                      </a:rPr>
                      <m:t>ost</m:t>
                    </m:r>
                    <m:r>
                      <a:rPr lang="pt-BR" sz="900" b="0" i="0">
                        <a:latin typeface="Cambria Math" panose="02040503050406030204" pitchFamily="18" charset="0"/>
                        <a:ea typeface="Inter" panose="020B0502030000000004" pitchFamily="34" charset="0"/>
                      </a:rPr>
                      <m:t> </m:t>
                    </m:r>
                    <m:r>
                      <m:rPr>
                        <m:sty m:val="p"/>
                      </m:rPr>
                      <a:rPr lang="pt-BR" sz="900" i="0">
                        <a:latin typeface="Cambria Math" panose="02040503050406030204" pitchFamily="18" charset="0"/>
                        <a:ea typeface="Inter" panose="020B0502030000000004" pitchFamily="34" charset="0"/>
                      </a:rPr>
                      <m:t>to</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Serve</m:t>
                    </m:r>
                  </m:oMath>
                </m:oMathPara>
              </a14:m>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Net fee income:</a:t>
              </a:r>
            </a:p>
            <a:p>
              <a:endParaRPr lang="pt-BR" sz="900" b="1">
                <a:latin typeface="Calibri" panose="020F0502020204030204" pitchFamily="34" charset="0"/>
                <a:cs typeface="Calibri" panose="020F0502020204030204" pitchFamily="34" charset="0"/>
              </a:endParaRPr>
            </a:p>
            <a:p>
              <a:pPr algn="ctr"/>
              <a:r>
                <a:rPr lang="pt-BR" sz="900">
                  <a:latin typeface="Calibri" panose="020F0502020204030204" pitchFamily="34" charset="0"/>
                  <a:ea typeface="Inter" panose="020B0502030000000004" pitchFamily="34" charset="0"/>
                  <a:cs typeface="Calibri" panose="020F0502020204030204" pitchFamily="34" charset="0"/>
                </a:rPr>
                <a:t>Net result from services and commissions + Other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interest income: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nterest</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Income</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Interest</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Expenses</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Income</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from</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securities</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and</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derivatives</m:t>
                  </m:r>
                </m:oMath>
              </a14:m>
              <a:r>
                <a:rPr lang="pt-BR" sz="900" b="1">
                  <a:latin typeface="Calibri" panose="020F0502020204030204" pitchFamily="34" charset="0"/>
                  <a:ea typeface="Cambria Math" panose="02040503050406030204" pitchFamily="18" charset="0"/>
                  <a:cs typeface="Calibri" panose="020F0502020204030204" pitchFamily="34" charset="0"/>
                </a:rPr>
                <a:t> </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Net interest income + Net result from services and commissions + Other revenue</a:t>
              </a:r>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1.0 – IEP + Non-interest Credit Cards Receivables:</a:t>
              </a:r>
              <a:br>
                <a:rPr lang="en-US" sz="800" b="1">
                  <a:latin typeface="Calibri" panose="020F0502020204030204" pitchFamily="34" charset="0"/>
                  <a:ea typeface="Cambria Math" panose="02040503050406030204" pitchFamily="18" charset="0"/>
                  <a:cs typeface="Calibri" panose="020F0502020204030204" pitchFamily="34" charset="0"/>
                </a:rPr>
              </a:b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b="0" i="0">
                            <a:latin typeface="Cambria Math" panose="02040503050406030204" pitchFamily="18" charset="0"/>
                            <a:ea typeface="Cambria Math" panose="02040503050406030204" pitchFamily="18" charset="0"/>
                          </a:rPr>
                          <m:t>Net</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interest</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income</m:t>
                        </m:r>
                        <m:r>
                          <a:rPr lang="pt-BR" sz="900" b="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x</m:t>
                        </m:r>
                        <m:r>
                          <a:rPr lang="pt-BR" sz="900" i="0">
                            <a:latin typeface="Cambria Math" panose="02040503050406030204" pitchFamily="18" charset="0"/>
                            <a:ea typeface="Cambria Math" panose="02040503050406030204" pitchFamily="18" charset="0"/>
                          </a:rPr>
                          <m:t> 4</m:t>
                        </m:r>
                      </m:num>
                      <m:den>
                        <m:eqArr>
                          <m:eqArrPr>
                            <m:ctrlPr>
                              <a:rPr lang="pt-BR" sz="900" i="1">
                                <a:latin typeface="Cambria Math" panose="02040503050406030204" pitchFamily="18" charset="0"/>
                                <a:ea typeface="Cambria Math" panose="02040503050406030204" pitchFamily="18" charset="0"/>
                              </a:rPr>
                            </m:ctrlPr>
                          </m:eqArrPr>
                          <m:e>
                            <m:r>
                              <m:rPr>
                                <m:sty m:val="p"/>
                              </m:rPr>
                              <a:rPr lang="pt-BR" sz="900" i="0">
                                <a:latin typeface="Cambria Math" panose="02040503050406030204" pitchFamily="18" charset="0"/>
                                <a:ea typeface="Cambria Math" panose="02040503050406030204" pitchFamily="18" charset="0"/>
                              </a:rPr>
                              <m:t>Average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of</m:t>
                            </m:r>
                            <m:r>
                              <a:rPr lang="pt-BR" sz="900" i="0">
                                <a:latin typeface="Cambria Math" panose="02040503050406030204" pitchFamily="18" charset="0"/>
                                <a:ea typeface="Cambria Math" panose="02040503050406030204" pitchFamily="18" charset="0"/>
                              </a:rPr>
                              <m:t> 2 </m:t>
                            </m:r>
                            <m:r>
                              <m:rPr>
                                <m:sty m:val="p"/>
                              </m:rPr>
                              <a:rPr lang="pt-BR" sz="900" i="0">
                                <a:latin typeface="Cambria Math" panose="02040503050406030204" pitchFamily="18" charset="0"/>
                                <a:ea typeface="Cambria Math" panose="02040503050406030204" pitchFamily="18" charset="0"/>
                              </a:rPr>
                              <m:t>Last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Quarters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Earning</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Portfolio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financial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institutions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Securities</m:t>
                            </m:r>
                            <m:r>
                              <a:rPr lang="pt-BR" sz="900" i="0">
                                <a:latin typeface="Cambria Math" panose="02040503050406030204" pitchFamily="18" charset="0"/>
                                <a:ea typeface="Cambria Math" panose="02040503050406030204" pitchFamily="18" charset="0"/>
                              </a:rPr>
                              <m:t> + </m:t>
                            </m:r>
                          </m:e>
                          <m:e>
                            <m:r>
                              <m:rPr>
                                <m:sty m:val="p"/>
                              </m:rPr>
                              <a:rPr lang="pt-BR" sz="900" i="0">
                                <a:latin typeface="Cambria Math" panose="02040503050406030204" pitchFamily="18" charset="0"/>
                                <a:ea typeface="Cambria Math" panose="02040503050406030204" pitchFamily="18" charset="0"/>
                              </a:rPr>
                              <m:t>Derivatives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Net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and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advances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customers</m:t>
                            </m:r>
                          </m:e>
                        </m:eqArr>
                      </m:den>
                    </m:f>
                  </m:oMath>
                </m:oMathPara>
              </a14:m>
              <a:endParaRPr lang="en-US" sz="900">
                <a:latin typeface="Calibri" panose="020F0502020204030204" pitchFamily="34" charset="0"/>
                <a:ea typeface="Cambria Math" panose="02040503050406030204" pitchFamily="18" charset="0"/>
                <a:cs typeface="Calibri" panose="020F0502020204030204" pitchFamily="34" charset="0"/>
              </a:endParaRPr>
            </a:p>
            <a:p>
              <a:pPr algn="ct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2.0 – IEP Only:</a:t>
              </a:r>
            </a:p>
            <a:p>
              <a:endParaRPr lang="en-US" sz="800" b="1" i="1">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a:latin typeface="Cambria Math" panose="02040503050406030204" pitchFamily="18" charset="0"/>
                            <a:ea typeface="Cambria Math" panose="02040503050406030204" pitchFamily="18" charset="0"/>
                          </a:rPr>
                          <m:t>Net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interest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income</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x</m:t>
                        </m:r>
                        <m:r>
                          <a:rPr lang="pt-BR" sz="900">
                            <a:latin typeface="Cambria Math" panose="02040503050406030204" pitchFamily="18" charset="0"/>
                            <a:ea typeface="Cambria Math" panose="02040503050406030204" pitchFamily="18" charset="0"/>
                          </a:rPr>
                          <m:t> 4</m:t>
                        </m:r>
                      </m:num>
                      <m:den>
                        <m:eqArr>
                          <m:eqArrPr>
                            <m:ctrlPr>
                              <a:rPr lang="pt-BR" sz="900" i="1">
                                <a:latin typeface="Cambria Math" panose="02040503050406030204" pitchFamily="18" charset="0"/>
                                <a:ea typeface="Cambria Math" panose="02040503050406030204" pitchFamily="18" charset="0"/>
                              </a:rPr>
                            </m:ctrlPr>
                          </m:eqArrPr>
                          <m:e>
                            <m:r>
                              <m:rPr>
                                <m:sty m:val="p"/>
                              </m:rPr>
                              <a:rPr lang="pt-BR" sz="900" i="0">
                                <a:latin typeface="Cambria Math" panose="02040503050406030204" pitchFamily="18" charset="0"/>
                                <a:ea typeface="Cambria Math" panose="02040503050406030204" pitchFamily="18" charset="0"/>
                              </a:rPr>
                              <m:t>Average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of</m:t>
                            </m:r>
                            <m:r>
                              <a:rPr lang="pt-BR" sz="900" i="0">
                                <a:latin typeface="Cambria Math" panose="02040503050406030204" pitchFamily="18" charset="0"/>
                                <a:ea typeface="Cambria Math" panose="02040503050406030204" pitchFamily="18" charset="0"/>
                              </a:rPr>
                              <m:t> 2 </m:t>
                            </m:r>
                            <m:r>
                              <m:rPr>
                                <m:sty m:val="p"/>
                              </m:rPr>
                              <a:rPr lang="pt-BR" sz="900" i="0">
                                <a:latin typeface="Cambria Math" panose="02040503050406030204" pitchFamily="18" charset="0"/>
                                <a:ea typeface="Cambria Math" panose="02040503050406030204" pitchFamily="18" charset="0"/>
                              </a:rPr>
                              <m:t>Last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Quarters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Earning</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Portfolio</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Non</m:t>
                            </m:r>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interest</m:t>
                            </m:r>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Bearing</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Credit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Cards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Receivables</m:t>
                            </m:r>
                            <m:r>
                              <a:rPr lang="pt-BR" sz="900" i="0">
                                <a:latin typeface="Cambria Math" panose="02040503050406030204" pitchFamily="18" charset="0"/>
                                <a:ea typeface="Cambria Math" panose="02040503050406030204" pitchFamily="18" charset="0"/>
                              </a:rPr>
                              <m:t> </m:t>
                            </m:r>
                          </m:e>
                          <m:e>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Amounts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due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from</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financial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institutions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Securities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Derivatives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Net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and</m:t>
                            </m:r>
                            <m:r>
                              <a:rPr lang="pt-BR" sz="900" i="0">
                                <a:latin typeface="Cambria Math" panose="02040503050406030204" pitchFamily="18" charset="0"/>
                                <a:ea typeface="Cambria Math" panose="02040503050406030204" pitchFamily="18" charset="0"/>
                              </a:rPr>
                              <m:t> </m:t>
                            </m:r>
                          </m:e>
                          <m:e>
                            <m:r>
                              <m:rPr>
                                <m:sty m:val="p"/>
                              </m:rPr>
                              <a:rPr lang="pt-BR" sz="900" i="0">
                                <a:latin typeface="Cambria Math" panose="02040503050406030204" pitchFamily="18" charset="0"/>
                                <a:ea typeface="Cambria Math" panose="02040503050406030204" pitchFamily="18" charset="0"/>
                              </a:rPr>
                              <m:t>advances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customers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Credit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card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transactor</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portfolio</m:t>
                            </m:r>
                            <m:r>
                              <a:rPr lang="pt-BR" sz="900" i="0">
                                <a:latin typeface="Cambria Math" panose="02040503050406030204" pitchFamily="18" charset="0"/>
                                <a:ea typeface="Cambria Math" panose="02040503050406030204" pitchFamily="18" charset="0"/>
                              </a:rPr>
                              <m:t>)</m:t>
                            </m:r>
                          </m:e>
                        </m:eqArr>
                      </m:den>
                    </m:f>
                    <m:r>
                      <a:rPr lang="pt-BR" sz="900" i="1">
                        <a:latin typeface="Cambria Math" panose="02040503050406030204" pitchFamily="18" charset="0"/>
                        <a:ea typeface="Cambria Math" panose="02040503050406030204" pitchFamily="18" charset="0"/>
                      </a:rPr>
                      <m:t> </m:t>
                    </m:r>
                  </m:oMath>
                </m:oMathPara>
              </a14:m>
              <a:endParaRPr lang="en-US" sz="900" b="1" i="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15 to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i="0">
                            <a:latin typeface="Cambria Math" panose="02040503050406030204" pitchFamily="18" charset="0"/>
                            <a:ea typeface="Cambria Math" panose="02040503050406030204" pitchFamily="18" charset="0"/>
                          </a:rPr>
                          <m:t>Overdue</m:t>
                        </m:r>
                        <m:r>
                          <a:rPr lang="pt-BR" sz="900" i="0">
                            <a:latin typeface="Cambria Math" panose="02040503050406030204" pitchFamily="18" charset="0"/>
                            <a:ea typeface="Cambria Math" panose="02040503050406030204" pitchFamily="18" charset="0"/>
                          </a:rPr>
                          <m:t> 15 </m:t>
                        </m:r>
                        <m:r>
                          <m:rPr>
                            <m:sty m:val="p"/>
                          </m:rPr>
                          <a:rPr lang="pt-BR" sz="900" b="0" i="0">
                            <a:latin typeface="Cambria Math" panose="02040503050406030204" pitchFamily="18" charset="0"/>
                            <a:ea typeface="Cambria Math" panose="02040503050406030204" pitchFamily="18" charset="0"/>
                          </a:rPr>
                          <m:t>to</m:t>
                        </m:r>
                        <m:r>
                          <a:rPr lang="pt-BR" sz="900" b="0" i="0">
                            <a:latin typeface="Cambria Math" panose="02040503050406030204" pitchFamily="18" charset="0"/>
                            <a:ea typeface="Cambria Math" panose="02040503050406030204" pitchFamily="18" charset="0"/>
                          </a:rPr>
                          <m:t> 90 </m:t>
                        </m:r>
                        <m:r>
                          <m:rPr>
                            <m:sty m:val="p"/>
                          </m:rPr>
                          <a:rPr lang="pt-BR" sz="900" i="0">
                            <a:latin typeface="Cambria Math" panose="02040503050406030204" pitchFamily="18" charset="0"/>
                            <a:ea typeface="Cambria Math" panose="02040503050406030204" pitchFamily="18" charset="0"/>
                          </a:rPr>
                          <m:t>days</m:t>
                        </m:r>
                      </m:num>
                      <m:den>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and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Advance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Costumers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financial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institutions</m:t>
                        </m:r>
                        <m:r>
                          <a:rPr lang="pt-BR" sz="900" i="0">
                            <a:latin typeface="Cambria Math" panose="02040503050406030204" pitchFamily="18" charset="0"/>
                            <a:ea typeface="Cambria Math" panose="02040503050406030204" pitchFamily="18" charset="0"/>
                          </a:rPr>
                          <m:t>  </m:t>
                        </m:r>
                      </m:den>
                    </m:f>
                    <m:r>
                      <a:rPr lang="pt-BR" sz="900" b="0" i="1">
                        <a:latin typeface="Cambria Math" panose="02040503050406030204" pitchFamily="18" charset="0"/>
                        <a:ea typeface="Cambria Math" panose="02040503050406030204" pitchFamily="18" charset="0"/>
                      </a:rPr>
                      <m:t> </m:t>
                    </m:r>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31" name="Retângulo 9">
              <a:extLst>
                <a:ext uri="{FF2B5EF4-FFF2-40B4-BE49-F238E27FC236}">
                  <a16:creationId xmlns:a16="http://schemas.microsoft.com/office/drawing/2014/main" id="{E053E71D-69F7-C852-2686-4DDCCC5EB831}"/>
                </a:ext>
              </a:extLst>
            </xdr:cNvPr>
            <xdr:cNvSpPr/>
          </xdr:nvSpPr>
          <xdr:spPr>
            <a:xfrm>
              <a:off x="177988" y="26951921"/>
              <a:ext cx="5766026" cy="5570307"/>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Gross margin per active client net of interest expenses:</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ea typeface="Inter" panose="020B0502030000000004" pitchFamily="34" charset="0"/>
                </a:rPr>
                <a:t>ARPAC </a:t>
              </a:r>
              <a:r>
                <a:rPr lang="pt-BR" sz="900" b="0" i="0">
                  <a:latin typeface="Cambria Math" panose="02040503050406030204" pitchFamily="18" charset="0"/>
                  <a:ea typeface="Inter" panose="020B0502030000000004" pitchFamily="34" charset="0"/>
                </a:rPr>
                <a:t>net  </a:t>
              </a:r>
              <a:r>
                <a:rPr lang="pt-BR" sz="900" i="0">
                  <a:latin typeface="Cambria Math" panose="02040503050406030204" pitchFamily="18" charset="0"/>
                  <a:ea typeface="Inter" panose="020B0502030000000004" pitchFamily="34" charset="0"/>
                </a:rPr>
                <a:t>of </a:t>
              </a:r>
              <a:r>
                <a:rPr lang="pt-BR" sz="900" b="0" i="0">
                  <a:latin typeface="Cambria Math" panose="02040503050406030204" pitchFamily="18" charset="0"/>
                  <a:ea typeface="Inter" panose="020B0502030000000004" pitchFamily="34" charset="0"/>
                </a:rPr>
                <a:t>interest expenses</a:t>
              </a:r>
              <a:r>
                <a:rPr lang="pt-BR" sz="900" i="0">
                  <a:latin typeface="Cambria Math" panose="02040503050406030204" pitchFamily="18" charset="0"/>
                  <a:ea typeface="Inter" panose="020B0502030000000004" pitchFamily="34" charset="0"/>
                </a:rPr>
                <a:t> –</a:t>
              </a:r>
              <a:r>
                <a:rPr lang="pt-BR" sz="900" b="0" i="0">
                  <a:latin typeface="Cambria Math" panose="02040503050406030204" pitchFamily="18" charset="0"/>
                  <a:ea typeface="Inter" panose="020B0502030000000004" pitchFamily="34" charset="0"/>
                </a:rPr>
                <a:t>C</a:t>
              </a:r>
              <a:r>
                <a:rPr lang="pt-BR" sz="900" i="0">
                  <a:latin typeface="Cambria Math" panose="02040503050406030204" pitchFamily="18" charset="0"/>
                  <a:ea typeface="Inter" panose="020B0502030000000004" pitchFamily="34" charset="0"/>
                </a:rPr>
                <a:t>ost</a:t>
              </a:r>
              <a:r>
                <a:rPr lang="pt-BR" sz="900" b="0" i="0">
                  <a:latin typeface="Cambria Math" panose="02040503050406030204" pitchFamily="18" charset="0"/>
                  <a:ea typeface="Inter" panose="020B0502030000000004" pitchFamily="34" charset="0"/>
                </a:rPr>
                <a:t> </a:t>
              </a:r>
              <a:r>
                <a:rPr lang="pt-BR" sz="900" i="0">
                  <a:latin typeface="Cambria Math" panose="02040503050406030204" pitchFamily="18" charset="0"/>
                  <a:ea typeface="Inter" panose="020B0502030000000004" pitchFamily="34" charset="0"/>
                </a:rPr>
                <a:t>to</a:t>
              </a:r>
              <a:r>
                <a:rPr lang="pt-BR" sz="900" b="0" i="0">
                  <a:latin typeface="Cambria Math" panose="02040503050406030204" pitchFamily="18" charset="0"/>
                  <a:ea typeface="Inter" panose="020B0502030000000004" pitchFamily="34" charset="0"/>
                </a:rPr>
                <a:t> Serve</a:t>
              </a:r>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Net fee income:</a:t>
              </a:r>
            </a:p>
            <a:p>
              <a:endParaRPr lang="pt-BR" sz="900" b="1">
                <a:latin typeface="Calibri" panose="020F0502020204030204" pitchFamily="34" charset="0"/>
                <a:cs typeface="Calibri" panose="020F0502020204030204" pitchFamily="34" charset="0"/>
              </a:endParaRPr>
            </a:p>
            <a:p>
              <a:pPr algn="ctr"/>
              <a:r>
                <a:rPr lang="pt-BR" sz="900">
                  <a:latin typeface="Calibri" panose="020F0502020204030204" pitchFamily="34" charset="0"/>
                  <a:ea typeface="Inter" panose="020B0502030000000004" pitchFamily="34" charset="0"/>
                  <a:cs typeface="Calibri" panose="020F0502020204030204" pitchFamily="34" charset="0"/>
                </a:rPr>
                <a:t>Net result from services and commissions + Other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interest income: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I</a:t>
              </a:r>
              <a: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nterest Income+Interest Expenses+Income from securities and derivatives</a:t>
              </a:r>
              <a:r>
                <a:rPr lang="pt-BR" sz="900" b="1">
                  <a:latin typeface="Calibri" panose="020F0502020204030204" pitchFamily="34" charset="0"/>
                  <a:ea typeface="Cambria Math" panose="02040503050406030204" pitchFamily="18" charset="0"/>
                  <a:cs typeface="Calibri" panose="020F0502020204030204" pitchFamily="34" charset="0"/>
                </a:rPr>
                <a:t> </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Net interest income + Net result from services and commissions + Other revenue</a:t>
              </a:r>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1.0 – IEP + Non-interest Credit Cards Receivables:</a:t>
              </a:r>
              <a:br>
                <a:rPr lang="en-US" sz="800" b="1">
                  <a:latin typeface="Calibri" panose="020F0502020204030204" pitchFamily="34" charset="0"/>
                  <a:ea typeface="Cambria Math" panose="02040503050406030204" pitchFamily="18" charset="0"/>
                  <a:cs typeface="Calibri" panose="020F0502020204030204" pitchFamily="34" charset="0"/>
                </a:rPr>
              </a:b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Cambria Math" panose="02040503050406030204" pitchFamily="18" charset="0"/>
                </a:rPr>
                <a:t>(</a:t>
              </a:r>
              <a:r>
                <a:rPr lang="pt-BR" sz="900" b="0" i="0">
                  <a:latin typeface="Cambria Math" panose="02040503050406030204" pitchFamily="18" charset="0"/>
                  <a:ea typeface="Cambria Math" panose="02040503050406030204" pitchFamily="18" charset="0"/>
                </a:rPr>
                <a:t>Net interest income </a:t>
              </a:r>
              <a:r>
                <a:rPr lang="pt-BR" sz="900" i="0">
                  <a:latin typeface="Cambria Math" panose="02040503050406030204" pitchFamily="18" charset="0"/>
                  <a:ea typeface="Cambria Math" panose="02040503050406030204" pitchFamily="18" charset="0"/>
                </a:rPr>
                <a:t>x 4)/█(Average of 2 Last Quarters Earning Portfolio (Loans to financial institutions + Securities + @Derivatives + Net loans and advances to customers)</a:t>
              </a:r>
              <a:endParaRPr lang="en-US" sz="900">
                <a:latin typeface="Calibri" panose="020F0502020204030204" pitchFamily="34" charset="0"/>
                <a:ea typeface="Cambria Math" panose="02040503050406030204" pitchFamily="18" charset="0"/>
                <a:cs typeface="Calibri" panose="020F0502020204030204" pitchFamily="34" charset="0"/>
              </a:endParaRPr>
            </a:p>
            <a:p>
              <a:pPr algn="ct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2.0 – IEP Only:</a:t>
              </a:r>
            </a:p>
            <a:p>
              <a:endParaRPr lang="en-US" sz="800" b="1" i="1">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Cambria Math" panose="02040503050406030204" pitchFamily="18" charset="0"/>
                </a:rPr>
                <a:t>(Net interest income x 4)/█(Average of 2 Last Quarters Earning Portfolio − Non−interest−Bearing Credit Cards Receivables @(Amounts due from financial institutions + Securities + Derivatives + Net loans and @advances to customers – Credit card transactor portfolio))  </a:t>
              </a:r>
              <a:endParaRPr lang="en-US" sz="900" b="1" i="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15 to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pt-BR" sz="900" i="0">
                  <a:latin typeface="Cambria Math" panose="02040503050406030204" pitchFamily="18" charset="0"/>
                  <a:ea typeface="Cambria Math" panose="02040503050406030204" pitchFamily="18" charset="0"/>
                </a:rPr>
                <a:t>(Overdue 15 </a:t>
              </a:r>
              <a:r>
                <a:rPr lang="pt-BR" sz="900" b="0" i="0">
                  <a:latin typeface="Cambria Math" panose="02040503050406030204" pitchFamily="18" charset="0"/>
                  <a:ea typeface="Cambria Math" panose="02040503050406030204" pitchFamily="18" charset="0"/>
                </a:rPr>
                <a:t>to 90 </a:t>
              </a:r>
              <a:r>
                <a:rPr lang="pt-BR" sz="900" i="0">
                  <a:latin typeface="Cambria Math" panose="02040503050406030204" pitchFamily="18" charset="0"/>
                  <a:ea typeface="Cambria Math" panose="02040503050406030204" pitchFamily="18" charset="0"/>
                </a:rPr>
                <a:t>days)/(Loans and Advance to Costumers + Loans to  financial institutions  )</a:t>
              </a:r>
              <a:r>
                <a:rPr lang="pt-BR" sz="900" b="0" i="0">
                  <a:latin typeface="Cambria Math" panose="02040503050406030204" pitchFamily="18" charset="0"/>
                  <a:ea typeface="Cambria Math" panose="02040503050406030204" pitchFamily="18" charset="0"/>
                </a:rPr>
                <a:t>  </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0</xdr:col>
      <xdr:colOff>245533</xdr:colOff>
      <xdr:row>176</xdr:row>
      <xdr:rowOff>135467</xdr:rowOff>
    </xdr:from>
    <xdr:to>
      <xdr:col>7</xdr:col>
      <xdr:colOff>127000</xdr:colOff>
      <xdr:row>211</xdr:row>
      <xdr:rowOff>107373</xdr:rowOff>
    </xdr:to>
    <mc:AlternateContent xmlns:mc="http://schemas.openxmlformats.org/markup-compatibility/2006" xmlns:a14="http://schemas.microsoft.com/office/drawing/2010/main">
      <mc:Choice Requires="a14">
        <xdr:sp macro="" textlink="">
          <xdr:nvSpPr>
            <xdr:cNvPr id="36" name="Retângulo 9">
              <a:extLst>
                <a:ext uri="{FF2B5EF4-FFF2-40B4-BE49-F238E27FC236}">
                  <a16:creationId xmlns:a16="http://schemas.microsoft.com/office/drawing/2014/main" id="{00000000-0008-0000-1600-000024000000}"/>
                </a:ext>
              </a:extLst>
            </xdr:cNvPr>
            <xdr:cNvSpPr/>
          </xdr:nvSpPr>
          <xdr:spPr>
            <a:xfrm>
              <a:off x="245533" y="32529670"/>
              <a:ext cx="5679293" cy="641393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NPL &gt;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r>
                          <m:rPr>
                            <m:sty m:val="p"/>
                          </m:rPr>
                          <a:rPr lang="en-US" sz="900" i="0">
                            <a:latin typeface="Cambria Math" panose="02040503050406030204" pitchFamily="18" charset="0"/>
                            <a:ea typeface="Cambria Math" panose="02040503050406030204" pitchFamily="18" charset="0"/>
                          </a:rPr>
                          <m:t>Overdue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higher</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than</m:t>
                        </m:r>
                        <m:r>
                          <a:rPr lang="en-US" sz="900" i="0">
                            <a:latin typeface="Cambria Math" panose="02040503050406030204" pitchFamily="18" charset="0"/>
                            <a:ea typeface="Cambria Math" panose="02040503050406030204" pitchFamily="18" charset="0"/>
                          </a:rPr>
                          <m:t> 90 </m:t>
                        </m:r>
                        <m:r>
                          <m:rPr>
                            <m:sty m:val="p"/>
                          </m:rPr>
                          <a:rPr lang="en-US" sz="900" i="0">
                            <a:latin typeface="Cambria Math" panose="02040503050406030204" pitchFamily="18" charset="0"/>
                            <a:ea typeface="Cambria Math" panose="02040503050406030204" pitchFamily="18" charset="0"/>
                          </a:rPr>
                          <m:t>days</m:t>
                        </m:r>
                      </m:num>
                      <m:den>
                        <m:r>
                          <m:rPr>
                            <m:sty m:val="p"/>
                          </m:rPr>
                          <a:rPr lang="en-US" sz="900" i="0">
                            <a:latin typeface="Cambria Math" panose="02040503050406030204" pitchFamily="18" charset="0"/>
                            <a:ea typeface="Cambria Math" panose="02040503050406030204" pitchFamily="18" charset="0"/>
                          </a:rPr>
                          <m:t>Loans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and</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Advance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to</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Costumers</m:t>
                        </m:r>
                        <m:r>
                          <a:rPr lang="en-US" sz="900" i="0">
                            <a:latin typeface="Cambria Math" panose="02040503050406030204" pitchFamily="18" charset="0"/>
                            <a:ea typeface="Cambria Math" panose="02040503050406030204" pitchFamily="18" charset="0"/>
                          </a:rPr>
                          <m:t> + </m:t>
                        </m:r>
                        <m:r>
                          <m:rPr>
                            <m:sty m:val="p"/>
                          </m:rPr>
                          <a:rPr lang="en-US" sz="900" i="0">
                            <a:latin typeface="Cambria Math" panose="02040503050406030204" pitchFamily="18" charset="0"/>
                            <a:ea typeface="Cambria Math" panose="02040503050406030204" pitchFamily="18" charset="0"/>
                          </a:rPr>
                          <m:t>Loans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to</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financial</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institutions</m:t>
                        </m:r>
                        <m:r>
                          <a:rPr lang="en-US" sz="900" i="0">
                            <a:latin typeface="Cambria Math" panose="02040503050406030204" pitchFamily="18" charset="0"/>
                            <a:ea typeface="Cambria Math" panose="02040503050406030204" pitchFamily="18" charset="0"/>
                          </a:rPr>
                          <m:t>  </m:t>
                        </m:r>
                      </m:den>
                    </m:f>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eqArr>
                          <m:eqArrPr>
                            <m:ctrlPr>
                              <a:rPr lang="en-US" sz="900" i="1">
                                <a:latin typeface="Cambria Math" panose="02040503050406030204" pitchFamily="18" charset="0"/>
                                <a:ea typeface="Cambria Math" panose="02040503050406030204" pitchFamily="18" charset="0"/>
                              </a:rPr>
                            </m:ctrlPr>
                          </m:eqArrPr>
                          <m:e>
                            <m:r>
                              <m:rPr>
                                <m:sty m:val="p"/>
                              </m:rPr>
                              <a:rPr lang="en-US" sz="900">
                                <a:latin typeface="Cambria Math" panose="02040503050406030204" pitchFamily="18" charset="0"/>
                                <a:ea typeface="Cambria Math" panose="02040503050406030204" pitchFamily="18" charset="0"/>
                              </a:rPr>
                              <m:t>Overdue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higher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than</m:t>
                            </m:r>
                            <m:r>
                              <a:rPr lang="en-US" sz="900">
                                <a:latin typeface="Cambria Math" panose="02040503050406030204" pitchFamily="18" charset="0"/>
                                <a:ea typeface="Cambria Math" panose="02040503050406030204" pitchFamily="18" charset="0"/>
                              </a:rPr>
                              <m:t> 90 </m:t>
                            </m:r>
                            <m:r>
                              <m:rPr>
                                <m:sty m:val="p"/>
                              </m:rPr>
                              <a:rPr lang="en-US" sz="900">
                                <a:latin typeface="Cambria Math" panose="02040503050406030204" pitchFamily="18" charset="0"/>
                                <a:ea typeface="Cambria Math" panose="02040503050406030204" pitchFamily="18" charset="0"/>
                              </a:rPr>
                              <m:t>days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r>
                              <a:rPr lang="en-US" sz="900">
                                <a:latin typeface="Cambria Math" panose="02040503050406030204" pitchFamily="18" charset="0"/>
                                <a:ea typeface="Cambria Math" panose="02040503050406030204" pitchFamily="18" charset="0"/>
                              </a:rPr>
                              <m:t> –</m:t>
                            </m:r>
                          </m:e>
                          <m:e>
                            <m:r>
                              <m:rPr>
                                <m:sty m:val="p"/>
                              </m:rPr>
                              <a:rPr lang="en-US" sz="900">
                                <a:latin typeface="Cambria Math" panose="02040503050406030204" pitchFamily="18" charset="0"/>
                                <a:ea typeface="Cambria Math" panose="02040503050406030204" pitchFamily="18" charset="0"/>
                              </a:rPr>
                              <m:t>Overdue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higher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than</m:t>
                            </m:r>
                            <m:r>
                              <a:rPr lang="en-US" sz="900">
                                <a:latin typeface="Cambria Math" panose="02040503050406030204" pitchFamily="18" charset="0"/>
                                <a:ea typeface="Cambria Math" panose="02040503050406030204" pitchFamily="18" charset="0"/>
                              </a:rPr>
                              <m:t> 90 </m:t>
                            </m:r>
                            <m:r>
                              <m:rPr>
                                <m:sty m:val="p"/>
                              </m:rPr>
                              <a:rPr lang="en-US" sz="900">
                                <a:latin typeface="Cambria Math" panose="02040503050406030204" pitchFamily="18" charset="0"/>
                                <a:ea typeface="Cambria Math" panose="02040503050406030204" pitchFamily="18" charset="0"/>
                              </a:rPr>
                              <m:t>days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previous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Write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off</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change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e>
                        </m:eqArr>
                      </m:num>
                      <m:den>
                        <m:r>
                          <m:rPr>
                            <m:sty m:val="p"/>
                          </m:rPr>
                          <a:rPr lang="en-US" sz="900" b="0" i="0">
                            <a:latin typeface="Cambria Math" panose="02040503050406030204" pitchFamily="18" charset="0"/>
                            <a:ea typeface="Cambria Math" panose="02040503050406030204" pitchFamily="18" charset="0"/>
                          </a:rPr>
                          <m:t>Total</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loans</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and</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advance</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to</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customers</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in</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previous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quarter</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Personal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eqArr>
                          <m:eqArrPr>
                            <m:ctrlPr>
                              <a:rPr lang="en-US" sz="900" i="1">
                                <a:latin typeface="Cambria Math" panose="02040503050406030204" pitchFamily="18" charset="0"/>
                                <a:ea typeface="Cambria Math" panose="02040503050406030204" pitchFamily="18" charset="0"/>
                              </a:rPr>
                            </m:ctrlPr>
                          </m:eqArrPr>
                          <m:e>
                            <m:r>
                              <a:rPr lang="en-US" sz="900" i="0">
                                <a:latin typeface="Cambria Math" panose="02040503050406030204" pitchFamily="18" charset="0"/>
                                <a:ea typeface="Cambria Math" panose="02040503050406030204" pitchFamily="18" charset="0"/>
                              </a:rPr>
                              <m:t> </m:t>
                            </m:r>
                          </m:e>
                          <m:e>
                            <m:r>
                              <m:rPr>
                                <m:sty m:val="p"/>
                              </m:rPr>
                              <a:rPr lang="en-US" sz="900" i="0">
                                <a:latin typeface="Cambria Math" panose="02040503050406030204" pitchFamily="18" charset="0"/>
                                <a:ea typeface="Cambria Math" panose="02040503050406030204" pitchFamily="18" charset="0"/>
                              </a:rPr>
                              <m:t>Person</m:t>
                            </m:r>
                            <m:r>
                              <m:rPr>
                                <m:sty m:val="p"/>
                              </m:rPr>
                              <a:rPr lang="en-US" sz="900" b="0" i="0">
                                <a:latin typeface="Cambria Math" panose="02040503050406030204" pitchFamily="18" charset="0"/>
                                <a:ea typeface="Cambria Math" panose="02040503050406030204" pitchFamily="18" charset="0"/>
                              </a:rPr>
                              <m:t>nel</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expense</m:t>
                            </m:r>
                          </m:e>
                        </m:eqArr>
                      </m:num>
                      <m:den>
                        <m:r>
                          <m:rPr>
                            <m:sty m:val="p"/>
                          </m:rPr>
                          <a:rPr lang="en-US" sz="900" b="0" i="0">
                            <a:latin typeface="Cambria Math" panose="02040503050406030204" pitchFamily="18" charset="0"/>
                            <a:ea typeface="Cambria Math" panose="02040503050406030204" pitchFamily="18" charset="0"/>
                          </a:rPr>
                          <m:t>Net</m:t>
                        </m:r>
                        <m:r>
                          <a:rPr lang="en-US" sz="900" b="0" i="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Interest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Income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Net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result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from</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services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and</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comissions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Other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revenue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Tax</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expense</m:t>
                        </m:r>
                      </m:den>
                    </m:f>
                    <m:r>
                      <a:rPr lang="en-US" sz="900" i="1">
                        <a:latin typeface="Cambria Math" panose="02040503050406030204" pitchFamily="18" charset="0"/>
                        <a:ea typeface="Cambria Math" panose="02040503050406030204" pitchFamily="18" charset="0"/>
                      </a:rPr>
                      <m:t> </m:t>
                    </m:r>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Return on average equity (ROE):</a:t>
              </a:r>
            </a:p>
            <a:p>
              <a:pPr algn="ctr"/>
              <a:endParaRPr lang="en-US" sz="800" b="1">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r>
                          <a:rPr lang="en-US" sz="900" i="0">
                            <a:latin typeface="Cambria Math" panose="02040503050406030204" pitchFamily="18" charset="0"/>
                            <a:ea typeface="Cambria Math" panose="02040503050406030204" pitchFamily="18" charset="0"/>
                          </a:rPr>
                          <m:t>(</m:t>
                        </m:r>
                        <m:r>
                          <m:rPr>
                            <m:sty m:val="p"/>
                          </m:rPr>
                          <a:rPr lang="en-US" sz="900" i="0">
                            <a:latin typeface="Cambria Math" panose="02040503050406030204" pitchFamily="18" charset="0"/>
                            <a:ea typeface="Cambria Math" panose="02040503050406030204" pitchFamily="18" charset="0"/>
                          </a:rPr>
                          <m:t>Profit</m:t>
                        </m:r>
                        <m:r>
                          <a:rPr lang="en-US" sz="900" i="0">
                            <a:latin typeface="Cambria Math" panose="02040503050406030204" pitchFamily="18" charset="0"/>
                            <a:ea typeface="Cambria Math" panose="02040503050406030204" pitchFamily="18" charset="0"/>
                          </a:rPr>
                          <m:t> / (</m:t>
                        </m:r>
                        <m:r>
                          <m:rPr>
                            <m:sty m:val="p"/>
                          </m:rPr>
                          <a:rPr lang="en-US" sz="900" i="0">
                            <a:latin typeface="Cambria Math" panose="02040503050406030204" pitchFamily="18" charset="0"/>
                            <a:ea typeface="Cambria Math" panose="02040503050406030204" pitchFamily="18" charset="0"/>
                          </a:rPr>
                          <m:t>loss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for</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the</m:t>
                        </m:r>
                        <m:r>
                          <a:rPr lang="en-US" sz="90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quarter</m:t>
                        </m:r>
                        <m:r>
                          <a:rPr lang="en-US" sz="900" i="0">
                            <a:latin typeface="Cambria Math" panose="02040503050406030204" pitchFamily="18" charset="0"/>
                            <a:ea typeface="Cambria Math" panose="02040503050406030204" pitchFamily="18" charset="0"/>
                          </a:rPr>
                          <m:t>)× 4</m:t>
                        </m:r>
                      </m:num>
                      <m:den>
                        <m:r>
                          <m:rPr>
                            <m:sty m:val="p"/>
                          </m:rPr>
                          <a:rPr lang="en-US" sz="900" i="0">
                            <a:latin typeface="Cambria Math" panose="02040503050406030204" pitchFamily="18" charset="0"/>
                            <a:ea typeface="Cambria Math" panose="02040503050406030204" pitchFamily="18" charset="0"/>
                          </a:rPr>
                          <m:t>Average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of</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last</m:t>
                        </m:r>
                        <m:r>
                          <a:rPr lang="en-US" sz="900" i="0">
                            <a:latin typeface="Cambria Math" panose="02040503050406030204" pitchFamily="18" charset="0"/>
                            <a:ea typeface="Cambria Math" panose="02040503050406030204" pitchFamily="18" charset="0"/>
                          </a:rPr>
                          <m:t> 2 </m:t>
                        </m:r>
                        <m:r>
                          <m:rPr>
                            <m:sty m:val="p"/>
                          </m:rPr>
                          <a:rPr lang="en-US" sz="900" i="0">
                            <a:latin typeface="Cambria Math" panose="02040503050406030204" pitchFamily="18" charset="0"/>
                            <a:ea typeface="Cambria Math" panose="02040503050406030204" pitchFamily="18" charset="0"/>
                          </a:rPr>
                          <m:t>quarters</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of</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total</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shareholder</m:t>
                        </m:r>
                        <m:r>
                          <a:rPr lang="en-US" sz="900" i="0">
                            <a:latin typeface="Cambria Math" panose="02040503050406030204" pitchFamily="18" charset="0"/>
                            <a:ea typeface="Cambria Math" panose="02040503050406030204" pitchFamily="18" charset="0"/>
                          </a:rPr>
                          <m:t>`</m:t>
                        </m:r>
                        <m:r>
                          <m:rPr>
                            <m:sty m:val="p"/>
                          </m:rPr>
                          <a:rPr lang="en-US" sz="900" i="0">
                            <a:latin typeface="Cambria Math" panose="02040503050406030204" pitchFamily="18" charset="0"/>
                            <a:ea typeface="Cambria Math" panose="02040503050406030204" pitchFamily="18" charset="0"/>
                          </a:rPr>
                          <m:t>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equity</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ea typeface="Cambria Math" panose="02040503050406030204" pitchFamily="18" charset="0"/>
                  <a:cs typeface="Calibri" panose="020F0502020204030204" pitchFamily="34" charset="0"/>
                </a:rPr>
                <a:t>SG&amp;A:</a:t>
              </a:r>
            </a:p>
            <a:p>
              <a:endParaRPr lang="en-US" sz="900" b="1" i="0">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sty m:val="p"/>
                    </m:rPr>
                    <a:rPr lang="en-US" sz="900" i="0">
                      <a:latin typeface="Cambria Math" panose="02040503050406030204" pitchFamily="18" charset="0"/>
                      <a:ea typeface="Cambria Math" panose="02040503050406030204" pitchFamily="18" charset="0"/>
                      <a:cs typeface="Sora" pitchFamily="2" charset="0"/>
                    </a:rPr>
                    <m:t>Administrative</m:t>
                  </m:r>
                  <m:r>
                    <a:rPr lang="en-US" sz="900" i="0">
                      <a:latin typeface="Cambria Math" panose="02040503050406030204" pitchFamily="18" charset="0"/>
                      <a:ea typeface="Cambria Math" panose="02040503050406030204" pitchFamily="18" charset="0"/>
                      <a:cs typeface="Sora" pitchFamily="2" charset="0"/>
                    </a:rPr>
                    <m:t> </m:t>
                  </m:r>
                </m:oMath>
              </a14:m>
              <a:r>
                <a:rPr lang="en-US" sz="900">
                  <a:latin typeface="Calibri" panose="020F0502020204030204" pitchFamily="34" charset="0"/>
                  <a:ea typeface="Cambria Math" panose="02040503050406030204" pitchFamily="18" charset="0"/>
                  <a:cs typeface="Calibri" panose="020F0502020204030204" pitchFamily="34" charset="0"/>
                </a:rPr>
                <a:t>Expenses + Personnel Expenses + Depreciation and Amortization</a:t>
              </a: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Stage 3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eqArr>
                          <m:eqArrPr>
                            <m:ctrlPr>
                              <a:rPr lang="en-US" sz="900" i="1">
                                <a:latin typeface="Cambria Math" panose="02040503050406030204" pitchFamily="18" charset="0"/>
                                <a:ea typeface="Cambria Math" panose="02040503050406030204" pitchFamily="18" charset="0"/>
                              </a:rPr>
                            </m:ctrlPr>
                          </m:eqArrPr>
                          <m:e>
                            <m:r>
                              <m:rPr>
                                <m:sty m:val="p"/>
                              </m:rPr>
                              <a:rPr lang="en-US" sz="900">
                                <a:latin typeface="Cambria Math" panose="02040503050406030204" pitchFamily="18" charset="0"/>
                                <a:ea typeface="Cambria Math" panose="02040503050406030204" pitchFamily="18" charset="0"/>
                              </a:rPr>
                              <m:t>Stage</m:t>
                            </m:r>
                            <m:r>
                              <a:rPr lang="en-US" sz="900">
                                <a:latin typeface="Cambria Math" panose="02040503050406030204" pitchFamily="18" charset="0"/>
                                <a:ea typeface="Cambria Math" panose="02040503050406030204" pitchFamily="18" charset="0"/>
                              </a:rPr>
                              <m:t> 3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Stage</m:t>
                            </m:r>
                            <m:r>
                              <a:rPr lang="en-US" sz="900">
                                <a:latin typeface="Cambria Math" panose="02040503050406030204" pitchFamily="18" charset="0"/>
                                <a:ea typeface="Cambria Math" panose="02040503050406030204" pitchFamily="18" charset="0"/>
                              </a:rPr>
                              <m:t> 3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previous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e>
                          <m:e>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Write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off</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change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e>
                        </m:eqArr>
                      </m:num>
                      <m:den>
                        <m:r>
                          <m:rPr>
                            <m:sty m:val="p"/>
                          </m:rPr>
                          <a:rPr lang="en-US" sz="900" b="0" i="0">
                            <a:latin typeface="Cambria Math" panose="02040503050406030204" pitchFamily="18" charset="0"/>
                            <a:ea typeface="Cambria Math" panose="02040503050406030204" pitchFamily="18" charset="0"/>
                          </a:rPr>
                          <m:t>Total</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loans</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and</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advance</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to</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customers</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in</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previous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quarter</m:t>
                        </m:r>
                      </m:den>
                    </m:f>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Tier I ratio:</a:t>
              </a:r>
            </a:p>
            <a:p>
              <a:endParaRPr lang="en-US" sz="800" b="1">
                <a:highlight>
                  <a:srgbClr val="FFFF00"/>
                </a:highlight>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r>
                          <m:rPr>
                            <m:sty m:val="p"/>
                          </m:rPr>
                          <a:rPr lang="en-US" sz="900" b="0" i="0">
                            <a:latin typeface="Cambria Math" panose="02040503050406030204" pitchFamily="18" charset="0"/>
                            <a:ea typeface="Cambria Math" panose="02040503050406030204" pitchFamily="18" charset="0"/>
                          </a:rPr>
                          <m:t>Tier</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I</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referential</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equity</m:t>
                        </m:r>
                      </m:num>
                      <m:den>
                        <m:r>
                          <m:rPr>
                            <m:sty m:val="p"/>
                          </m:rPr>
                          <a:rPr lang="en-US" sz="900" b="0" i="0">
                            <a:latin typeface="Cambria Math" panose="02040503050406030204" pitchFamily="18" charset="0"/>
                            <a:ea typeface="Cambria Math" panose="02040503050406030204" pitchFamily="18" charset="0"/>
                          </a:rPr>
                          <m:t>Risk</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weighted</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assets</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Total gross revenue:</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
                  </m:oMathParaPr>
                  <m:oMath xmlns:m="http://schemas.openxmlformats.org/officeDocument/2006/math">
                    <m:r>
                      <m:rPr>
                        <m:sty m:val="p"/>
                      </m:rPr>
                      <a:rPr lang="en-US" sz="900" i="0">
                        <a:latin typeface="Cambria Math" panose="02040503050406030204" pitchFamily="18" charset="0"/>
                        <a:ea typeface="Cambria Math" panose="02040503050406030204" pitchFamily="18" charset="0"/>
                        <a:cs typeface="Sora" pitchFamily="2" charset="0"/>
                      </a:rPr>
                      <m:t>Interest</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income</m:t>
                    </m:r>
                    <m:r>
                      <a:rPr lang="en-US" sz="900" i="0">
                        <a:latin typeface="Cambria Math" panose="02040503050406030204" pitchFamily="18" charset="0"/>
                        <a:ea typeface="Cambria Math" panose="02040503050406030204" pitchFamily="18" charset="0"/>
                        <a:cs typeface="Sora" pitchFamily="2" charset="0"/>
                      </a:rPr>
                      <m:t> +</m:t>
                    </m:r>
                    <m:d>
                      <m:dPr>
                        <m:ctrlPr>
                          <a:rPr lang="en-US" sz="900" b="0" i="1">
                            <a:latin typeface="Cambria Math" panose="02040503050406030204" pitchFamily="18" charset="0"/>
                            <a:ea typeface="Cambria Math" panose="02040503050406030204" pitchFamily="18" charset="0"/>
                            <a:cs typeface="Sora" pitchFamily="2" charset="0"/>
                          </a:rPr>
                        </m:ctrlPr>
                      </m:dPr>
                      <m:e>
                        <m:r>
                          <m:rPr>
                            <m:sty m:val="p"/>
                          </m:rPr>
                          <a:rPr lang="en-US" sz="900" b="0" i="0">
                            <a:latin typeface="Cambria Math" panose="02040503050406030204" pitchFamily="18" charset="0"/>
                            <a:ea typeface="Cambria Math" panose="02040503050406030204" pitchFamily="18" charset="0"/>
                            <a:cs typeface="Sora" pitchFamily="2" charset="0"/>
                          </a:rPr>
                          <m:t>Revenue</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from</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services</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and</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commissions</m:t>
                        </m:r>
                        <m:r>
                          <a:rPr lang="en-US" sz="900" b="0" i="0">
                            <a:latin typeface="Cambria Math" panose="02040503050406030204" pitchFamily="18" charset="0"/>
                            <a:ea typeface="Cambria Math" panose="02040503050406030204" pitchFamily="18" charset="0"/>
                            <a:cs typeface="Sora" pitchFamily="2" charset="0"/>
                          </a:rPr>
                          <m:t>−</m:t>
                        </m:r>
                        <m:r>
                          <m:rPr>
                            <m:sty m:val="p"/>
                          </m:rPr>
                          <a:rPr lang="en-US" sz="900" b="0" i="0">
                            <a:latin typeface="Cambria Math" panose="02040503050406030204" pitchFamily="18" charset="0"/>
                            <a:ea typeface="Cambria Math" panose="02040503050406030204" pitchFamily="18" charset="0"/>
                            <a:cs typeface="Sora" pitchFamily="2" charset="0"/>
                          </a:rPr>
                          <m:t>Cashback</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expenses</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Inter</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rewards</m:t>
                        </m:r>
                      </m:e>
                    </m:d>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Income</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from</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securities</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and</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derivatives</m:t>
                    </m:r>
                    <m:r>
                      <a:rPr lang="en-US" sz="900" i="0">
                        <a:latin typeface="Cambria Math" panose="02040503050406030204" pitchFamily="18" charset="0"/>
                        <a:ea typeface="Cambria Math" panose="02040503050406030204" pitchFamily="18" charset="0"/>
                        <a:cs typeface="Sora" pitchFamily="2" charset="0"/>
                      </a:rPr>
                      <m:t> + </m:t>
                    </m:r>
                    <m:r>
                      <m:rPr>
                        <m:sty m:val="p"/>
                      </m:rPr>
                      <a:rPr lang="en-US" sz="900" i="0">
                        <a:latin typeface="Cambria Math" panose="02040503050406030204" pitchFamily="18" charset="0"/>
                        <a:ea typeface="Cambria Math" panose="02040503050406030204" pitchFamily="18" charset="0"/>
                        <a:cs typeface="Sora" pitchFamily="2" charset="0"/>
                      </a:rPr>
                      <m:t>Other</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revenue</m:t>
                    </m:r>
                  </m:oMath>
                </m:oMathPara>
              </a14:m>
              <a:endParaRPr lang="en-US"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36" name="Retângulo 9">
              <a:extLst>
                <a:ext uri="{FF2B5EF4-FFF2-40B4-BE49-F238E27FC236}">
                  <a16:creationId xmlns:a16="http://schemas.microsoft.com/office/drawing/2014/main" id="{70BBBFDC-97EA-DB78-9935-3D590DAA2910}"/>
                </a:ext>
              </a:extLst>
            </xdr:cNvPr>
            <xdr:cNvSpPr/>
          </xdr:nvSpPr>
          <xdr:spPr>
            <a:xfrm>
              <a:off x="245533" y="32529670"/>
              <a:ext cx="5679293" cy="641393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NPL &gt;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rPr>
                <a:t>(Overdue higher than 90 days)/(Loans and Advance to Costumers + Loans to  financial institutions  )</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rPr>
                <a:t>█(Overdue balance higher than 90 days in the current quarter –@Overdue balance higher than 90 days inthe previous quarter +Write−off change in the current quarter)/(</a:t>
              </a:r>
              <a:r>
                <a:rPr lang="en-US" sz="900" b="0" i="0">
                  <a:latin typeface="Cambria Math" panose="02040503050406030204" pitchFamily="18" charset="0"/>
                  <a:ea typeface="Cambria Math" panose="02040503050406030204" pitchFamily="18" charset="0"/>
                </a:rPr>
                <a:t>Total loans and advance to customers </a:t>
              </a:r>
              <a:r>
                <a:rPr lang="en-US" sz="900" i="0">
                  <a:latin typeface="Cambria Math" panose="02040503050406030204" pitchFamily="18" charset="0"/>
                  <a:ea typeface="Cambria Math" panose="02040503050406030204" pitchFamily="18" charset="0"/>
                </a:rPr>
                <a:t>in the previous quarter)</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Personal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rPr>
                <a:t>█( @Person</a:t>
              </a:r>
              <a:r>
                <a:rPr lang="en-US" sz="900" b="0" i="0">
                  <a:latin typeface="Cambria Math" panose="02040503050406030204" pitchFamily="18" charset="0"/>
                  <a:ea typeface="Cambria Math" panose="02040503050406030204" pitchFamily="18" charset="0"/>
                </a:rPr>
                <a:t>nel </a:t>
              </a:r>
              <a:r>
                <a:rPr lang="en-US" sz="900" i="0">
                  <a:latin typeface="Cambria Math" panose="02040503050406030204" pitchFamily="18" charset="0"/>
                  <a:ea typeface="Cambria Math" panose="02040503050406030204" pitchFamily="18" charset="0"/>
                </a:rPr>
                <a:t>expense)/(</a:t>
              </a:r>
              <a:r>
                <a:rPr lang="en-US" sz="900" b="0" i="0">
                  <a:latin typeface="Cambria Math" panose="02040503050406030204" pitchFamily="18" charset="0"/>
                  <a:ea typeface="Cambria Math" panose="02040503050406030204" pitchFamily="18" charset="0"/>
                </a:rPr>
                <a:t>Net </a:t>
              </a:r>
              <a:r>
                <a:rPr lang="en-US" sz="900" i="0">
                  <a:latin typeface="Cambria Math" panose="02040503050406030204" pitchFamily="18" charset="0"/>
                  <a:ea typeface="Cambria Math" panose="02040503050406030204" pitchFamily="18" charset="0"/>
                </a:rPr>
                <a:t>Interest Income+Net result from services and comissions+ Other revenue−Tax expense)  </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Return on average equity (ROE):</a:t>
              </a:r>
            </a:p>
            <a:p>
              <a:pPr algn="ctr"/>
              <a:endParaRPr lang="en-US" sz="800" b="1">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rPr>
                <a:t>((Profit / (loss) for the </a:t>
              </a:r>
              <a:r>
                <a:rPr lang="en-US" sz="900" b="0" i="0">
                  <a:latin typeface="Cambria Math" panose="02040503050406030204" pitchFamily="18" charset="0"/>
                  <a:ea typeface="Cambria Math" panose="02040503050406030204" pitchFamily="18" charset="0"/>
                </a:rPr>
                <a:t>quarter</a:t>
              </a:r>
              <a:r>
                <a:rPr lang="en-US" sz="900" i="0">
                  <a:latin typeface="Cambria Math" panose="02040503050406030204" pitchFamily="18" charset="0"/>
                  <a:ea typeface="Cambria Math" panose="02040503050406030204" pitchFamily="18" charset="0"/>
                </a:rPr>
                <a:t>)× 4)/(Average of last 2 quarters</a:t>
              </a:r>
              <a:r>
                <a:rPr lang="en-US" sz="900" b="0" i="0">
                  <a:latin typeface="Cambria Math" panose="02040503050406030204" pitchFamily="18" charset="0"/>
                  <a:ea typeface="Cambria Math" panose="02040503050406030204" pitchFamily="18" charset="0"/>
                </a:rPr>
                <a:t> </a:t>
              </a:r>
              <a:r>
                <a:rPr lang="en-US" sz="900" i="0">
                  <a:latin typeface="Cambria Math" panose="02040503050406030204" pitchFamily="18" charset="0"/>
                  <a:ea typeface="Cambria Math" panose="02040503050406030204" pitchFamily="18" charset="0"/>
                </a:rPr>
                <a:t>of total shareholder`s equity)</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ea typeface="Cambria Math" panose="02040503050406030204" pitchFamily="18" charset="0"/>
                  <a:cs typeface="Calibri" panose="020F0502020204030204" pitchFamily="34" charset="0"/>
                </a:rPr>
                <a:t>SG&amp;A:</a:t>
              </a:r>
            </a:p>
            <a:p>
              <a:endParaRPr lang="en-US" sz="900" b="1" i="0">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cs typeface="Sora" pitchFamily="2" charset="0"/>
                </a:rPr>
                <a:t>Administrative </a:t>
              </a:r>
              <a:r>
                <a:rPr lang="en-US" sz="900">
                  <a:latin typeface="Calibri" panose="020F0502020204030204" pitchFamily="34" charset="0"/>
                  <a:ea typeface="Cambria Math" panose="02040503050406030204" pitchFamily="18" charset="0"/>
                  <a:cs typeface="Calibri" panose="020F0502020204030204" pitchFamily="34" charset="0"/>
                </a:rPr>
                <a:t>Expenses + Personnel Expenses + Depreciation and Amortization</a:t>
              </a: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Stage 3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rPr>
                <a:t>█(Stage 3 balance in the current quarter –Stage 3 balance in the previous quarter@+Write−off change in the current quarter)/(</a:t>
              </a:r>
              <a:r>
                <a:rPr lang="en-US" sz="900" b="0" i="0">
                  <a:latin typeface="Cambria Math" panose="02040503050406030204" pitchFamily="18" charset="0"/>
                  <a:ea typeface="Cambria Math" panose="02040503050406030204" pitchFamily="18" charset="0"/>
                </a:rPr>
                <a:t>Total loans and advance to customers </a:t>
              </a:r>
              <a:r>
                <a:rPr lang="en-US" sz="900" i="0">
                  <a:latin typeface="Cambria Math" panose="02040503050406030204" pitchFamily="18" charset="0"/>
                  <a:ea typeface="Cambria Math" panose="02040503050406030204" pitchFamily="18" charset="0"/>
                </a:rPr>
                <a:t>in the previous quarter)</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Tier I ratio:</a:t>
              </a:r>
            </a:p>
            <a:p>
              <a:endParaRPr lang="en-US" sz="800" b="1">
                <a:highlight>
                  <a:srgbClr val="FFFF00"/>
                </a:highlight>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rPr>
                <a:t>(</a:t>
              </a:r>
              <a:r>
                <a:rPr lang="en-US" sz="900" b="0" i="0">
                  <a:latin typeface="Cambria Math" panose="02040503050406030204" pitchFamily="18" charset="0"/>
                  <a:ea typeface="Cambria Math" panose="02040503050406030204" pitchFamily="18" charset="0"/>
                </a:rPr>
                <a:t>Tier I referential equity)/(Risk weighted assets)</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Total gross revenue:</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cs typeface="Sora" pitchFamily="2" charset="0"/>
                </a:rPr>
                <a:t>Interest income +</a:t>
              </a:r>
              <a:r>
                <a:rPr lang="en-US" sz="900" b="0" i="0">
                  <a:latin typeface="Cambria Math" panose="02040503050406030204" pitchFamily="18" charset="0"/>
                  <a:ea typeface="Cambria Math" panose="02040503050406030204" pitchFamily="18" charset="0"/>
                  <a:cs typeface="Sora" pitchFamily="2" charset="0"/>
                </a:rPr>
                <a:t>(Revenue</a:t>
              </a:r>
              <a:r>
                <a:rPr lang="en-US" sz="900" i="0">
                  <a:latin typeface="Cambria Math" panose="02040503050406030204" pitchFamily="18" charset="0"/>
                  <a:ea typeface="Cambria Math" panose="02040503050406030204" pitchFamily="18" charset="0"/>
                  <a:cs typeface="Sora" pitchFamily="2" charset="0"/>
                </a:rPr>
                <a:t> from services and commissions</a:t>
              </a:r>
              <a:r>
                <a:rPr lang="en-US" sz="900" b="0" i="0">
                  <a:latin typeface="Cambria Math" panose="02040503050406030204" pitchFamily="18" charset="0"/>
                  <a:ea typeface="Cambria Math" panose="02040503050406030204" pitchFamily="18" charset="0"/>
                  <a:cs typeface="Sora" pitchFamily="2" charset="0"/>
                </a:rPr>
                <a:t>−Cashback expenses −Inter rewards)+ </a:t>
              </a:r>
              <a:r>
                <a:rPr lang="en-US" sz="900" i="0">
                  <a:latin typeface="Cambria Math" panose="02040503050406030204" pitchFamily="18" charset="0"/>
                  <a:ea typeface="Cambria Math" panose="02040503050406030204" pitchFamily="18" charset="0"/>
                  <a:cs typeface="Sora" pitchFamily="2" charset="0"/>
                </a:rPr>
                <a:t>Income from securities </a:t>
              </a:r>
              <a:r>
                <a:rPr lang="en-US" sz="900" b="0" i="0">
                  <a:latin typeface="Cambria Math" panose="02040503050406030204" pitchFamily="18" charset="0"/>
                  <a:ea typeface="Cambria Math" panose="02040503050406030204" pitchFamily="18" charset="0"/>
                  <a:cs typeface="Sora" pitchFamily="2" charset="0"/>
                </a:rPr>
                <a:t>and </a:t>
              </a:r>
              <a:r>
                <a:rPr lang="en-US" sz="900" i="0">
                  <a:latin typeface="Cambria Math" panose="02040503050406030204" pitchFamily="18" charset="0"/>
                  <a:ea typeface="Cambria Math" panose="02040503050406030204" pitchFamily="18" charset="0"/>
                  <a:cs typeface="Sora" pitchFamily="2" charset="0"/>
                </a:rPr>
                <a:t>derivatives + Other revenue</a:t>
              </a:r>
              <a:endParaRPr lang="en-US"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8</xdr:col>
      <xdr:colOff>115454</xdr:colOff>
      <xdr:row>4</xdr:row>
      <xdr:rowOff>28863</xdr:rowOff>
    </xdr:from>
    <xdr:to>
      <xdr:col>15</xdr:col>
      <xdr:colOff>90481</xdr:colOff>
      <xdr:row>30</xdr:row>
      <xdr:rowOff>107765</xdr:rowOff>
    </xdr:to>
    <mc:AlternateContent xmlns:mc="http://schemas.openxmlformats.org/markup-compatibility/2006" xmlns:a14="http://schemas.microsoft.com/office/drawing/2010/main">
      <mc:Choice Requires="a14">
        <xdr:sp macro="" textlink="">
          <xdr:nvSpPr>
            <xdr:cNvPr id="45" name="Retângulo 9">
              <a:extLst>
                <a:ext uri="{FF2B5EF4-FFF2-40B4-BE49-F238E27FC236}">
                  <a16:creationId xmlns:a16="http://schemas.microsoft.com/office/drawing/2014/main" id="{00000000-0008-0000-1600-00002D000000}"/>
                </a:ext>
              </a:extLst>
            </xdr:cNvPr>
            <xdr:cNvSpPr/>
          </xdr:nvSpPr>
          <xdr:spPr>
            <a:xfrm>
              <a:off x="6741541" y="765095"/>
              <a:ext cx="5772853" cy="4864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chemeClr val="tx1"/>
                  </a:solidFill>
                  <a:latin typeface="Calibri" panose="020F0502020204030204" pitchFamily="34" charset="0"/>
                  <a:cs typeface="Calibri" panose="020F0502020204030204" pitchFamily="34" charset="0"/>
                </a:rPr>
                <a:t>Clientes ativos:</a:t>
              </a:r>
            </a:p>
            <a:p>
              <a:pPr algn="just"/>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Nós definimos um cliente ativo como um cliente em qualquer data que foi a fonte de qualquer quantia de receita para nós nos últimos três meses e/ou um cliente que usou produtos nos últimos três meses. Para o Inter Seguros, calculamos o número de clientes ativos para a nossa vertical de corretagem de seguros como o número de beneficiários de apólices de seguro efetivas em uma determinada data. Para a Inter Invest, calculamos o número de clientes ativos como o número de contas individuais que investiram em nossa plataforma durante o período aplicável. </a:t>
              </a: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r>
                <a:rPr lang="en-US" sz="800" b="1">
                  <a:solidFill>
                    <a:schemeClr val="tx1"/>
                  </a:solidFill>
                  <a:latin typeface="Calibri" panose="020F0502020204030204" pitchFamily="34" charset="0"/>
                  <a:cs typeface="Calibri" panose="020F0502020204030204" pitchFamily="34" charset="0"/>
                </a:rPr>
                <a:t>Clientes ativos por colaborador:</a:t>
              </a:r>
            </a:p>
            <a:p>
              <a:endParaRPr lang="en-US" sz="800" b="1">
                <a:solidFill>
                  <a:schemeClr val="tx1"/>
                </a:solidFill>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r>
                          <m:rPr>
                            <m:sty m:val="p"/>
                          </m:rPr>
                          <a:rPr lang="pt-BR" sz="800" b="0" i="0">
                            <a:solidFill>
                              <a:schemeClr val="tx1"/>
                            </a:solidFill>
                            <a:latin typeface="Cambria Math" panose="02040503050406030204" pitchFamily="18" charset="0"/>
                            <a:cs typeface="Sora" pitchFamily="2" charset="0"/>
                          </a:rPr>
                          <m:t>N</m:t>
                        </m:r>
                        <m:r>
                          <a:rPr lang="pt-BR" sz="800" i="0">
                            <a:solidFill>
                              <a:schemeClr val="tx1"/>
                            </a:solidFill>
                            <a:latin typeface="Cambria Math" panose="02040503050406030204" pitchFamily="18" charset="0"/>
                            <a:cs typeface="Sora" pitchFamily="2" charset="0"/>
                          </a:rPr>
                          <m:t>ú</m:t>
                        </m:r>
                        <m:r>
                          <m:rPr>
                            <m:sty m:val="p"/>
                          </m:rPr>
                          <a:rPr lang="pt-BR" sz="800" b="0" i="0">
                            <a:solidFill>
                              <a:schemeClr val="tx1"/>
                            </a:solidFill>
                            <a:latin typeface="Cambria Math" panose="02040503050406030204" pitchFamily="18" charset="0"/>
                            <a:cs typeface="Sora" pitchFamily="2" charset="0"/>
                          </a:rPr>
                          <m:t>mero</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de</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clientes</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ativos</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no</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trimestre</m:t>
                        </m:r>
                        <m:r>
                          <a:rPr lang="pt-BR" sz="800" b="0" i="0">
                            <a:solidFill>
                              <a:schemeClr val="tx1"/>
                            </a:solidFill>
                            <a:latin typeface="Cambria Math" panose="02040503050406030204" pitchFamily="18" charset="0"/>
                            <a:cs typeface="Sora" pitchFamily="2" charset="0"/>
                          </a:rPr>
                          <m:t> </m:t>
                        </m:r>
                      </m:num>
                      <m:den>
                        <m:r>
                          <m:rPr>
                            <m:sty m:val="p"/>
                          </m:rPr>
                          <a:rPr lang="pt-BR" sz="800">
                            <a:latin typeface="Cambria Math" panose="02040503050406030204" pitchFamily="18" charset="0"/>
                            <a:cs typeface="Sora" pitchFamily="2" charset="0"/>
                          </a:rPr>
                          <m:t>N</m:t>
                        </m:r>
                        <m:r>
                          <a:rPr lang="pt-BR" sz="800">
                            <a:latin typeface="Cambria Math" panose="02040503050406030204" pitchFamily="18" charset="0"/>
                            <a:cs typeface="Sora" pitchFamily="2" charset="0"/>
                          </a:rPr>
                          <m:t>ú</m:t>
                        </m:r>
                        <m:r>
                          <m:rPr>
                            <m:sty m:val="p"/>
                          </m:rPr>
                          <a:rPr lang="pt-BR" sz="800">
                            <a:latin typeface="Cambria Math" panose="02040503050406030204" pitchFamily="18" charset="0"/>
                            <a:cs typeface="Sora" pitchFamily="2" charset="0"/>
                          </a:rPr>
                          <m:t>mero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total</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colaboradores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no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trimestre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incluindo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estagi</m:t>
                        </m:r>
                        <m:r>
                          <a:rPr lang="pt-BR" sz="800">
                            <a:latin typeface="Cambria Math" panose="02040503050406030204" pitchFamily="18" charset="0"/>
                            <a:cs typeface="Sora" pitchFamily="2" charset="0"/>
                          </a:rPr>
                          <m:t>á</m:t>
                        </m:r>
                        <m:r>
                          <m:rPr>
                            <m:sty m:val="p"/>
                          </m:rPr>
                          <a:rPr lang="pt-BR" sz="800">
                            <a:latin typeface="Cambria Math" panose="02040503050406030204" pitchFamily="18" charset="0"/>
                            <a:cs typeface="Sora" pitchFamily="2" charset="0"/>
                          </a:rPr>
                          <m:t>rios</m:t>
                        </m:r>
                      </m:den>
                    </m:f>
                    <m:r>
                      <a:rPr lang="pt-BR" sz="800" b="0" i="0">
                        <a:solidFill>
                          <a:schemeClr val="tx1"/>
                        </a:solidFill>
                        <a:latin typeface="Cambria Math" panose="02040503050406030204" pitchFamily="18" charset="0"/>
                        <a:cs typeface="Sora" pitchFamily="2" charset="0"/>
                      </a:rPr>
                      <m:t> </m:t>
                    </m:r>
                  </m:oMath>
                </m:oMathPara>
              </a14:m>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Custo de aquisição de cliente (CAC):</a:t>
              </a:r>
            </a:p>
            <a:p>
              <a:pPr marL="0" marR="0" lvl="0" indent="0" algn="just" defTabSz="4572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O custo médio para adicionar um cliente à base, considerando as despesas operacionais para abertura de conta</a:t>
              </a:r>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 </a:t>
              </a: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como pessoal de integração, gravação e envio de cartões, e despesas de marketing digital com foco na captação de clientes dividido pelo número de contas abertas no trimestre.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Gross Take Rate: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pt-BR" sz="800" b="0" i="1" u="none" strike="noStrike" kern="1200" cap="none" spc="0" normalizeH="0" baseline="0">
                            <a:ln>
                              <a:noFill/>
                            </a:ln>
                            <a:solidFill>
                              <a:schemeClr val="tx1"/>
                            </a:solidFill>
                            <a:effectLst/>
                            <a:uLnTx/>
                            <a:uFillTx/>
                            <a:latin typeface="Cambria Math" panose="02040503050406030204" pitchFamily="18" charset="0"/>
                          </a:rPr>
                        </m:ctrlPr>
                      </m:fPr>
                      <m:num>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Receita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bruta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Inter</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Shop</m:t>
                        </m:r>
                      </m:num>
                      <m:den>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Volume</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transacionado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no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Marketplace</m:t>
                        </m:r>
                      </m:den>
                    </m:f>
                  </m:oMath>
                </m:oMathPara>
              </a14:m>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Net Take Rate:</a:t>
              </a:r>
            </a:p>
            <a:p>
              <a:pPr marL="0" marR="0" lvl="0" indent="0" algn="l" defTabSz="457200" rtl="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pt-BR" sz="800" b="0" i="1" u="none" strike="noStrike" kern="1200" cap="none" spc="0" normalizeH="0" baseline="0">
                            <a:ln>
                              <a:noFill/>
                            </a:ln>
                            <a:solidFill>
                              <a:schemeClr val="tx1"/>
                            </a:solidFill>
                            <a:effectLst/>
                            <a:uLnTx/>
                            <a:uFillTx/>
                            <a:latin typeface="Cambria Math" panose="02040503050406030204" pitchFamily="18" charset="0"/>
                          </a:rPr>
                        </m:ctrlPr>
                      </m:fPr>
                      <m:num>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Receita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l</m:t>
                        </m:r>
                        <m:r>
                          <a:rPr kumimoji="0" lang="pt-BR" sz="800" b="0" i="0" u="none" strike="noStrike" kern="1200" cap="none" spc="0" normalizeH="0" baseline="0">
                            <a:ln>
                              <a:noFill/>
                            </a:ln>
                            <a:solidFill>
                              <a:schemeClr val="tx1"/>
                            </a:solidFill>
                            <a:effectLst/>
                            <a:uLnTx/>
                            <a:uFillTx/>
                            <a:latin typeface="Cambria Math" panose="02040503050406030204" pitchFamily="18" charset="0"/>
                          </a:rPr>
                          <m:t>í</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quida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Inter</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Shop</m:t>
                        </m:r>
                      </m:num>
                      <m:den>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Volume</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transacionado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no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Marketplace</m:t>
                        </m:r>
                      </m:den>
                    </m:f>
                  </m:oMath>
                </m:oMathPara>
              </a14:m>
              <a:endParaRPr kumimoji="0" lang="pt-BR" sz="800" b="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Choice>
      <mc:Fallback xmlns="">
        <xdr:sp macro="" textlink="">
          <xdr:nvSpPr>
            <xdr:cNvPr id="45" name="Retângulo 9">
              <a:extLst>
                <a:ext uri="{FF2B5EF4-FFF2-40B4-BE49-F238E27FC236}">
                  <a16:creationId xmlns:a16="http://schemas.microsoft.com/office/drawing/2014/main" id="{48BBF3E4-0244-D8A6-4858-29E2132863B8}"/>
                </a:ext>
              </a:extLst>
            </xdr:cNvPr>
            <xdr:cNvSpPr/>
          </xdr:nvSpPr>
          <xdr:spPr>
            <a:xfrm>
              <a:off x="6741541" y="765095"/>
              <a:ext cx="5772853" cy="4864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chemeClr val="tx1"/>
                  </a:solidFill>
                  <a:latin typeface="Calibri" panose="020F0502020204030204" pitchFamily="34" charset="0"/>
                  <a:cs typeface="Calibri" panose="020F0502020204030204" pitchFamily="34" charset="0"/>
                </a:rPr>
                <a:t>Clientes ativos:</a:t>
              </a:r>
            </a:p>
            <a:p>
              <a:pPr algn="just"/>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Nós definimos um cliente ativo como um cliente em qualquer data que foi a fonte de qualquer quantia de receita para nós nos últimos três meses e/ou um cliente que usou produtos nos últimos três meses. Para o Inter Seguros, calculamos o número de clientes ativos para a nossa vertical de corretagem de seguros como o número de beneficiários de apólices de seguro efetivas em uma determinada data. Para a Inter Invest, calculamos o número de clientes ativos como o número de contas individuais que investiram em nossa plataforma durante o período aplicável. </a:t>
              </a: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r>
                <a:rPr lang="en-US" sz="800" b="1">
                  <a:solidFill>
                    <a:schemeClr val="tx1"/>
                  </a:solidFill>
                  <a:latin typeface="Calibri" panose="020F0502020204030204" pitchFamily="34" charset="0"/>
                  <a:cs typeface="Calibri" panose="020F0502020204030204" pitchFamily="34" charset="0"/>
                </a:rPr>
                <a:t>Clientes ativos por colaborador:</a:t>
              </a:r>
            </a:p>
            <a:p>
              <a:endParaRPr lang="en-US" sz="800" b="1">
                <a:solidFill>
                  <a:schemeClr val="tx1"/>
                </a:solidFill>
                <a:latin typeface="Calibri" panose="020F0502020204030204" pitchFamily="34" charset="0"/>
                <a:cs typeface="Calibri" panose="020F0502020204030204" pitchFamily="34" charset="0"/>
              </a:endParaRPr>
            </a:p>
            <a:p>
              <a:pPr/>
              <a:r>
                <a:rPr lang="en-US" sz="800" i="0">
                  <a:solidFill>
                    <a:schemeClr val="tx1"/>
                  </a:solidFill>
                  <a:latin typeface="Cambria Math" panose="02040503050406030204" pitchFamily="18" charset="0"/>
                  <a:cs typeface="Sora" pitchFamily="2" charset="0"/>
                </a:rPr>
                <a:t>(</a:t>
              </a:r>
              <a:r>
                <a:rPr lang="pt-BR" sz="800" b="0" i="0">
                  <a:solidFill>
                    <a:schemeClr val="tx1"/>
                  </a:solidFill>
                  <a:latin typeface="Cambria Math" panose="02040503050406030204" pitchFamily="18" charset="0"/>
                  <a:cs typeface="Sora" pitchFamily="2" charset="0"/>
                </a:rPr>
                <a:t>N</a:t>
              </a:r>
              <a:r>
                <a:rPr lang="pt-BR" sz="800" i="0">
                  <a:solidFill>
                    <a:schemeClr val="tx1"/>
                  </a:solidFill>
                  <a:latin typeface="Cambria Math" panose="02040503050406030204" pitchFamily="18" charset="0"/>
                  <a:cs typeface="Sora" pitchFamily="2" charset="0"/>
                </a:rPr>
                <a:t>ú</a:t>
              </a:r>
              <a:r>
                <a:rPr lang="pt-BR" sz="800" b="0" i="0">
                  <a:solidFill>
                    <a:schemeClr val="tx1"/>
                  </a:solidFill>
                  <a:latin typeface="Cambria Math" panose="02040503050406030204" pitchFamily="18" charset="0"/>
                  <a:cs typeface="Sora" pitchFamily="2" charset="0"/>
                </a:rPr>
                <a:t>mero de clientes ativos no trimestre </a:t>
              </a:r>
              <a:r>
                <a:rPr lang="en-US" sz="800" b="0" i="0">
                  <a:solidFill>
                    <a:schemeClr val="tx1"/>
                  </a:solidFill>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Número total de colaboradores no trimestre, incluindo estagiários</a:t>
              </a:r>
              <a:r>
                <a:rPr lang="en-US" sz="800" i="0">
                  <a:solidFill>
                    <a:schemeClr val="tx1"/>
                  </a:solidFill>
                  <a:latin typeface="Cambria Math" panose="02040503050406030204" pitchFamily="18" charset="0"/>
                  <a:cs typeface="Sora" pitchFamily="2" charset="0"/>
                </a:rPr>
                <a:t>)</a:t>
              </a:r>
              <a:r>
                <a:rPr lang="pt-BR" sz="800" b="0" i="0">
                  <a:solidFill>
                    <a:schemeClr val="tx1"/>
                  </a:solidFill>
                  <a:latin typeface="Cambria Math" panose="02040503050406030204" pitchFamily="18" charset="0"/>
                  <a:cs typeface="Sora" pitchFamily="2" charset="0"/>
                </a:rPr>
                <a:t>  </a:t>
              </a: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Custo de aquisição de cliente (CAC):</a:t>
              </a:r>
            </a:p>
            <a:p>
              <a:pPr marL="0" marR="0" lvl="0" indent="0" algn="just" defTabSz="4572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O custo médio para adicionar um cliente à base, considerando as despesas operacionais para abertura de conta</a:t>
              </a:r>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 </a:t>
              </a: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como pessoal de integração, gravação e envio de cartões, e despesas de marketing digital com foco na captação de clientes dividido pelo número de contas abertas no trimestre.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Gross Take Rate: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pt-BR" sz="800" b="0" i="0" u="none" strike="noStrike" kern="1200" cap="none" spc="0" normalizeH="0" baseline="0">
                  <a:ln>
                    <a:noFill/>
                  </a:ln>
                  <a:solidFill>
                    <a:schemeClr val="tx1"/>
                  </a:solidFill>
                  <a:effectLst/>
                  <a:uLnTx/>
                  <a:uFillTx/>
                  <a:latin typeface="Cambria Math" panose="02040503050406030204" pitchFamily="18" charset="0"/>
                </a:rPr>
                <a:t>(Receita bruta Inter Shop)/(Volume transacionado no Marketplace)</a:t>
              </a:r>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Net Take Rate:</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pt-BR" sz="800" b="0" i="0" u="none" strike="noStrike" kern="1200" cap="none" spc="0" normalizeH="0" baseline="0">
                  <a:ln>
                    <a:noFill/>
                  </a:ln>
                  <a:solidFill>
                    <a:schemeClr val="tx1"/>
                  </a:solidFill>
                  <a:effectLst/>
                  <a:uLnTx/>
                  <a:uFillTx/>
                  <a:latin typeface="Cambria Math" panose="02040503050406030204" pitchFamily="18" charset="0"/>
                </a:rPr>
                <a:t>(Receita líquida Inter Shop)/(Volume transacionado no Marketplace)</a:t>
              </a:r>
              <a:endParaRPr kumimoji="0" lang="pt-BR" sz="800" b="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135271</xdr:colOff>
      <xdr:row>27</xdr:row>
      <xdr:rowOff>173182</xdr:rowOff>
    </xdr:from>
    <xdr:to>
      <xdr:col>15</xdr:col>
      <xdr:colOff>111553</xdr:colOff>
      <xdr:row>47</xdr:row>
      <xdr:rowOff>78418</xdr:rowOff>
    </xdr:to>
    <mc:AlternateContent xmlns:mc="http://schemas.openxmlformats.org/markup-compatibility/2006" xmlns:a14="http://schemas.microsoft.com/office/drawing/2010/main">
      <mc:Choice Requires="a14">
        <xdr:sp macro="" textlink="">
          <xdr:nvSpPr>
            <xdr:cNvPr id="46" name="Retângulo 9">
              <a:extLst>
                <a:ext uri="{FF2B5EF4-FFF2-40B4-BE49-F238E27FC236}">
                  <a16:creationId xmlns:a16="http://schemas.microsoft.com/office/drawing/2014/main" id="{00000000-0008-0000-1600-00002E000000}"/>
                </a:ext>
              </a:extLst>
            </xdr:cNvPr>
            <xdr:cNvSpPr/>
          </xdr:nvSpPr>
          <xdr:spPr>
            <a:xfrm>
              <a:off x="6831635" y="5628409"/>
              <a:ext cx="5835600" cy="394614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Taxa de ativação:</a:t>
              </a:r>
            </a:p>
            <a:p>
              <a:pPr algn="just"/>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r>
                          <m:rPr>
                            <m:sty m:val="p"/>
                          </m:rPr>
                          <a:rPr lang="pt-BR" sz="800" i="0">
                            <a:latin typeface="Cambria Math" panose="02040503050406030204" pitchFamily="18" charset="0"/>
                            <a:cs typeface="Sora" pitchFamily="2" charset="0"/>
                          </a:rPr>
                          <m:t>N</m:t>
                        </m:r>
                        <m:r>
                          <a:rPr lang="pt-BR" sz="800" i="0">
                            <a:latin typeface="Cambria Math" panose="02040503050406030204" pitchFamily="18" charset="0"/>
                            <a:cs typeface="Sora" pitchFamily="2" charset="0"/>
                          </a:rPr>
                          <m:t>ú</m:t>
                        </m:r>
                        <m:r>
                          <m:rPr>
                            <m:sty m:val="p"/>
                          </m:rPr>
                          <a:rPr lang="pt-BR" sz="800" b="0" i="0">
                            <a:latin typeface="Cambria Math" panose="02040503050406030204" pitchFamily="18" charset="0"/>
                            <a:cs typeface="Sora" pitchFamily="2" charset="0"/>
                          </a:rPr>
                          <m:t>mero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ativos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no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final</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num>
                      <m:den>
                        <m:r>
                          <m:rPr>
                            <m:sty m:val="p"/>
                          </m:rPr>
                          <a:rPr lang="pt-BR" sz="800" i="0">
                            <a:solidFill>
                              <a:schemeClr val="tx1"/>
                            </a:solidFill>
                            <a:latin typeface="Cambria Math" panose="02040503050406030204" pitchFamily="18" charset="0"/>
                            <a:cs typeface="Sora" pitchFamily="2" charset="0"/>
                          </a:rPr>
                          <m:t>N</m:t>
                        </m:r>
                        <m:r>
                          <a:rPr lang="pt-BR" sz="800" i="0">
                            <a:latin typeface="Cambria Math" panose="02040503050406030204" pitchFamily="18" charset="0"/>
                            <a:cs typeface="Sora" pitchFamily="2" charset="0"/>
                          </a:rPr>
                          <m:t>ú</m:t>
                        </m:r>
                        <m:r>
                          <m:rPr>
                            <m:sty m:val="p"/>
                          </m:rPr>
                          <a:rPr lang="pt-BR" sz="800" b="0" i="0">
                            <a:latin typeface="Cambria Math" panose="02040503050406030204" pitchFamily="18" charset="0"/>
                            <a:cs typeface="Sora" pitchFamily="2" charset="0"/>
                          </a:rPr>
                          <m:t>mero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total</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no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final</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den>
                    </m:f>
                  </m:oMath>
                </m:oMathPara>
              </a14:m>
              <a:endParaRPr kumimoji="0" lang="en-US" sz="800" b="1"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lang="en-US" sz="800" b="1">
                  <a:solidFill>
                    <a:prstClr val="black"/>
                  </a:solidFill>
                  <a:latin typeface="Calibri" panose="020F0502020204030204" pitchFamily="34" charset="0"/>
                  <a:cs typeface="Calibri" panose="020F0502020204030204" pitchFamily="34" charset="0"/>
                </a:rPr>
                <a:t>T</a:t>
              </a: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PV de Cartões + PIX:</a:t>
              </a:r>
            </a:p>
            <a:p>
              <a:pPr algn="just"/>
              <a:r>
                <a:rPr lang="en-US" sz="800">
                  <a:latin typeface="Calibri" panose="020F0502020204030204" pitchFamily="34" charset="0"/>
                  <a:ea typeface="Inter Light BETA" panose="020B0402030000000004" pitchFamily="34" charset="0"/>
                  <a:cs typeface="Calibri" panose="020F0502020204030204" pitchFamily="34" charset="0"/>
                </a:rPr>
                <a:t>Volumes de transações PIX, débito e crédito e saques de um determinado período. O PIX é uma solução do Banco Central do Brasil para realizar pagamentos instantâneos entre bancos e instituições financeiras no Brasil.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lumMod val="85000"/>
                    <a:lumOff val="15000"/>
                  </a:prstClr>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TPV de Cartões + PIX por cliente ativo:</a:t>
              </a:r>
            </a:p>
            <a:p>
              <a:pPr algn="just"/>
              <a:r>
                <a:rPr lang="en-US" sz="800">
                  <a:latin typeface="Calibri" panose="020F0502020204030204" pitchFamily="34" charset="0"/>
                  <a:ea typeface="Inter Light BETA" panose="020B0402030000000004" pitchFamily="34" charset="0"/>
                  <a:cs typeface="Calibri" panose="020F0502020204030204" pitchFamily="34" charset="0"/>
                </a:rPr>
                <a:t>TPV de Cartões+PIX de um determinado período dividido pelo número de clientes ativos referente ao último dia do período.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prstClr val="black"/>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Volume transacionado no marketplace (GMV):</a:t>
              </a:r>
            </a:p>
            <a:p>
              <a:pPr algn="just"/>
              <a:r>
                <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rPr>
                <a:t>O valor total de todas as vendas feitas ou iniciadas por meio de nossa plataforma Inter Shop &amp; Commerce Plus, gerenciada pela Inter Shop &amp; Commerce Plus.</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Choice>
      <mc:Fallback xmlns="">
        <xdr:sp macro="" textlink="">
          <xdr:nvSpPr>
            <xdr:cNvPr id="46" name="Retângulo 9">
              <a:extLst>
                <a:ext uri="{FF2B5EF4-FFF2-40B4-BE49-F238E27FC236}">
                  <a16:creationId xmlns:a16="http://schemas.microsoft.com/office/drawing/2014/main" id="{33500F7D-DE20-3699-A953-DA8ABAFC9F69}"/>
                </a:ext>
              </a:extLst>
            </xdr:cNvPr>
            <xdr:cNvSpPr/>
          </xdr:nvSpPr>
          <xdr:spPr>
            <a:xfrm>
              <a:off x="6831635" y="5628409"/>
              <a:ext cx="5835600" cy="394614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Taxa de ativação:</a:t>
              </a:r>
            </a:p>
            <a:p>
              <a:pPr algn="just"/>
              <a:r>
                <a:rPr lang="en-US" sz="800" i="0">
                  <a:solidFill>
                    <a:schemeClr val="tx1"/>
                  </a:solidFill>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Nú</a:t>
              </a:r>
              <a:r>
                <a:rPr lang="pt-BR" sz="800" b="0" i="0">
                  <a:latin typeface="Cambria Math" panose="02040503050406030204" pitchFamily="18" charset="0"/>
                  <a:cs typeface="Sora" pitchFamily="2" charset="0"/>
                </a:rPr>
                <a:t>mero de clientes ativos no final do trimestre</a:t>
              </a:r>
              <a:r>
                <a:rPr lang="en-US" sz="800" b="0" i="0">
                  <a:solidFill>
                    <a:schemeClr val="tx1"/>
                  </a:solidFill>
                  <a:latin typeface="Cambria Math" panose="02040503050406030204" pitchFamily="18" charset="0"/>
                  <a:cs typeface="Sora" pitchFamily="2" charset="0"/>
                </a:rPr>
                <a:t>)/(</a:t>
              </a:r>
              <a:r>
                <a:rPr lang="pt-BR" sz="800" i="0">
                  <a:solidFill>
                    <a:schemeClr val="tx1"/>
                  </a:solidFill>
                  <a:latin typeface="Cambria Math" panose="02040503050406030204" pitchFamily="18" charset="0"/>
                  <a:cs typeface="Sora" pitchFamily="2" charset="0"/>
                </a:rPr>
                <a:t>N</a:t>
              </a:r>
              <a:r>
                <a:rPr lang="pt-BR" sz="800" i="0">
                  <a:latin typeface="Cambria Math" panose="02040503050406030204" pitchFamily="18" charset="0"/>
                  <a:cs typeface="Sora" pitchFamily="2" charset="0"/>
                </a:rPr>
                <a:t>ú</a:t>
              </a:r>
              <a:r>
                <a:rPr lang="pt-BR" sz="800" b="0" i="0">
                  <a:latin typeface="Cambria Math" panose="02040503050406030204" pitchFamily="18" charset="0"/>
                  <a:cs typeface="Sora" pitchFamily="2" charset="0"/>
                </a:rPr>
                <a:t>mero total de clientes no final do trimestre</a:t>
              </a:r>
              <a:r>
                <a:rPr lang="en-US" sz="800" b="0" i="0">
                  <a:solidFill>
                    <a:schemeClr val="tx1"/>
                  </a:solidFill>
                  <a:latin typeface="Cambria Math" panose="02040503050406030204" pitchFamily="18" charset="0"/>
                  <a:cs typeface="Sora" pitchFamily="2" charset="0"/>
                </a:rPr>
                <a:t>)</a:t>
              </a:r>
              <a:endParaRPr kumimoji="0" lang="en-US" sz="800" b="1"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lang="en-US" sz="800" b="1">
                  <a:solidFill>
                    <a:prstClr val="black"/>
                  </a:solidFill>
                  <a:latin typeface="Calibri" panose="020F0502020204030204" pitchFamily="34" charset="0"/>
                  <a:cs typeface="Calibri" panose="020F0502020204030204" pitchFamily="34" charset="0"/>
                </a:rPr>
                <a:t>T</a:t>
              </a: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PV de Cartões + PIX:</a:t>
              </a:r>
            </a:p>
            <a:p>
              <a:pPr algn="just"/>
              <a:r>
                <a:rPr lang="en-US" sz="800">
                  <a:latin typeface="Calibri" panose="020F0502020204030204" pitchFamily="34" charset="0"/>
                  <a:ea typeface="Inter Light BETA" panose="020B0402030000000004" pitchFamily="34" charset="0"/>
                  <a:cs typeface="Calibri" panose="020F0502020204030204" pitchFamily="34" charset="0"/>
                </a:rPr>
                <a:t>Volumes de transações PIX, débito e crédito e saques de um determinado período. O PIX é uma solução do Banco Central do Brasil para realizar pagamentos instantâneos entre bancos e instituições financeiras no Brasil.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lumMod val="85000"/>
                    <a:lumOff val="15000"/>
                  </a:prstClr>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TPV de Cartões + PIX por cliente ativo:</a:t>
              </a:r>
            </a:p>
            <a:p>
              <a:pPr algn="just"/>
              <a:r>
                <a:rPr lang="en-US" sz="800">
                  <a:latin typeface="Calibri" panose="020F0502020204030204" pitchFamily="34" charset="0"/>
                  <a:ea typeface="Inter Light BETA" panose="020B0402030000000004" pitchFamily="34" charset="0"/>
                  <a:cs typeface="Calibri" panose="020F0502020204030204" pitchFamily="34" charset="0"/>
                </a:rPr>
                <a:t>TPV de Cartões+PIX de um determinado período dividido pelo número de clientes ativos referente ao último dia do período.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prstClr val="black"/>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Volume transacionado no marketplace (GMV):</a:t>
              </a:r>
            </a:p>
            <a:p>
              <a:pPr algn="just"/>
              <a:r>
                <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rPr>
                <a:t>O valor total de todas as vendas feitas ou iniciadas por meio de nossa plataforma Inter Shop &amp; Commerce Plus, gerenciada pela Inter Shop &amp; Commerce Plus.</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86591</xdr:colOff>
      <xdr:row>52</xdr:row>
      <xdr:rowOff>57727</xdr:rowOff>
    </xdr:from>
    <xdr:to>
      <xdr:col>15</xdr:col>
      <xdr:colOff>61618</xdr:colOff>
      <xdr:row>80</xdr:row>
      <xdr:rowOff>144512</xdr:rowOff>
    </xdr:to>
    <mc:AlternateContent xmlns:mc="http://schemas.openxmlformats.org/markup-compatibility/2006" xmlns:a14="http://schemas.microsoft.com/office/drawing/2010/main">
      <mc:Choice Requires="a14">
        <xdr:sp macro="" textlink="">
          <xdr:nvSpPr>
            <xdr:cNvPr id="47" name="Retângulo 9">
              <a:extLst>
                <a:ext uri="{FF2B5EF4-FFF2-40B4-BE49-F238E27FC236}">
                  <a16:creationId xmlns:a16="http://schemas.microsoft.com/office/drawing/2014/main" id="{00000000-0008-0000-1600-00002F000000}"/>
                </a:ext>
              </a:extLst>
            </xdr:cNvPr>
            <xdr:cNvSpPr/>
          </xdr:nvSpPr>
          <xdr:spPr>
            <a:xfrm>
              <a:off x="6712678" y="9628741"/>
              <a:ext cx="5772853" cy="5240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800" b="1">
                  <a:latin typeface="Calibri" panose="020F0502020204030204" pitchFamily="34" charset="0"/>
                  <a:cs typeface="Calibri" panose="020F0502020204030204" pitchFamily="34" charset="0"/>
                </a:rPr>
                <a:t>Antecipação de recebíveis de cartão de crédito:</a:t>
              </a:r>
            </a:p>
            <a:p>
              <a:pPr algn="just"/>
              <a:r>
                <a:rPr lang="pt-BR" sz="800">
                  <a:latin typeface="Calibri" panose="020F0502020204030204" pitchFamily="34" charset="0"/>
                  <a:ea typeface="Inter" panose="020B0502030000000004" pitchFamily="34" charset="0"/>
                  <a:cs typeface="Calibri" panose="020F0502020204030204" pitchFamily="34" charset="0"/>
                </a:rPr>
                <a:t>Divulgados na nota 9.a das Demonstrações Financeiras, na linha "Empréstimos e adiantamentos a instituições financeiras”.</a:t>
              </a: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bruto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eqArr>
                          <m:eqArrPr>
                            <m:ctrlPr>
                              <a:rPr lang="en-US" sz="800" i="1">
                                <a:latin typeface="Cambria Math" panose="02040503050406030204" pitchFamily="18" charset="0"/>
                                <a:cs typeface="Sora" pitchFamily="2" charset="0"/>
                              </a:rPr>
                            </m:ctrlPr>
                          </m:eqArrPr>
                          <m:e>
                            <m:r>
                              <m:rPr>
                                <m:sty m:val="p"/>
                              </m:rPr>
                              <a:rPr lang="en-US" sz="800">
                                <a:latin typeface="Cambria Math" panose="02040503050406030204" pitchFamily="18" charset="0"/>
                                <a:cs typeface="Sora" pitchFamily="2" charset="0"/>
                              </a:rPr>
                              <m:t>Receita</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juros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Receitas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servi</m:t>
                            </m:r>
                            <m:r>
                              <a:rPr lang="en-US" sz="800">
                                <a:latin typeface="Cambria Math" panose="02040503050406030204" pitchFamily="18" charset="0"/>
                                <a:cs typeface="Sora" pitchFamily="2" charset="0"/>
                              </a:rPr>
                              <m:t>ç</m:t>
                            </m:r>
                            <m:r>
                              <m:rPr>
                                <m:sty m:val="p"/>
                              </m:rPr>
                              <a:rPr lang="en-US" sz="800">
                                <a:latin typeface="Cambria Math" panose="02040503050406030204" pitchFamily="18" charset="0"/>
                                <a:cs typeface="Sora" pitchFamily="2" charset="0"/>
                              </a:rPr>
                              <m:t>os</m:t>
                            </m:r>
                            <m:r>
                              <a:rPr lang="pt-BR"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comiss</m:t>
                            </m:r>
                            <m:r>
                              <a:rPr lang="en-US" sz="800">
                                <a:latin typeface="Cambria Math" panose="02040503050406030204" pitchFamily="18" charset="0"/>
                                <a:cs typeface="Sora" pitchFamily="2" charset="0"/>
                              </a:rPr>
                              <m:t>õ</m:t>
                            </m:r>
                            <m:r>
                              <m:rPr>
                                <m:sty m:val="p"/>
                              </m:rPr>
                              <a:rPr lang="en-US" sz="800">
                                <a:latin typeface="Cambria Math" panose="02040503050406030204" pitchFamily="18" charset="0"/>
                                <a:cs typeface="Sora" pitchFamily="2" charset="0"/>
                              </a:rPr>
                              <m:t>es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Despesas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cashback</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InterRewards</m:t>
                            </m:r>
                            <m:r>
                              <m:rPr>
                                <m:nor/>
                              </m:rPr>
                              <a:rPr lang="pt-BR" sz="800">
                                <a:latin typeface="Calibri" panose="020F0502020204030204" pitchFamily="34" charset="0"/>
                                <a:cs typeface="Calibri" panose="020F0502020204030204" pitchFamily="34" charset="0"/>
                              </a:rPr>
                              <m:t>) </m:t>
                            </m:r>
                            <m:r>
                              <a:rPr lang="pt-BR" sz="800" i="1">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e>
                          <m:e>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cs typeface="Sora" pitchFamily="2" charset="0"/>
                              </a:rPr>
                              <m:t>+</m:t>
                            </m:r>
                            <m:r>
                              <m:rPr>
                                <m:sty m:val="p"/>
                              </m:rPr>
                              <a:rPr lang="en-US" sz="800">
                                <a:latin typeface="Cambria Math" panose="02040503050406030204" pitchFamily="18" charset="0"/>
                                <a:cs typeface="Sora" pitchFamily="2" charset="0"/>
                              </a:rPr>
                              <m:t>Outras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receitas</m:t>
                            </m:r>
                            <m:r>
                              <a:rPr lang="en-US" sz="800">
                                <a:latin typeface="Cambria Math" panose="02040503050406030204" pitchFamily="18" charset="0"/>
                                <a:cs typeface="Sora" pitchFamily="2" charset="0"/>
                              </a:rPr>
                              <m:t> ÷3</m:t>
                            </m:r>
                            <m:r>
                              <m:rPr>
                                <m:nor/>
                              </m:rPr>
                              <a:rPr lang="pt-BR" sz="800">
                                <a:latin typeface="Calibri" panose="020F0502020204030204" pitchFamily="34" charset="0"/>
                                <a:cs typeface="Calibri" panose="020F0502020204030204" pitchFamily="34" charset="0"/>
                              </a:rPr>
                              <m:t> </m:t>
                            </m:r>
                          </m:e>
                        </m:eqArr>
                      </m:num>
                      <m:den>
                        <m:r>
                          <m:rPr>
                            <m:sty m:val="p"/>
                          </m:rPr>
                          <a:rPr lang="pt-BR" sz="800" b="0" i="0">
                            <a:solidFill>
                              <a:schemeClr val="tx1"/>
                            </a:solidFill>
                            <a:latin typeface="Cambria Math" panose="02040503050406030204" pitchFamily="18" charset="0"/>
                            <a:cs typeface="Sora" pitchFamily="2" charset="0"/>
                          </a:rPr>
                          <m:t>M</m:t>
                        </m:r>
                        <m:r>
                          <a:rPr lang="pt-BR" sz="800" i="0">
                            <a:latin typeface="Cambria Math" panose="02040503050406030204" pitchFamily="18" charset="0"/>
                            <a:cs typeface="Sora" pitchFamily="2" charset="0"/>
                          </a:rPr>
                          <m:t>é</m:t>
                        </m:r>
                        <m:r>
                          <m:rPr>
                            <m:sty m:val="p"/>
                          </m:rPr>
                          <a:rPr lang="pt-BR" sz="800" b="0" i="0">
                            <a:latin typeface="Cambria Math" panose="02040503050406030204" pitchFamily="18" charset="0"/>
                            <a:cs typeface="Sora" pitchFamily="2" charset="0"/>
                          </a:rPr>
                          <m:t>dia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ativos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dos</m:t>
                        </m:r>
                        <m:r>
                          <a:rPr lang="pt-BR" sz="800" b="0" i="0">
                            <a:latin typeface="Cambria Math" panose="02040503050406030204" pitchFamily="18" charset="0"/>
                            <a:cs typeface="Sora" pitchFamily="2" charset="0"/>
                          </a:rPr>
                          <m:t> ú</m:t>
                        </m:r>
                        <m:r>
                          <m:rPr>
                            <m:sty m:val="p"/>
                          </m:rPr>
                          <a:rPr lang="pt-BR" sz="800" b="0" i="0">
                            <a:latin typeface="Cambria Math" panose="02040503050406030204" pitchFamily="18" charset="0"/>
                            <a:cs typeface="Sora" pitchFamily="2" charset="0"/>
                          </a:rPr>
                          <m:t>ltimos</m:t>
                        </m:r>
                        <m:r>
                          <a:rPr lang="pt-BR" sz="800" b="0" i="0">
                            <a:latin typeface="Cambria Math" panose="02040503050406030204" pitchFamily="18" charset="0"/>
                            <a:cs typeface="Sora" pitchFamily="2" charset="0"/>
                          </a:rPr>
                          <m:t> 2 </m:t>
                        </m:r>
                        <m:r>
                          <m:rPr>
                            <m:sty m:val="p"/>
                          </m:rPr>
                          <a:rPr lang="pt-BR" sz="800" b="0" i="0">
                            <a:latin typeface="Cambria Math" panose="02040503050406030204" pitchFamily="18" charset="0"/>
                            <a:cs typeface="Sora" pitchFamily="2" charset="0"/>
                          </a:rPr>
                          <m:t>trimestres</m:t>
                        </m:r>
                      </m:den>
                    </m:f>
                  </m:oMath>
                </m:oMathPara>
              </a14:m>
              <a:endParaRPr lang="en-US" sz="800" b="1">
                <a:solidFill>
                  <a:schemeClr val="tx1"/>
                </a:solidFill>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líquido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r>
                          <a:rPr lang="en-US" sz="800" i="0">
                            <a:latin typeface="Cambria Math" panose="02040503050406030204" pitchFamily="18" charset="0"/>
                            <a:cs typeface="Sora" pitchFamily="2" charset="0"/>
                          </a:rPr>
                          <m:t>(</m:t>
                        </m:r>
                        <m:r>
                          <m:rPr>
                            <m:sty m:val="p"/>
                          </m:rPr>
                          <a:rPr lang="en-US" sz="800">
                            <a:latin typeface="Cambria Math" panose="02040503050406030204" pitchFamily="18" charset="0"/>
                            <a:cs typeface="Sora" pitchFamily="2" charset="0"/>
                          </a:rPr>
                          <m:t>Receita</m:t>
                        </m:r>
                        <m:r>
                          <m:rPr>
                            <m:sty m:val="p"/>
                          </m:rPr>
                          <a:rPr lang="pt-BR" sz="800" b="0" i="0">
                            <a:latin typeface="Cambria Math" panose="02040503050406030204" pitchFamily="18" charset="0"/>
                            <a:cs typeface="Sora" pitchFamily="2" charset="0"/>
                          </a:rPr>
                          <m:t>s</m:t>
                        </m:r>
                        <m:r>
                          <a:rPr lang="pt-BR" sz="800" b="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despesas</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de</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juros</m:t>
                        </m:r>
                        <m:r>
                          <a:rPr lang="en-US" sz="800" i="0">
                            <a:latin typeface="Cambria Math" panose="02040503050406030204" pitchFamily="18" charset="0"/>
                            <a:cs typeface="Sora" pitchFamily="2" charset="0"/>
                          </a:rPr>
                          <m:t>)÷3</m:t>
                        </m:r>
                      </m:num>
                      <m:den>
                        <m:r>
                          <m:rPr>
                            <m:sty m:val="p"/>
                          </m:rPr>
                          <a:rPr lang="pt-BR" sz="800" i="0">
                            <a:latin typeface="Cambria Math" panose="02040503050406030204" pitchFamily="18" charset="0"/>
                            <a:cs typeface="Sora" pitchFamily="2" charset="0"/>
                          </a:rPr>
                          <m:t>M</m:t>
                        </m:r>
                        <m:r>
                          <a:rPr lang="pt-BR" sz="800" i="0">
                            <a:latin typeface="Cambria Math" panose="02040503050406030204" pitchFamily="18" charset="0"/>
                            <a:cs typeface="Sora" pitchFamily="2" charset="0"/>
                          </a:rPr>
                          <m:t>é</m:t>
                        </m:r>
                        <m:r>
                          <m:rPr>
                            <m:sty m:val="p"/>
                          </m:rPr>
                          <a:rPr lang="pt-BR" sz="800" i="0">
                            <a:latin typeface="Cambria Math" panose="02040503050406030204" pitchFamily="18" charset="0"/>
                            <a:cs typeface="Sora" pitchFamily="2" charset="0"/>
                          </a:rPr>
                          <m:t>dia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clientes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ativos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dos</m:t>
                        </m:r>
                        <m:r>
                          <a:rPr lang="pt-BR" sz="800" i="0">
                            <a:latin typeface="Cambria Math" panose="02040503050406030204" pitchFamily="18" charset="0"/>
                            <a:cs typeface="Sora" pitchFamily="2" charset="0"/>
                          </a:rPr>
                          <m:t> ú</m:t>
                        </m:r>
                        <m:r>
                          <m:rPr>
                            <m:sty m:val="p"/>
                          </m:rPr>
                          <a:rPr lang="pt-BR" sz="800" i="0">
                            <a:latin typeface="Cambria Math" panose="02040503050406030204" pitchFamily="18" charset="0"/>
                            <a:cs typeface="Sora" pitchFamily="2" charset="0"/>
                          </a:rPr>
                          <m:t>ltimos</m:t>
                        </m:r>
                        <m:r>
                          <a:rPr lang="pt-BR" sz="800" i="0">
                            <a:latin typeface="Cambria Math" panose="02040503050406030204" pitchFamily="18" charset="0"/>
                            <a:cs typeface="Sora" pitchFamily="2" charset="0"/>
                          </a:rPr>
                          <m:t> 2 </m:t>
                        </m:r>
                        <m:r>
                          <m:rPr>
                            <m:sty m:val="p"/>
                          </m:rPr>
                          <a:rPr lang="pt-BR" sz="800" i="0">
                            <a:latin typeface="Cambria Math" panose="02040503050406030204" pitchFamily="18" charset="0"/>
                            <a:cs typeface="Sora" pitchFamily="2" charset="0"/>
                          </a:rPr>
                          <m:t>trimestres</m:t>
                        </m:r>
                      </m:den>
                    </m:f>
                  </m:oMath>
                </m:oMathPara>
              </a14:m>
              <a:endParaRPr lang="en-US" sz="800" b="1">
                <a:solidFill>
                  <a:schemeClr val="tx1"/>
                </a:solidFill>
                <a:latin typeface="Calibri" panose="020F0502020204030204" pitchFamily="34" charset="0"/>
                <a:cs typeface="Calibri" panose="020F0502020204030204" pitchFamily="34" charset="0"/>
              </a:endParaRPr>
            </a:p>
            <a:p>
              <a:pPr algn="ctr"/>
              <a:endParaRPr lang="en-US" sz="800">
                <a:solidFill>
                  <a:schemeClr val="tx1"/>
                </a:solidFill>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ARPAC líquido por safras trimestrais:</a:t>
              </a:r>
            </a:p>
            <a:p>
              <a:r>
                <a:rPr lang="en-US" sz="800">
                  <a:latin typeface="Calibri" panose="020F0502020204030204" pitchFamily="34" charset="0"/>
                  <a:ea typeface="Inter Light BETA" panose="020B0402030000000004" pitchFamily="34" charset="0"/>
                  <a:cs typeface="Calibri" panose="020F0502020204030204" pitchFamily="34" charset="0"/>
                </a:rPr>
                <a:t>Receita bruta total líquida de despesas de juros em uma determinada safra dividida pela media do número de clientes ativos no período atual e no anterior (1). Safra é definida como o período em que o cliente começou a relação com o Inter. </a:t>
              </a:r>
              <a:br>
                <a:rPr lang="en-US" sz="800">
                  <a:latin typeface="Calibri" panose="020F0502020204030204" pitchFamily="34" charset="0"/>
                  <a:ea typeface="Inter Light BETA" panose="020B0402030000000004" pitchFamily="34" charset="0"/>
                  <a:cs typeface="Calibri" panose="020F0502020204030204" pitchFamily="34" charset="0"/>
                </a:rPr>
              </a:br>
              <a:endParaRPr lang="en-US" sz="800">
                <a:latin typeface="Calibri" panose="020F0502020204030204" pitchFamily="34" charset="0"/>
                <a:ea typeface="Inter" panose="020B0502030000000004" pitchFamily="34" charset="0"/>
                <a:cs typeface="Calibri" panose="020F0502020204030204" pitchFamily="34" charset="0"/>
              </a:endParaRPr>
            </a:p>
            <a:p>
              <a:r>
                <a:rPr lang="en-US" sz="800" baseline="30000">
                  <a:latin typeface="Calibri" panose="020F0502020204030204" pitchFamily="34" charset="0"/>
                  <a:ea typeface="Inter" panose="020B0502030000000004" pitchFamily="34" charset="0"/>
                  <a:cs typeface="Calibri" panose="020F0502020204030204" pitchFamily="34" charset="0"/>
                </a:rPr>
                <a:t>1 – Média do número de clientes ativos no período atual e no anterior. Para o primeiro período, é utilizado o número total de clientes ativos no final do período. </a:t>
              </a:r>
            </a:p>
            <a:p>
              <a:endParaRPr lang="en-US" sz="800" baseline="300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Assets under custody (AuC):</a:t>
              </a:r>
            </a:p>
            <a:p>
              <a:pPr algn="just"/>
              <a:r>
                <a:rPr lang="en-US" sz="800">
                  <a:latin typeface="Calibri" panose="020F0502020204030204" pitchFamily="34" charset="0"/>
                  <a:ea typeface="Inter" panose="020B0502030000000004" pitchFamily="34" charset="0"/>
                  <a:cs typeface="Calibri" panose="020F0502020204030204" pitchFamily="34" charset="0"/>
                </a:rPr>
                <a:t>Calculamos o AUC em uma determinada data como o valor de mercado de todos os ativos de clientes de varejo investidos por meio de nossa plataforma de investimentos na mesma data. Acreditamos que o AUC, por refletir o volume total de ativos investidos em nossa plataforma de investimentos sem levar em conta nossa eficiência operacional, nos fornece informações úteis sobre a atratividade de nossa plataforma. Usamos essa métrica para monitorar o tamanho de nossa plataforma de investimentos.</a:t>
              </a:r>
            </a:p>
            <a:p>
              <a:pPr algn="just"/>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de crédito bruta:</a:t>
              </a:r>
            </a:p>
            <a:p>
              <a:pPr algn="ct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
                  </m:oMathParaPr>
                  <m:oMath xmlns:m="http://schemas.openxmlformats.org/officeDocument/2006/math">
                    <m:r>
                      <m:rPr>
                        <m:sty m:val="p"/>
                      </m:rPr>
                      <a:rPr lang="en-US" sz="800" b="0" i="0">
                        <a:latin typeface="Cambria Math" panose="02040503050406030204" pitchFamily="18" charset="0"/>
                        <a:cs typeface="Sora" pitchFamily="2" charset="0"/>
                      </a:rPr>
                      <m:t>Empr</m:t>
                    </m:r>
                    <m:r>
                      <a:rPr lang="en-US" sz="800" b="0" i="0">
                        <a:latin typeface="Cambria Math" panose="02040503050406030204" pitchFamily="18" charset="0"/>
                        <a:cs typeface="Sora" pitchFamily="2" charset="0"/>
                      </a:rPr>
                      <m:t>é</m:t>
                    </m:r>
                    <m:r>
                      <m:rPr>
                        <m:sty m:val="p"/>
                      </m:rPr>
                      <a:rPr lang="en-US" sz="800" b="0" i="0">
                        <a:latin typeface="Cambria Math" panose="02040503050406030204" pitchFamily="18" charset="0"/>
                        <a:cs typeface="Sora" pitchFamily="2" charset="0"/>
                      </a:rPr>
                      <m:t>stimos</m:t>
                    </m:r>
                    <m:r>
                      <a:rPr lang="en-US" sz="800" b="0" i="0">
                        <a:latin typeface="Cambria Math" panose="02040503050406030204" pitchFamily="18" charset="0"/>
                        <a:cs typeface="Sora" pitchFamily="2" charset="0"/>
                      </a:rPr>
                      <m:t> </m:t>
                    </m:r>
                    <m:r>
                      <m:rPr>
                        <m:sty m:val="p"/>
                      </m:rPr>
                      <a:rPr lang="en-US" sz="800" b="0" i="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adiantamentos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m:t>
                    </m:r>
                    <m:r>
                      <m:rPr>
                        <m:sty m:val="p"/>
                      </m:rPr>
                      <a:rPr lang="pt-BR" sz="800" b="0" i="0">
                        <a:latin typeface="Cambria Math" panose="02040503050406030204" pitchFamily="18" charset="0"/>
                        <a:cs typeface="Sora" pitchFamily="2" charset="0"/>
                      </a:rPr>
                      <m:t>Empr</m:t>
                    </m:r>
                    <m:r>
                      <a:rPr lang="pt-BR" sz="800" b="0" i="0">
                        <a:latin typeface="Cambria Math" panose="02040503050406030204" pitchFamily="18" charset="0"/>
                        <a:cs typeface="Sora" pitchFamily="2" charset="0"/>
                      </a:rPr>
                      <m:t>é</m:t>
                    </m:r>
                    <m:r>
                      <m:rPr>
                        <m:sty m:val="p"/>
                      </m:rPr>
                      <a:rPr lang="pt-BR" sz="800" b="0" i="0">
                        <a:latin typeface="Cambria Math" panose="02040503050406030204" pitchFamily="18" charset="0"/>
                        <a:cs typeface="Sora" pitchFamily="2" charset="0"/>
                      </a:rPr>
                      <m:t>stimos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institui</m:t>
                    </m:r>
                    <m:r>
                      <a:rPr lang="pt-BR" sz="800" b="0" i="0">
                        <a:latin typeface="Cambria Math" panose="02040503050406030204" pitchFamily="18" charset="0"/>
                        <a:cs typeface="Sora" pitchFamily="2" charset="0"/>
                      </a:rPr>
                      <m:t>çõ</m:t>
                    </m:r>
                    <m:r>
                      <m:rPr>
                        <m:sty m:val="p"/>
                      </m:rPr>
                      <a:rPr lang="pt-BR" sz="800" b="0" i="0">
                        <a:latin typeface="Cambria Math" panose="02040503050406030204" pitchFamily="18" charset="0"/>
                        <a:cs typeface="Sora" pitchFamily="2" charset="0"/>
                      </a:rPr>
                      <m: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financeiras</m:t>
                    </m:r>
                  </m:oMath>
                </m:oMathPara>
              </a14:m>
              <a:endParaRPr lang="pt-BR" sz="800">
                <a:latin typeface="Calibri" panose="020F0502020204030204" pitchFamily="34" charset="0"/>
                <a:cs typeface="Calibri" panose="020F0502020204030204" pitchFamily="34" charset="0"/>
              </a:endParaRPr>
            </a:p>
            <a:p>
              <a:pPr algn="ctr"/>
              <a:endParaRPr lang="pt-BR"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remunerada:</a:t>
              </a:r>
            </a:p>
            <a:p>
              <a:pPr algn="ct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r>
                      <m:rPr>
                        <m:sty m:val="p"/>
                      </m:rPr>
                      <a:rPr lang="en-US" sz="800" i="1">
                        <a:latin typeface="Cambria Math" panose="02040503050406030204" pitchFamily="18" charset="0"/>
                        <a:cs typeface="Sora" pitchFamily="2" charset="0"/>
                      </a:rPr>
                      <m:t>Empr</m:t>
                    </m:r>
                    <m:r>
                      <a:rPr lang="en-US" sz="800" i="1">
                        <a:latin typeface="Cambria Math" panose="02040503050406030204" pitchFamily="18" charset="0"/>
                        <a:cs typeface="Sora" pitchFamily="2" charset="0"/>
                      </a:rPr>
                      <m:t>é</m:t>
                    </m:r>
                    <m:r>
                      <m:rPr>
                        <m:sty m:val="p"/>
                      </m:rPr>
                      <a:rPr lang="en-US" sz="800" i="1">
                        <a:latin typeface="Cambria Math" panose="02040503050406030204" pitchFamily="18" charset="0"/>
                        <a:cs typeface="Sora" pitchFamily="2" charset="0"/>
                      </a:rPr>
                      <m:t>stimos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adiantamentos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institui</m:t>
                    </m:r>
                    <m:r>
                      <a:rPr lang="en-US" sz="800" i="1">
                        <a:latin typeface="Cambria Math" panose="02040503050406030204" pitchFamily="18" charset="0"/>
                        <a:cs typeface="Sora" pitchFamily="2" charset="0"/>
                      </a:rPr>
                      <m:t>çõ</m:t>
                    </m:r>
                    <m:r>
                      <m:rPr>
                        <m:sty m:val="p"/>
                      </m:rPr>
                      <a:rPr lang="en-US" sz="800" i="1">
                        <a:latin typeface="Cambria Math" panose="02040503050406030204" pitchFamily="18" charset="0"/>
                        <a:cs typeface="Sora" pitchFamily="2" charset="0"/>
                      </a:rPr>
                      <m:t>es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financeiras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T</m:t>
                    </m:r>
                    <m:r>
                      <a:rPr lang="en-US" sz="800" i="1">
                        <a:latin typeface="Cambria Math" panose="02040503050406030204" pitchFamily="18" charset="0"/>
                        <a:cs typeface="Sora" pitchFamily="2" charset="0"/>
                      </a:rPr>
                      <m:t>í</m:t>
                    </m:r>
                    <m:r>
                      <m:rPr>
                        <m:sty m:val="p"/>
                      </m:rPr>
                      <a:rPr lang="en-US" sz="800" i="1">
                        <a:latin typeface="Cambria Math" panose="02040503050406030204" pitchFamily="18" charset="0"/>
                        <a:cs typeface="Sora" pitchFamily="2" charset="0"/>
                      </a:rPr>
                      <m:t>tulos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valores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mobili</m:t>
                    </m:r>
                    <m:r>
                      <a:rPr lang="en-US" sz="800" i="1">
                        <a:latin typeface="Cambria Math" panose="02040503050406030204" pitchFamily="18" charset="0"/>
                        <a:cs typeface="Sora" pitchFamily="2" charset="0"/>
                      </a:rPr>
                      <m:t>á</m:t>
                    </m:r>
                    <m:r>
                      <m:rPr>
                        <m:sty m:val="p"/>
                      </m:rPr>
                      <a:rPr lang="en-US" sz="800" i="1">
                        <a:latin typeface="Cambria Math" panose="02040503050406030204" pitchFamily="18" charset="0"/>
                        <a:cs typeface="Sora" pitchFamily="2" charset="0"/>
                      </a:rPr>
                      <m:t>rios</m:t>
                    </m:r>
                    <m:r>
                      <a:rPr lang="en-US" sz="800" i="1">
                        <a:latin typeface="Cambria Math" panose="02040503050406030204" pitchFamily="18" charset="0"/>
                        <a:cs typeface="Sora" pitchFamily="2" charset="0"/>
                      </a:rPr>
                      <m:t>+</m:t>
                    </m:r>
                    <m:r>
                      <m:rPr>
                        <m:sty m:val="p"/>
                      </m:rPr>
                      <a:rPr lang="en-US" sz="800" i="1">
                        <a:latin typeface="Cambria Math" panose="02040503050406030204" pitchFamily="18" charset="0"/>
                        <a:cs typeface="Sora" pitchFamily="2" charset="0"/>
                      </a:rPr>
                      <m:t>Empr</m:t>
                    </m:r>
                    <m:r>
                      <a:rPr lang="en-US" sz="800" i="1">
                        <a:latin typeface="Cambria Math" panose="02040503050406030204" pitchFamily="18" charset="0"/>
                        <a:cs typeface="Sora" pitchFamily="2" charset="0"/>
                      </a:rPr>
                      <m:t>é</m:t>
                    </m:r>
                    <m:r>
                      <m:rPr>
                        <m:sty m:val="p"/>
                      </m:rPr>
                      <a:rPr lang="en-US" sz="800" i="1">
                        <a:latin typeface="Cambria Math" panose="02040503050406030204" pitchFamily="18" charset="0"/>
                        <a:cs typeface="Sora" pitchFamily="2" charset="0"/>
                      </a:rPr>
                      <m:t>stimos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adiantamentos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clientes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l</m:t>
                    </m:r>
                    <m:r>
                      <a:rPr lang="en-US" sz="800" i="1">
                        <a:latin typeface="Cambria Math" panose="02040503050406030204" pitchFamily="18" charset="0"/>
                        <a:cs typeface="Sora" pitchFamily="2" charset="0"/>
                      </a:rPr>
                      <m:t>í</m:t>
                    </m:r>
                    <m:r>
                      <m:rPr>
                        <m:sty m:val="p"/>
                      </m:rPr>
                      <a:rPr lang="en-US" sz="800" i="1">
                        <a:latin typeface="Cambria Math" panose="02040503050406030204" pitchFamily="18" charset="0"/>
                        <a:cs typeface="Sora" pitchFamily="2" charset="0"/>
                      </a:rPr>
                      <m:t>quidos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de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provis</m:t>
                    </m:r>
                    <m:r>
                      <a:rPr lang="en-US" sz="800" i="1">
                        <a:latin typeface="Cambria Math" panose="02040503050406030204" pitchFamily="18" charset="0"/>
                        <a:cs typeface="Sora" pitchFamily="2" charset="0"/>
                      </a:rPr>
                      <m:t>ã</m:t>
                    </m:r>
                    <m:r>
                      <m:rPr>
                        <m:sty m:val="p"/>
                      </m:rPr>
                      <a:rPr lang="en-US" sz="800" i="1">
                        <a:latin typeface="Cambria Math" panose="02040503050406030204" pitchFamily="18" charset="0"/>
                        <a:cs typeface="Sora" pitchFamily="2" charset="0"/>
                      </a:rPr>
                      <m:t>o</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para</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perdas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esperadas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Instrumentos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financeiros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derivativos</m:t>
                    </m:r>
                  </m:oMath>
                </m:oMathPara>
              </a14:m>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500">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47" name="Retângulo 9">
              <a:extLst>
                <a:ext uri="{FF2B5EF4-FFF2-40B4-BE49-F238E27FC236}">
                  <a16:creationId xmlns:a16="http://schemas.microsoft.com/office/drawing/2014/main" id="{7B6548DB-49D2-8B13-2D86-C9DAEC78AA0E}"/>
                </a:ext>
              </a:extLst>
            </xdr:cNvPr>
            <xdr:cNvSpPr/>
          </xdr:nvSpPr>
          <xdr:spPr>
            <a:xfrm>
              <a:off x="6712678" y="9628741"/>
              <a:ext cx="5772853" cy="5240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800" b="1">
                  <a:latin typeface="Calibri" panose="020F0502020204030204" pitchFamily="34" charset="0"/>
                  <a:cs typeface="Calibri" panose="020F0502020204030204" pitchFamily="34" charset="0"/>
                </a:rPr>
                <a:t>Antecipação de recebíveis de cartão de crédito:</a:t>
              </a:r>
            </a:p>
            <a:p>
              <a:pPr algn="just"/>
              <a:r>
                <a:rPr lang="pt-BR" sz="800">
                  <a:latin typeface="Calibri" panose="020F0502020204030204" pitchFamily="34" charset="0"/>
                  <a:ea typeface="Inter" panose="020B0502030000000004" pitchFamily="34" charset="0"/>
                  <a:cs typeface="Calibri" panose="020F0502020204030204" pitchFamily="34" charset="0"/>
                </a:rPr>
                <a:t>Divulgados na nota 9.a das Demonstrações Financeiras, na linha "Empréstimos e adiantamentos a instituições financeiras”.</a:t>
              </a: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bruto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r>
                <a:rPr lang="en-US" sz="800" i="0">
                  <a:latin typeface="Cambria Math" panose="02040503050406030204" pitchFamily="18" charset="0"/>
                  <a:cs typeface="Sora" pitchFamily="2" charset="0"/>
                </a:rPr>
                <a:t>█(Receita de juros +(Receitas de serviços</a:t>
              </a:r>
              <a:r>
                <a:rPr lang="pt-BR" sz="80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e comissões− Despesas de cashback</a:t>
              </a:r>
              <a:r>
                <a:rPr lang="pt-BR" sz="800" i="0">
                  <a:latin typeface="Cambria Math" panose="02040503050406030204" pitchFamily="18" charset="0"/>
                  <a:cs typeface="Sora" pitchFamily="2" charset="0"/>
                </a:rPr>
                <a:t> −InterRewards"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pt-BR" sz="80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 mobiliários</a:t>
              </a:r>
              <a:r>
                <a:rPr lang="pt-BR" sz="800" i="0">
                  <a:latin typeface="Cambria Math" panose="02040503050406030204" pitchFamily="18" charset="0"/>
                  <a:cs typeface="Sora" pitchFamily="2" charset="0"/>
                </a:rPr>
                <a:t> e derivativos+</a:t>
              </a:r>
              <a:r>
                <a:rPr lang="en-US" sz="800" i="0">
                  <a:latin typeface="Cambria Math" panose="02040503050406030204" pitchFamily="18" charset="0"/>
                  <a:cs typeface="Sora" pitchFamily="2" charset="0"/>
                </a:rPr>
                <a:t>Outras receitas ÷3</a:t>
              </a:r>
              <a:r>
                <a:rPr lang="pt-BR" sz="800" i="0">
                  <a:latin typeface="Cambria Math" panose="02040503050406030204" pitchFamily="18" charset="0"/>
                  <a:cs typeface="Sora" pitchFamily="2" charset="0"/>
                </a:rPr>
                <a:t>"</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en-US" sz="800" i="0">
                  <a:solidFill>
                    <a:schemeClr val="tx1"/>
                  </a:solidFill>
                  <a:latin typeface="Cambria Math" panose="02040503050406030204" pitchFamily="18" charset="0"/>
                  <a:cs typeface="Calibri" panose="020F0502020204030204" pitchFamily="34" charset="0"/>
                </a:rPr>
                <a:t>/(</a:t>
              </a:r>
              <a:r>
                <a:rPr lang="pt-BR" sz="800" b="0" i="0">
                  <a:solidFill>
                    <a:schemeClr val="tx1"/>
                  </a:solidFill>
                  <a:latin typeface="Cambria Math" panose="02040503050406030204" pitchFamily="18" charset="0"/>
                  <a:cs typeface="Sora" pitchFamily="2" charset="0"/>
                </a:rPr>
                <a:t>M</a:t>
              </a:r>
              <a:r>
                <a:rPr lang="pt-BR" sz="800" i="0">
                  <a:latin typeface="Cambria Math" panose="02040503050406030204" pitchFamily="18" charset="0"/>
                  <a:cs typeface="Sora" pitchFamily="2" charset="0"/>
                </a:rPr>
                <a:t>é</a:t>
              </a:r>
              <a:r>
                <a:rPr lang="pt-BR" sz="800" b="0" i="0">
                  <a:latin typeface="Cambria Math" panose="02040503050406030204" pitchFamily="18" charset="0"/>
                  <a:cs typeface="Sora" pitchFamily="2" charset="0"/>
                </a:rPr>
                <a:t>dia de clientes ativos dos últimos 2 trimestres</a:t>
              </a:r>
              <a:r>
                <a:rPr lang="en-US" sz="800" b="0" i="0">
                  <a:solidFill>
                    <a:schemeClr val="tx1"/>
                  </a:solidFill>
                  <a:latin typeface="Cambria Math" panose="02040503050406030204" pitchFamily="18" charset="0"/>
                  <a:cs typeface="Sora" pitchFamily="2" charset="0"/>
                </a:rPr>
                <a:t>)</a:t>
              </a:r>
              <a:endParaRPr lang="en-US" sz="800" b="1">
                <a:solidFill>
                  <a:schemeClr val="tx1"/>
                </a:solidFill>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líquido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r>
                <a:rPr lang="en-US" sz="800" i="0">
                  <a:solidFill>
                    <a:schemeClr val="tx1"/>
                  </a:solidFill>
                  <a:latin typeface="Cambria Math" panose="02040503050406030204" pitchFamily="18" charset="0"/>
                  <a:cs typeface="Sora" pitchFamily="2" charset="0"/>
                </a:rPr>
                <a:t>(</a:t>
              </a:r>
              <a:r>
                <a:rPr lang="en-US" sz="800" i="0">
                  <a:latin typeface="Cambria Math" panose="02040503050406030204" pitchFamily="18" charset="0"/>
                  <a:cs typeface="Sora" pitchFamily="2" charset="0"/>
                </a:rPr>
                <a:t>(Receita</a:t>
              </a:r>
              <a:r>
                <a:rPr lang="pt-BR" sz="800" b="0" i="0">
                  <a:latin typeface="Cambria Math" panose="02040503050406030204" pitchFamily="18" charset="0"/>
                  <a:cs typeface="Sora" pitchFamily="2" charset="0"/>
                </a:rPr>
                <a:t>s −</a:t>
              </a:r>
              <a:r>
                <a:rPr lang="en-US" sz="800" i="0">
                  <a:latin typeface="Cambria Math" panose="02040503050406030204" pitchFamily="18" charset="0"/>
                  <a:cs typeface="Sora" pitchFamily="2" charset="0"/>
                </a:rPr>
                <a:t>despesas de juros)÷3</a:t>
              </a:r>
              <a:r>
                <a:rPr lang="en-US" sz="800" i="0">
                  <a:solidFill>
                    <a:schemeClr val="tx1"/>
                  </a:solidFill>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clientes ativos dos últimos 2 trimestres</a:t>
              </a:r>
              <a:r>
                <a:rPr lang="en-US" sz="800" i="0">
                  <a:solidFill>
                    <a:schemeClr val="tx1"/>
                  </a:solidFill>
                  <a:latin typeface="Cambria Math" panose="02040503050406030204" pitchFamily="18" charset="0"/>
                  <a:cs typeface="Sora" pitchFamily="2" charset="0"/>
                </a:rPr>
                <a:t>)</a:t>
              </a:r>
              <a:endParaRPr lang="en-US" sz="800" b="1">
                <a:solidFill>
                  <a:schemeClr val="tx1"/>
                </a:solidFill>
                <a:latin typeface="Calibri" panose="020F0502020204030204" pitchFamily="34" charset="0"/>
                <a:cs typeface="Calibri" panose="020F0502020204030204" pitchFamily="34" charset="0"/>
              </a:endParaRPr>
            </a:p>
            <a:p>
              <a:pPr algn="ctr"/>
              <a:endParaRPr lang="en-US" sz="800">
                <a:solidFill>
                  <a:schemeClr val="tx1"/>
                </a:solidFill>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ARPAC líquido por safras trimestrais:</a:t>
              </a:r>
            </a:p>
            <a:p>
              <a:r>
                <a:rPr lang="en-US" sz="800">
                  <a:latin typeface="Calibri" panose="020F0502020204030204" pitchFamily="34" charset="0"/>
                  <a:ea typeface="Inter Light BETA" panose="020B0402030000000004" pitchFamily="34" charset="0"/>
                  <a:cs typeface="Calibri" panose="020F0502020204030204" pitchFamily="34" charset="0"/>
                </a:rPr>
                <a:t>Receita bruta total líquida de despesas de juros em uma determinada safra dividida pela media do número de clientes ativos no período atual e no anterior (1). Safra é definida como o período em que o cliente começou a relação com o Inter. </a:t>
              </a:r>
              <a:br>
                <a:rPr lang="en-US" sz="800">
                  <a:latin typeface="Calibri" panose="020F0502020204030204" pitchFamily="34" charset="0"/>
                  <a:ea typeface="Inter Light BETA" panose="020B0402030000000004" pitchFamily="34" charset="0"/>
                  <a:cs typeface="Calibri" panose="020F0502020204030204" pitchFamily="34" charset="0"/>
                </a:rPr>
              </a:br>
              <a:endParaRPr lang="en-US" sz="800">
                <a:latin typeface="Calibri" panose="020F0502020204030204" pitchFamily="34" charset="0"/>
                <a:ea typeface="Inter" panose="020B0502030000000004" pitchFamily="34" charset="0"/>
                <a:cs typeface="Calibri" panose="020F0502020204030204" pitchFamily="34" charset="0"/>
              </a:endParaRPr>
            </a:p>
            <a:p>
              <a:r>
                <a:rPr lang="en-US" sz="800" baseline="30000">
                  <a:latin typeface="Calibri" panose="020F0502020204030204" pitchFamily="34" charset="0"/>
                  <a:ea typeface="Inter" panose="020B0502030000000004" pitchFamily="34" charset="0"/>
                  <a:cs typeface="Calibri" panose="020F0502020204030204" pitchFamily="34" charset="0"/>
                </a:rPr>
                <a:t>1 – Média do número de clientes ativos no período atual e no anterior. Para o primeiro período, é utilizado o número total de clientes ativos no final do período. </a:t>
              </a:r>
            </a:p>
            <a:p>
              <a:endParaRPr lang="en-US" sz="800" baseline="300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Assets under custody (AuC):</a:t>
              </a:r>
            </a:p>
            <a:p>
              <a:pPr algn="just"/>
              <a:r>
                <a:rPr lang="en-US" sz="800">
                  <a:latin typeface="Calibri" panose="020F0502020204030204" pitchFamily="34" charset="0"/>
                  <a:ea typeface="Inter" panose="020B0502030000000004" pitchFamily="34" charset="0"/>
                  <a:cs typeface="Calibri" panose="020F0502020204030204" pitchFamily="34" charset="0"/>
                </a:rPr>
                <a:t>Calculamos o AUC em uma determinada data como o valor de mercado de todos os ativos de clientes de varejo investidos por meio de nossa plataforma de investimentos na mesma data. Acreditamos que o AUC, por refletir o volume total de ativos investidos em nossa plataforma de investimentos sem levar em conta nossa eficiência operacional, nos fornece informações úteis sobre a atratividade de nossa plataforma. Usamos essa métrica para monitorar o tamanho de nossa plataforma de investimentos.</a:t>
              </a:r>
            </a:p>
            <a:p>
              <a:pPr algn="just"/>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de crédito bruta:</a:t>
              </a:r>
            </a:p>
            <a:p>
              <a:pPr algn="ctr"/>
              <a:endParaRPr lang="en-US" sz="800" b="1">
                <a:latin typeface="Calibri" panose="020F0502020204030204" pitchFamily="34" charset="0"/>
                <a:cs typeface="Calibri" panose="020F0502020204030204" pitchFamily="34" charset="0"/>
              </a:endParaRPr>
            </a:p>
            <a:p>
              <a:pPr algn="ctr"/>
              <a:r>
                <a:rPr lang="en-US" sz="800" b="0" i="0">
                  <a:latin typeface="Cambria Math" panose="02040503050406030204" pitchFamily="18" charset="0"/>
                  <a:cs typeface="Sora" pitchFamily="2" charset="0"/>
                </a:rPr>
                <a:t>Empréstimos e</a:t>
              </a:r>
              <a:r>
                <a:rPr lang="pt-BR" sz="800" b="0" i="0">
                  <a:latin typeface="Cambria Math" panose="02040503050406030204" pitchFamily="18" charset="0"/>
                  <a:cs typeface="Sora" pitchFamily="2" charset="0"/>
                </a:rPr>
                <a:t> adiantamentos a clientes+Empréstimos a instituições financeiras</a:t>
              </a:r>
              <a:endParaRPr lang="pt-BR" sz="800">
                <a:latin typeface="Calibri" panose="020F0502020204030204" pitchFamily="34" charset="0"/>
                <a:cs typeface="Calibri" panose="020F0502020204030204" pitchFamily="34" charset="0"/>
              </a:endParaRPr>
            </a:p>
            <a:p>
              <a:pPr algn="ctr"/>
              <a:endParaRPr lang="pt-BR"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remunerada:</a:t>
              </a:r>
            </a:p>
            <a:p>
              <a:pPr algn="ctr"/>
              <a:endParaRPr lang="en-US" sz="800" b="1">
                <a:latin typeface="Calibri" panose="020F0502020204030204" pitchFamily="34" charset="0"/>
                <a:cs typeface="Calibri" panose="020F0502020204030204" pitchFamily="34" charset="0"/>
              </a:endParaRPr>
            </a:p>
            <a:p>
              <a:pPr algn="ctr"/>
              <a:r>
                <a:rPr lang="en-US" sz="800" i="0">
                  <a:latin typeface="Cambria Math" panose="02040503050406030204" pitchFamily="18" charset="0"/>
                  <a:cs typeface="Sora" pitchFamily="2" charset="0"/>
                </a:rPr>
                <a:t>Empréstimos e adiantamentos a instituições financeiras +Títulos e valores mobiliários+Empréstimos e adiantamentos a clientes, líquidos de provisão para perdas esperadas +Instrumentos financeiros derivativos</a:t>
              </a:r>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500">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8</xdr:col>
      <xdr:colOff>135271</xdr:colOff>
      <xdr:row>81</xdr:row>
      <xdr:rowOff>144319</xdr:rowOff>
    </xdr:from>
    <xdr:to>
      <xdr:col>15</xdr:col>
      <xdr:colOff>111553</xdr:colOff>
      <xdr:row>114</xdr:row>
      <xdr:rowOff>176629</xdr:rowOff>
    </xdr:to>
    <mc:AlternateContent xmlns:mc="http://schemas.openxmlformats.org/markup-compatibility/2006" xmlns:a14="http://schemas.microsoft.com/office/drawing/2010/main">
      <mc:Choice Requires="a14">
        <xdr:sp macro="" textlink="">
          <xdr:nvSpPr>
            <xdr:cNvPr id="48" name="Retângulo 9">
              <a:extLst>
                <a:ext uri="{FF2B5EF4-FFF2-40B4-BE49-F238E27FC236}">
                  <a16:creationId xmlns:a16="http://schemas.microsoft.com/office/drawing/2014/main" id="{00000000-0008-0000-1600-000030000000}"/>
                </a:ext>
              </a:extLst>
            </xdr:cNvPr>
            <xdr:cNvSpPr/>
          </xdr:nvSpPr>
          <xdr:spPr>
            <a:xfrm>
              <a:off x="6761358" y="15053015"/>
              <a:ext cx="5774108" cy="6106223"/>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i="1">
                            <a:latin typeface="Cambria Math" panose="02040503050406030204" pitchFamily="18" charset="0"/>
                            <a:cs typeface="Sora" pitchFamily="2" charset="0"/>
                          </a:rPr>
                          <m:t>Resultado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perdas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redu</m:t>
                        </m:r>
                        <m:r>
                          <a:rPr lang="pt-BR" sz="800" i="1">
                            <a:latin typeface="Cambria Math" panose="02040503050406030204" pitchFamily="18" charset="0"/>
                            <a:cs typeface="Sora" pitchFamily="2" charset="0"/>
                          </a:rPr>
                          <m:t>çã</m:t>
                        </m:r>
                        <m:r>
                          <m:rPr>
                            <m:sty m:val="p"/>
                          </m:rPr>
                          <a:rPr lang="pt-BR" sz="800" i="1">
                            <a:latin typeface="Cambria Math" panose="02040503050406030204" pitchFamily="18" charset="0"/>
                            <a:cs typeface="Sora" pitchFamily="2" charset="0"/>
                          </a:rPr>
                          <m: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valor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recuper</m:t>
                        </m:r>
                        <m:r>
                          <a:rPr lang="pt-BR" sz="800" i="1">
                            <a:latin typeface="Cambria Math" panose="02040503050406030204" pitchFamily="18" charset="0"/>
                            <a:cs typeface="Sora" pitchFamily="2" charset="0"/>
                          </a:rPr>
                          <m:t>á</m:t>
                        </m:r>
                        <m:r>
                          <m:rPr>
                            <m:sty m:val="p"/>
                          </m:rPr>
                          <a:rPr lang="pt-BR" sz="800" i="1">
                            <a:latin typeface="Cambria Math" panose="02040503050406030204" pitchFamily="18" charset="0"/>
                            <a:cs typeface="Sora" pitchFamily="2" charset="0"/>
                          </a:rPr>
                          <m:t>vel</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ativos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financeiros</m:t>
                        </m:r>
                        <m:r>
                          <a:rPr lang="pt-BR" sz="800" i="1">
                            <a:latin typeface="Cambria Math" panose="02040503050406030204" pitchFamily="18" charset="0"/>
                            <a:cs typeface="Sora" pitchFamily="2" charset="0"/>
                          </a:rPr>
                          <m:t> × 4</m:t>
                        </m:r>
                      </m:num>
                      <m:den>
                        <m:r>
                          <m:rPr>
                            <m:sty m:val="p"/>
                          </m:rPr>
                          <a:rPr lang="pt-BR" sz="800" i="1">
                            <a:latin typeface="Cambria Math" panose="02040503050406030204" pitchFamily="18" charset="0"/>
                            <a:cs typeface="Sora" pitchFamily="2" charset="0"/>
                          </a:rPr>
                          <m:t>M</m:t>
                        </m:r>
                        <m:r>
                          <a:rPr lang="pt-BR" sz="800" i="1">
                            <a:latin typeface="Cambria Math" panose="02040503050406030204" pitchFamily="18" charset="0"/>
                            <a:cs typeface="Sora" pitchFamily="2" charset="0"/>
                          </a:rPr>
                          <m:t>é</m:t>
                        </m:r>
                        <m:r>
                          <m:rPr>
                            <m:sty m:val="p"/>
                          </m:rPr>
                          <a:rPr lang="pt-BR" sz="800" i="1">
                            <a:latin typeface="Cambria Math" panose="02040503050406030204" pitchFamily="18" charset="0"/>
                            <a:cs typeface="Sora" pitchFamily="2" charset="0"/>
                          </a:rPr>
                          <m:t>dia</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empr</m:t>
                        </m:r>
                        <m:r>
                          <a:rPr lang="pt-BR" sz="800" i="1">
                            <a:latin typeface="Cambria Math" panose="02040503050406030204" pitchFamily="18" charset="0"/>
                            <a:cs typeface="Sora" pitchFamily="2" charset="0"/>
                          </a:rPr>
                          <m:t>é</m:t>
                        </m:r>
                        <m:r>
                          <m:rPr>
                            <m:sty m:val="p"/>
                          </m:rPr>
                          <a:rPr lang="pt-BR" sz="800" i="1">
                            <a:latin typeface="Cambria Math" panose="02040503050406030204" pitchFamily="18" charset="0"/>
                            <a:cs typeface="Sora" pitchFamily="2" charset="0"/>
                          </a:rPr>
                          <m:t>stimos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adiantamento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clientes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dos</m:t>
                        </m:r>
                        <m:r>
                          <a:rPr lang="pt-BR" sz="800" i="1">
                            <a:latin typeface="Cambria Math" panose="02040503050406030204" pitchFamily="18" charset="0"/>
                            <a:cs typeface="Sora" pitchFamily="2" charset="0"/>
                          </a:rPr>
                          <m:t> ú</m:t>
                        </m:r>
                        <m:r>
                          <m:rPr>
                            <m:sty m:val="p"/>
                          </m:rPr>
                          <a:rPr lang="pt-BR" sz="800" i="1">
                            <a:latin typeface="Cambria Math" panose="02040503050406030204" pitchFamily="18" charset="0"/>
                            <a:cs typeface="Sora" pitchFamily="2" charset="0"/>
                          </a:rPr>
                          <m:t>ltimos</m:t>
                        </m:r>
                        <m:r>
                          <a:rPr lang="pt-BR" sz="800" i="1">
                            <a:latin typeface="Cambria Math" panose="02040503050406030204" pitchFamily="18" charset="0"/>
                            <a:cs typeface="Sora" pitchFamily="2" charset="0"/>
                          </a:rPr>
                          <m:t> 2 </m:t>
                        </m:r>
                        <m:r>
                          <m:rPr>
                            <m:sty m:val="p"/>
                          </m:rPr>
                          <a:rPr lang="pt-BR" sz="800" i="1">
                            <a:latin typeface="Cambria Math" panose="02040503050406030204" pitchFamily="18" charset="0"/>
                            <a:cs typeface="Sora" pitchFamily="2" charset="0"/>
                          </a:rPr>
                          <m:t>trimestres</m:t>
                        </m:r>
                        <m:r>
                          <a:rPr lang="pt-BR" sz="800" i="1">
                            <a:latin typeface="Cambria Math" panose="02040503050406030204" pitchFamily="18" charset="0"/>
                            <a:cs typeface="Sora" pitchFamily="2" charset="0"/>
                          </a:rPr>
                          <m:t> </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antecipação de recebíveis de cartão de crédito:</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i="1">
                            <a:latin typeface="Cambria Math" panose="02040503050406030204" pitchFamily="18" charset="0"/>
                            <a:cs typeface="Sora" pitchFamily="2" charset="0"/>
                          </a:rPr>
                          <m:t>Resultado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perdas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redu</m:t>
                        </m:r>
                        <m:r>
                          <a:rPr lang="pt-BR" sz="800" i="1">
                            <a:latin typeface="Cambria Math" panose="02040503050406030204" pitchFamily="18" charset="0"/>
                            <a:cs typeface="Sora" pitchFamily="2" charset="0"/>
                          </a:rPr>
                          <m:t>çã</m:t>
                        </m:r>
                        <m:r>
                          <m:rPr>
                            <m:sty m:val="p"/>
                          </m:rPr>
                          <a:rPr lang="pt-BR" sz="800" i="1">
                            <a:latin typeface="Cambria Math" panose="02040503050406030204" pitchFamily="18" charset="0"/>
                            <a:cs typeface="Sora" pitchFamily="2" charset="0"/>
                          </a:rPr>
                          <m: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valor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recuper</m:t>
                        </m:r>
                        <m:r>
                          <a:rPr lang="pt-BR" sz="800" i="1">
                            <a:latin typeface="Cambria Math" panose="02040503050406030204" pitchFamily="18" charset="0"/>
                            <a:cs typeface="Sora" pitchFamily="2" charset="0"/>
                          </a:rPr>
                          <m:t>á</m:t>
                        </m:r>
                        <m:r>
                          <m:rPr>
                            <m:sty m:val="p"/>
                          </m:rPr>
                          <a:rPr lang="pt-BR" sz="800" i="1">
                            <a:latin typeface="Cambria Math" panose="02040503050406030204" pitchFamily="18" charset="0"/>
                            <a:cs typeface="Sora" pitchFamily="2" charset="0"/>
                          </a:rPr>
                          <m:t>vel</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ativos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financeiros</m:t>
                        </m:r>
                        <m:r>
                          <a:rPr lang="pt-BR" sz="800" i="1">
                            <a:latin typeface="Cambria Math" panose="02040503050406030204" pitchFamily="18" charset="0"/>
                            <a:cs typeface="Sora" pitchFamily="2" charset="0"/>
                          </a:rPr>
                          <m:t> × 4</m:t>
                        </m:r>
                      </m:num>
                      <m:den>
                        <m:r>
                          <m:rPr>
                            <m:sty m:val="p"/>
                          </m:rPr>
                          <a:rPr lang="pt-BR" sz="800">
                            <a:latin typeface="Cambria Math" panose="02040503050406030204" pitchFamily="18" charset="0"/>
                            <a:cs typeface="Sora" pitchFamily="2" charset="0"/>
                          </a:rPr>
                          <m:t>M</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empr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stimos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adiantamento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clientes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dos</m:t>
                        </m:r>
                        <m:r>
                          <a:rPr lang="pt-BR" sz="800">
                            <a:latin typeface="Cambria Math" panose="02040503050406030204" pitchFamily="18" charset="0"/>
                            <a:cs typeface="Sora" pitchFamily="2" charset="0"/>
                          </a:rPr>
                          <m:t> ú</m:t>
                        </m:r>
                        <m:r>
                          <m:rPr>
                            <m:sty m:val="p"/>
                          </m:rPr>
                          <a:rPr lang="pt-BR" sz="800">
                            <a:latin typeface="Cambria Math" panose="02040503050406030204" pitchFamily="18" charset="0"/>
                            <a:cs typeface="Sora" pitchFamily="2" charset="0"/>
                          </a:rPr>
                          <m:t>ltimos</m:t>
                        </m:r>
                        <m:r>
                          <a:rPr lang="pt-BR" sz="800">
                            <a:latin typeface="Cambria Math" panose="02040503050406030204" pitchFamily="18" charset="0"/>
                            <a:cs typeface="Sora" pitchFamily="2" charset="0"/>
                          </a:rPr>
                          <m:t> 2 </m:t>
                        </m:r>
                        <m:r>
                          <m:rPr>
                            <m:sty m:val="p"/>
                          </m:rPr>
                          <a:rPr lang="pt-BR" sz="800">
                            <a:latin typeface="Cambria Math" panose="02040503050406030204" pitchFamily="18" charset="0"/>
                            <a:cs typeface="Sora" pitchFamily="2" charset="0"/>
                          </a:rPr>
                          <m:t>trimestres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excluindoantecipa</m:t>
                        </m:r>
                        <m:r>
                          <a:rPr lang="pt-BR" sz="800">
                            <a:latin typeface="Cambria Math" panose="02040503050406030204" pitchFamily="18" charset="0"/>
                            <a:cs typeface="Sora" pitchFamily="2" charset="0"/>
                          </a:rPr>
                          <m:t>çã</m:t>
                        </m:r>
                        <m:r>
                          <m:rPr>
                            <m:sty m:val="p"/>
                          </m:rPr>
                          <a:rPr lang="pt-BR" sz="800">
                            <a:latin typeface="Cambria Math" panose="02040503050406030204" pitchFamily="18" charset="0"/>
                            <a:cs typeface="Sora" pitchFamily="2" charset="0"/>
                          </a:rPr>
                          <m: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receb</m:t>
                        </m:r>
                        <m:r>
                          <a:rPr lang="pt-BR" sz="800">
                            <a:latin typeface="Cambria Math" panose="02040503050406030204" pitchFamily="18" charset="0"/>
                            <a:cs typeface="Sora" pitchFamily="2" charset="0"/>
                          </a:rPr>
                          <m:t>í</m:t>
                        </m:r>
                        <m:r>
                          <m:rPr>
                            <m:sty m:val="p"/>
                          </m:rPr>
                          <a:rPr lang="pt-BR" sz="800">
                            <a:latin typeface="Cambria Math" panose="02040503050406030204" pitchFamily="18" charset="0"/>
                            <a:cs typeface="Sora" pitchFamily="2" charset="0"/>
                          </a:rPr>
                          <m:t>veis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cart</m:t>
                        </m:r>
                        <m:r>
                          <a:rPr lang="pt-BR" sz="800">
                            <a:latin typeface="Cambria Math" panose="02040503050406030204" pitchFamily="18" charset="0"/>
                            <a:cs typeface="Sora" pitchFamily="2" charset="0"/>
                          </a:rPr>
                          <m:t>ã</m:t>
                        </m:r>
                        <m:r>
                          <m:rPr>
                            <m:sty m:val="p"/>
                          </m:rPr>
                          <a:rPr lang="pt-BR" sz="800">
                            <a:latin typeface="Cambria Math" panose="02040503050406030204" pitchFamily="18" charset="0"/>
                            <a:cs typeface="Sora" pitchFamily="2" charset="0"/>
                          </a:rPr>
                          <m: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dito</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cartão de crédito:</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i="1">
                            <a:latin typeface="Cambria Math" panose="02040503050406030204" pitchFamily="18" charset="0"/>
                            <a:cs typeface="Sora" pitchFamily="2" charset="0"/>
                          </a:rPr>
                          <m:t>Resultado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perdas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redu</m:t>
                        </m:r>
                        <m:r>
                          <a:rPr lang="pt-BR" sz="800" i="1">
                            <a:latin typeface="Cambria Math" panose="02040503050406030204" pitchFamily="18" charset="0"/>
                            <a:cs typeface="Sora" pitchFamily="2" charset="0"/>
                          </a:rPr>
                          <m:t>çã</m:t>
                        </m:r>
                        <m:r>
                          <m:rPr>
                            <m:sty m:val="p"/>
                          </m:rPr>
                          <a:rPr lang="pt-BR" sz="800" i="1">
                            <a:latin typeface="Cambria Math" panose="02040503050406030204" pitchFamily="18" charset="0"/>
                            <a:cs typeface="Sora" pitchFamily="2" charset="0"/>
                          </a:rPr>
                          <m: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valor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recuper</m:t>
                        </m:r>
                        <m:r>
                          <a:rPr lang="pt-BR" sz="800" i="1">
                            <a:latin typeface="Cambria Math" panose="02040503050406030204" pitchFamily="18" charset="0"/>
                            <a:cs typeface="Sora" pitchFamily="2" charset="0"/>
                          </a:rPr>
                          <m:t>á</m:t>
                        </m:r>
                        <m:r>
                          <m:rPr>
                            <m:sty m:val="p"/>
                          </m:rPr>
                          <a:rPr lang="pt-BR" sz="800" i="1">
                            <a:latin typeface="Cambria Math" panose="02040503050406030204" pitchFamily="18" charset="0"/>
                            <a:cs typeface="Sora" pitchFamily="2" charset="0"/>
                          </a:rPr>
                          <m:t>vel</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ativos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financeiros</m:t>
                        </m:r>
                        <m:r>
                          <a:rPr lang="pt-BR" sz="800" i="1">
                            <a:latin typeface="Cambria Math" panose="02040503050406030204" pitchFamily="18" charset="0"/>
                            <a:cs typeface="Sora" pitchFamily="2" charset="0"/>
                          </a:rPr>
                          <m:t> × 4</m:t>
                        </m:r>
                      </m:num>
                      <m:den>
                        <m:r>
                          <m:rPr>
                            <m:sty m:val="p"/>
                          </m:rPr>
                          <a:rPr lang="pt-BR" sz="800">
                            <a:latin typeface="Cambria Math" panose="02040503050406030204" pitchFamily="18" charset="0"/>
                            <a:cs typeface="Sora" pitchFamily="2" charset="0"/>
                          </a:rPr>
                          <m:t>M</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empr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stimos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adiantamento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clientes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dos</m:t>
                        </m:r>
                        <m:r>
                          <a:rPr lang="pt-BR" sz="800">
                            <a:latin typeface="Cambria Math" panose="02040503050406030204" pitchFamily="18" charset="0"/>
                            <a:cs typeface="Sora" pitchFamily="2" charset="0"/>
                          </a:rPr>
                          <m:t> ú</m:t>
                        </m:r>
                        <m:r>
                          <m:rPr>
                            <m:sty m:val="p"/>
                          </m:rPr>
                          <a:rPr lang="pt-BR" sz="800">
                            <a:latin typeface="Cambria Math" panose="02040503050406030204" pitchFamily="18" charset="0"/>
                            <a:cs typeface="Sora" pitchFamily="2" charset="0"/>
                          </a:rPr>
                          <m:t>ltimos</m:t>
                        </m:r>
                        <m:r>
                          <a:rPr lang="pt-BR" sz="800">
                            <a:latin typeface="Cambria Math" panose="02040503050406030204" pitchFamily="18" charset="0"/>
                            <a:cs typeface="Sora" pitchFamily="2" charset="0"/>
                          </a:rPr>
                          <m:t> 2 </m:t>
                        </m:r>
                        <m:r>
                          <m:rPr>
                            <m:sty m:val="p"/>
                          </m:rPr>
                          <a:rPr lang="pt-BR" sz="800">
                            <a:latin typeface="Cambria Math" panose="02040503050406030204" pitchFamily="18" charset="0"/>
                            <a:cs typeface="Sora" pitchFamily="2" charset="0"/>
                          </a:rPr>
                          <m:t>trimestres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excluindo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cart</m:t>
                        </m:r>
                        <m:r>
                          <a:rPr lang="pt-BR" sz="800">
                            <a:latin typeface="Cambria Math" panose="02040503050406030204" pitchFamily="18" charset="0"/>
                            <a:cs typeface="Sora" pitchFamily="2" charset="0"/>
                          </a:rPr>
                          <m:t>ã</m:t>
                        </m:r>
                        <m:r>
                          <m:rPr>
                            <m:sty m:val="p"/>
                          </m:rPr>
                          <a:rPr lang="pt-BR" sz="800">
                            <a:latin typeface="Cambria Math" panose="02040503050406030204" pitchFamily="18" charset="0"/>
                            <a:cs typeface="Sora" pitchFamily="2" charset="0"/>
                          </a:rPr>
                          <m: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dito</m:t>
                        </m:r>
                      </m:den>
                    </m:f>
                    <m:r>
                      <a:rPr lang="pt-BR" sz="800" i="1">
                        <a:latin typeface="Cambria Math" panose="02040503050406030204" pitchFamily="18" charset="0"/>
                        <a:cs typeface="Sora" pitchFamily="2" charset="0"/>
                      </a:rPr>
                      <m:t> </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funding:</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b="0" i="0">
                            <a:latin typeface="Cambria Math" panose="02040503050406030204" pitchFamily="18" charset="0"/>
                            <a:cs typeface="Sora" pitchFamily="2" charset="0"/>
                          </a:rPr>
                          <m:t>Despesas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juros</m:t>
                        </m:r>
                        <m:r>
                          <a:rPr lang="pt-BR" sz="800" b="0" i="0">
                            <a:latin typeface="Cambria Math" panose="02040503050406030204" pitchFamily="18" charset="0"/>
                            <a:cs typeface="Sora" pitchFamily="2" charset="0"/>
                          </a:rPr>
                          <m:t> × 4</m:t>
                        </m:r>
                      </m:num>
                      <m:den>
                        <m:eqArr>
                          <m:eqArrPr>
                            <m:ctrlPr>
                              <a:rPr lang="pt-BR" sz="800" i="1">
                                <a:latin typeface="Cambria Math" panose="02040503050406030204" pitchFamily="18" charset="0"/>
                                <a:cs typeface="Sora" pitchFamily="2" charset="0"/>
                              </a:rPr>
                            </m:ctrlPr>
                          </m:eqArrPr>
                          <m:e>
                            <m:r>
                              <m:rPr>
                                <m:sty m:val="p"/>
                              </m:rPr>
                              <a:rPr lang="pt-BR" sz="800" i="0">
                                <a:latin typeface="Cambria Math" panose="02040503050406030204" pitchFamily="18" charset="0"/>
                                <a:cs typeface="Sora" pitchFamily="2" charset="0"/>
                              </a:rPr>
                              <m:t>M</m:t>
                            </m:r>
                            <m:r>
                              <a:rPr lang="pt-BR" sz="800" i="0">
                                <a:latin typeface="Cambria Math" panose="02040503050406030204" pitchFamily="18" charset="0"/>
                                <a:cs typeface="Sora" pitchFamily="2" charset="0"/>
                              </a:rPr>
                              <m:t>é</m:t>
                            </m:r>
                            <m:r>
                              <m:rPr>
                                <m:sty m:val="p"/>
                              </m:rPr>
                              <a:rPr lang="pt-BR" sz="800" i="0">
                                <a:latin typeface="Cambria Math" panose="02040503050406030204" pitchFamily="18" charset="0"/>
                                <a:cs typeface="Sora" pitchFamily="2" charset="0"/>
                              </a:rPr>
                              <m:t>dia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passivos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remunerados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dos</m:t>
                            </m:r>
                            <m:r>
                              <a:rPr lang="pt-BR" sz="800" i="0">
                                <a:latin typeface="Cambria Math" panose="02040503050406030204" pitchFamily="18" charset="0"/>
                                <a:cs typeface="Sora" pitchFamily="2" charset="0"/>
                              </a:rPr>
                              <m:t> ú</m:t>
                            </m:r>
                            <m:r>
                              <m:rPr>
                                <m:sty m:val="p"/>
                              </m:rPr>
                              <a:rPr lang="pt-BR" sz="800" i="0">
                                <a:latin typeface="Cambria Math" panose="02040503050406030204" pitchFamily="18" charset="0"/>
                                <a:cs typeface="Sora" pitchFamily="2" charset="0"/>
                              </a:rPr>
                              <m:t>ltimos</m:t>
                            </m:r>
                            <m:r>
                              <a:rPr lang="pt-BR" sz="800" i="0">
                                <a:latin typeface="Cambria Math" panose="02040503050406030204" pitchFamily="18" charset="0"/>
                                <a:cs typeface="Sora" pitchFamily="2" charset="0"/>
                              </a:rPr>
                              <m:t> 2 </m:t>
                            </m:r>
                            <m:r>
                              <m:rPr>
                                <m:sty m:val="p"/>
                              </m:rPr>
                              <a:rPr lang="pt-BR" sz="800" i="0">
                                <a:latin typeface="Cambria Math" panose="02040503050406030204" pitchFamily="18" charset="0"/>
                                <a:cs typeface="Sora" pitchFamily="2" charset="0"/>
                              </a:rPr>
                              <m:t>trimestres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dep</m:t>
                            </m:r>
                            <m:r>
                              <a:rPr lang="pt-BR" sz="800" i="0">
                                <a:latin typeface="Cambria Math" panose="02040503050406030204" pitchFamily="18" charset="0"/>
                                <a:cs typeface="Sora" pitchFamily="2" charset="0"/>
                              </a:rPr>
                              <m:t>ó</m:t>
                            </m:r>
                            <m:r>
                              <m:rPr>
                                <m:sty m:val="p"/>
                              </m:rPr>
                              <a:rPr lang="pt-BR" sz="800" i="0">
                                <a:latin typeface="Cambria Math" panose="02040503050406030204" pitchFamily="18" charset="0"/>
                                <a:cs typeface="Sora" pitchFamily="2" charset="0"/>
                              </a:rPr>
                              <m:t>sitos</m:t>
                            </m:r>
                            <m:r>
                              <a:rPr lang="pt-BR" sz="800" i="0">
                                <a:latin typeface="Cambria Math" panose="02040503050406030204" pitchFamily="18" charset="0"/>
                                <a:cs typeface="Sora" pitchFamily="2" charset="0"/>
                              </a:rPr>
                              <m:t> à </m:t>
                            </m:r>
                            <m:r>
                              <m:rPr>
                                <m:sty m:val="p"/>
                              </m:rPr>
                              <a:rPr lang="pt-BR" sz="800" i="0">
                                <a:latin typeface="Cambria Math" panose="02040503050406030204" pitchFamily="18" charset="0"/>
                                <a:cs typeface="Sora" pitchFamily="2" charset="0"/>
                              </a:rPr>
                              <m:t>vista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dep</m:t>
                            </m:r>
                            <m:r>
                              <a:rPr lang="pt-BR" sz="800" i="0">
                                <a:latin typeface="Cambria Math" panose="02040503050406030204" pitchFamily="18" charset="0"/>
                                <a:cs typeface="Sora" pitchFamily="2" charset="0"/>
                              </a:rPr>
                              <m:t>ó</m:t>
                            </m:r>
                            <m:r>
                              <m:rPr>
                                <m:sty m:val="p"/>
                              </m:rPr>
                              <a:rPr lang="pt-BR" sz="800" i="0">
                                <a:latin typeface="Cambria Math" panose="02040503050406030204" pitchFamily="18" charset="0"/>
                                <a:cs typeface="Sora" pitchFamily="2" charset="0"/>
                              </a:rPr>
                              <m:t>sitos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prazo</m:t>
                            </m:r>
                            <m:r>
                              <a:rPr lang="pt-BR" sz="800" i="0">
                                <a:latin typeface="Cambria Math" panose="02040503050406030204" pitchFamily="18" charset="0"/>
                                <a:cs typeface="Sora" pitchFamily="2" charset="0"/>
                              </a:rPr>
                              <m:t>,</m:t>
                            </m:r>
                            <m:r>
                              <m:rPr>
                                <m:sty m:val="p"/>
                              </m:rPr>
                              <a:rPr lang="pt-BR" sz="800" i="0">
                                <a:latin typeface="Cambria Math" panose="02040503050406030204" pitchFamily="18" charset="0"/>
                                <a:cs typeface="Sora" pitchFamily="2" charset="0"/>
                              </a:rPr>
                              <m:t>poupan</m:t>
                            </m:r>
                            <m:r>
                              <a:rPr lang="pt-BR" sz="800" i="0">
                                <a:latin typeface="Cambria Math" panose="02040503050406030204" pitchFamily="18" charset="0"/>
                                <a:cs typeface="Sora" pitchFamily="2" charset="0"/>
                              </a:rPr>
                              <m:t>ç</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e>
                          <m:e>
                            <m:r>
                              <m:rPr>
                                <m:sty m:val="p"/>
                              </m:rPr>
                              <a:rPr lang="pt-BR" sz="800" i="0">
                                <a:latin typeface="Cambria Math" panose="02040503050406030204" pitchFamily="18" charset="0"/>
                                <a:cs typeface="Sora" pitchFamily="2" charset="0"/>
                              </a:rPr>
                              <m:t>credores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por</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recursos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liberar</m:t>
                            </m:r>
                            <m:r>
                              <a:rPr lang="pt-BR" sz="800" i="0">
                                <a:latin typeface="Cambria Math" panose="02040503050406030204" pitchFamily="18" charset="0"/>
                                <a:cs typeface="Sora" pitchFamily="2" charset="0"/>
                              </a:rPr>
                              <m:t>,</m:t>
                            </m:r>
                            <m:r>
                              <m:rPr>
                                <m:sty m:val="p"/>
                              </m:rPr>
                              <a:rPr lang="pt-BR" sz="800" i="0">
                                <a:latin typeface="Cambria Math" panose="02040503050406030204" pitchFamily="18" charset="0"/>
                                <a:cs typeface="Sora" pitchFamily="2" charset="0"/>
                              </a:rPr>
                              <m:t>t</m:t>
                            </m:r>
                            <m:r>
                              <a:rPr lang="pt-BR" sz="800" i="0">
                                <a:latin typeface="Cambria Math" panose="02040503050406030204" pitchFamily="18" charset="0"/>
                                <a:cs typeface="Sora" pitchFamily="2" charset="0"/>
                              </a:rPr>
                              <m:t>í</m:t>
                            </m:r>
                            <m:r>
                              <m:rPr>
                                <m:sty m:val="p"/>
                              </m:rPr>
                              <a:rPr lang="pt-BR" sz="800" i="0">
                                <a:latin typeface="Cambria Math" panose="02040503050406030204" pitchFamily="18" charset="0"/>
                                <a:cs typeface="Sora" pitchFamily="2" charset="0"/>
                              </a:rPr>
                              <m:t>tulos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emitidos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obriga</m:t>
                            </m:r>
                            <m:r>
                              <a:rPr lang="pt-BR" sz="800" i="0">
                                <a:latin typeface="Cambria Math" panose="02040503050406030204" pitchFamily="18" charset="0"/>
                                <a:cs typeface="Sora" pitchFamily="2" charset="0"/>
                              </a:rPr>
                              <m:t>çõ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redes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cart</m:t>
                            </m:r>
                            <m:r>
                              <a:rPr lang="pt-BR" sz="800" i="0">
                                <a:latin typeface="Cambria Math" panose="02040503050406030204" pitchFamily="18" charset="0"/>
                                <a:cs typeface="Sora" pitchFamily="2" charset="0"/>
                              </a:rPr>
                              <m:t>ã</m:t>
                            </m:r>
                            <m:r>
                              <m:rPr>
                                <m:sty m:val="p"/>
                              </m:rPr>
                              <a:rPr lang="pt-BR" sz="800" i="0">
                                <a:latin typeface="Cambria Math" panose="02040503050406030204" pitchFamily="18" charset="0"/>
                                <a:cs typeface="Sora" pitchFamily="2" charset="0"/>
                              </a:rPr>
                              <m:t>o</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cr</m:t>
                            </m:r>
                            <m:r>
                              <a:rPr lang="pt-BR" sz="800" i="0">
                                <a:latin typeface="Cambria Math" panose="02040503050406030204" pitchFamily="18" charset="0"/>
                                <a:cs typeface="Sora" pitchFamily="2" charset="0"/>
                              </a:rPr>
                              <m:t>é</m:t>
                            </m:r>
                            <m:r>
                              <m:rPr>
                                <m:sty m:val="p"/>
                              </m:rPr>
                              <a:rPr lang="pt-BR" sz="800" i="0">
                                <a:latin typeface="Cambria Math" panose="02040503050406030204" pitchFamily="18" charset="0"/>
                                <a:cs typeface="Sora" pitchFamily="2" charset="0"/>
                              </a:rPr>
                              <m:t>dito</m:t>
                            </m:r>
                            <m:r>
                              <a:rPr lang="pt-BR" sz="800" i="0">
                                <a:latin typeface="Cambria Math" panose="02040503050406030204" pitchFamily="18" charset="0"/>
                                <a:cs typeface="Sora" pitchFamily="2" charset="0"/>
                              </a:rPr>
                              <m:t>,</m:t>
                            </m:r>
                          </m:e>
                          <m:e>
                            <m:r>
                              <m:rPr>
                                <m:sty m:val="p"/>
                              </m:rPr>
                              <a:rPr lang="pt-BR" sz="800" i="0">
                                <a:latin typeface="Cambria Math" panose="02040503050406030204" pitchFamily="18" charset="0"/>
                                <a:cs typeface="Sora" pitchFamily="2" charset="0"/>
                              </a:rPr>
                              <m:t>obriga</m:t>
                            </m:r>
                            <m:r>
                              <a:rPr lang="pt-BR" sz="800" i="0">
                                <a:latin typeface="Cambria Math" panose="02040503050406030204" pitchFamily="18" charset="0"/>
                                <a:cs typeface="Sora" pitchFamily="2" charset="0"/>
                              </a:rPr>
                              <m:t>çõ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por</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opera</m:t>
                            </m:r>
                            <m:r>
                              <a:rPr lang="pt-BR" sz="800" i="0">
                                <a:latin typeface="Cambria Math" panose="02040503050406030204" pitchFamily="18" charset="0"/>
                                <a:cs typeface="Sora" pitchFamily="2" charset="0"/>
                              </a:rPr>
                              <m:t>çõ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compromissadas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dep</m:t>
                            </m:r>
                            <m:r>
                              <a:rPr lang="pt-BR" sz="800" i="0">
                                <a:latin typeface="Cambria Math" panose="02040503050406030204" pitchFamily="18" charset="0"/>
                                <a:cs typeface="Sora" pitchFamily="2" charset="0"/>
                              </a:rPr>
                              <m:t>ó</m:t>
                            </m:r>
                            <m:r>
                              <m:rPr>
                                <m:sty m:val="p"/>
                              </m:rPr>
                              <a:rPr lang="pt-BR" sz="800" i="0">
                                <a:latin typeface="Cambria Math" panose="02040503050406030204" pitchFamily="18" charset="0"/>
                                <a:cs typeface="Sora" pitchFamily="2" charset="0"/>
                              </a:rPr>
                              <m:t>sitos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interfinanceiros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outros</m:t>
                            </m:r>
                            <m:r>
                              <a:rPr lang="pt-BR" sz="800" i="0">
                                <a:latin typeface="Cambria Math" panose="02040503050406030204" pitchFamily="18" charset="0"/>
                                <a:cs typeface="Sora" pitchFamily="2" charset="0"/>
                              </a:rPr>
                              <m:t>)</m:t>
                            </m:r>
                          </m:e>
                        </m:eqAr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servir (CTS):</a:t>
              </a:r>
            </a:p>
            <a:p>
              <a:pPr algn="ctr"/>
              <a:endParaRPr lang="en-US" sz="800">
                <a:solidFill>
                  <a:schemeClr val="tx1">
                    <a:lumMod val="85000"/>
                    <a:lumOff val="15000"/>
                  </a:schemeClr>
                </a:solidFill>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a:rPr lang="pt-BR" sz="800">
                            <a:latin typeface="Cambria Math" panose="02040503050406030204" pitchFamily="18" charset="0"/>
                          </a:rPr>
                          <m:t>(</m:t>
                        </m:r>
                        <m:r>
                          <m:rPr>
                            <m:sty m:val="p"/>
                          </m:rPr>
                          <a:rPr lang="en-US" sz="800">
                            <a:solidFill>
                              <a:schemeClr val="tx1">
                                <a:lumMod val="85000"/>
                                <a:lumOff val="15000"/>
                              </a:schemeClr>
                            </a:solidFill>
                            <a:latin typeface="Cambria Math" panose="02040503050406030204" pitchFamily="18" charset="0"/>
                            <a:cs typeface="Sora" pitchFamily="2" charset="0"/>
                          </a:rPr>
                          <m:t>Despesas</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de</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pessoal</m:t>
                        </m:r>
                        <m:r>
                          <a:rPr lang="en-US" sz="800">
                            <a:solidFill>
                              <a:schemeClr val="tx1">
                                <a:lumMod val="85000"/>
                                <a:lumOff val="15000"/>
                              </a:schemeClr>
                            </a:solidFill>
                            <a:latin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cs typeface="Sora" pitchFamily="2" charset="0"/>
                          </a:rPr>
                          <m:t>D</m:t>
                        </m:r>
                        <m:r>
                          <m:rPr>
                            <m:sty m:val="p"/>
                          </m:rPr>
                          <a:rPr lang="en-US" sz="800">
                            <a:solidFill>
                              <a:schemeClr val="tx1">
                                <a:lumMod val="85000"/>
                                <a:lumOff val="15000"/>
                              </a:schemeClr>
                            </a:solidFill>
                            <a:latin typeface="Cambria Math" panose="02040503050406030204" pitchFamily="18" charset="0"/>
                            <a:cs typeface="Sora" pitchFamily="2" charset="0"/>
                          </a:rPr>
                          <m:t>espesas</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administrativas</m:t>
                        </m:r>
                        <m:r>
                          <a:rPr lang="pt-BR" sz="800" i="1">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CAC</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Total</m:t>
                        </m:r>
                        <m:r>
                          <a:rPr lang="en-US" sz="800">
                            <a:solidFill>
                              <a:schemeClr val="tx1">
                                <a:lumMod val="85000"/>
                                <a:lumOff val="15000"/>
                              </a:schemeClr>
                            </a:solidFill>
                            <a:latin typeface="Cambria Math" panose="02040503050406030204" pitchFamily="18" charset="0"/>
                            <a:cs typeface="Sora" pitchFamily="2" charset="0"/>
                          </a:rPr>
                          <m:t> )÷</m:t>
                        </m:r>
                        <m:r>
                          <a:rPr lang="pt-BR" sz="800" i="1">
                            <a:solidFill>
                              <a:schemeClr val="tx1">
                                <a:lumMod val="85000"/>
                                <a:lumOff val="15000"/>
                              </a:schemeClr>
                            </a:solidFill>
                            <a:latin typeface="Cambria Math" panose="02040503050406030204" pitchFamily="18" charset="0"/>
                            <a:cs typeface="Sora" pitchFamily="2" charset="0"/>
                          </a:rPr>
                          <m:t>3)</m:t>
                        </m:r>
                      </m:num>
                      <m:den>
                        <m:r>
                          <m:rPr>
                            <m:sty m:val="p"/>
                          </m:rPr>
                          <a:rPr lang="pt-BR" sz="800">
                            <a:latin typeface="Cambria Math" panose="02040503050406030204" pitchFamily="18" charset="0"/>
                            <a:cs typeface="Sora" pitchFamily="2" charset="0"/>
                          </a:rPr>
                          <m:t>M</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clientes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ativos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dos</m:t>
                        </m:r>
                        <m:r>
                          <a:rPr lang="pt-BR" sz="800">
                            <a:latin typeface="Cambria Math" panose="02040503050406030204" pitchFamily="18" charset="0"/>
                            <a:cs typeface="Sora" pitchFamily="2" charset="0"/>
                          </a:rPr>
                          <m:t> ú</m:t>
                        </m:r>
                        <m:r>
                          <m:rPr>
                            <m:sty m:val="p"/>
                          </m:rPr>
                          <a:rPr lang="pt-BR" sz="800">
                            <a:latin typeface="Cambria Math" panose="02040503050406030204" pitchFamily="18" charset="0"/>
                            <a:cs typeface="Sora" pitchFamily="2" charset="0"/>
                          </a:rPr>
                          <m:t>ltimos</m:t>
                        </m:r>
                        <m:r>
                          <a:rPr lang="pt-BR" sz="800">
                            <a:latin typeface="Cambria Math" panose="02040503050406030204" pitchFamily="18" charset="0"/>
                            <a:cs typeface="Sora" pitchFamily="2" charset="0"/>
                          </a:rPr>
                          <m:t> 2 </m:t>
                        </m:r>
                        <m:r>
                          <m:rPr>
                            <m:sty m:val="p"/>
                          </m:rPr>
                          <a:rPr lang="pt-BR" sz="800">
                            <a:latin typeface="Cambria Math" panose="02040503050406030204" pitchFamily="18" charset="0"/>
                            <a:cs typeface="Sora" pitchFamily="2" charset="0"/>
                          </a:rPr>
                          <m:t>trimestres</m:t>
                        </m: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ç</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comiss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õ</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Outras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num>
                      <m:den>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 + </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sty m:val="p"/>
                          </m:rPr>
                          <a:rPr lang="pt-BR" sz="800">
                            <a:latin typeface="Cambria Math" panose="02040503050406030204" pitchFamily="18" charset="0"/>
                          </a:rPr>
                          <m:t>Outras</m:t>
                        </m:r>
                        <m:r>
                          <a:rPr lang="pt-BR" sz="800">
                            <a:latin typeface="Cambria Math" panose="02040503050406030204" pitchFamily="18" charset="0"/>
                          </a:rPr>
                          <m:t> </m:t>
                        </m:r>
                        <m:r>
                          <m:rPr>
                            <m:sty m:val="p"/>
                          </m:rPr>
                          <a:rPr lang="pt-BR" sz="800">
                            <a:latin typeface="Cambria Math" panose="02040503050406030204" pitchFamily="18" charset="0"/>
                          </a:rPr>
                          <m:t>Receitas</m:t>
                        </m:r>
                      </m:den>
                    </m:f>
                    <m:r>
                      <a:rPr lang="pt-BR" sz="800" b="0" i="1">
                        <a:latin typeface="Cambria Math" panose="02040503050406030204" pitchFamily="18" charset="0"/>
                      </a:rPr>
                      <m:t> </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Choice>
      <mc:Fallback xmlns="">
        <xdr:sp macro="" textlink="">
          <xdr:nvSpPr>
            <xdr:cNvPr id="48" name="Retângulo 9">
              <a:extLst>
                <a:ext uri="{FF2B5EF4-FFF2-40B4-BE49-F238E27FC236}">
                  <a16:creationId xmlns:a16="http://schemas.microsoft.com/office/drawing/2014/main" id="{5B278FE1-A57E-AFEA-C21F-490D8D7CDCD1}"/>
                </a:ext>
              </a:extLst>
            </xdr:cNvPr>
            <xdr:cNvSpPr/>
          </xdr:nvSpPr>
          <xdr:spPr>
            <a:xfrm>
              <a:off x="6761358" y="15053015"/>
              <a:ext cx="5774108" cy="6106223"/>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Resultado de perdas por redução ao valor recuperável de ativos financeiros × 4</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empréstimos e adiantamento a clientes dos últimos 2 trimestres </a:t>
              </a:r>
              <a:r>
                <a:rPr lang="en-US" sz="800" i="0">
                  <a:latin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antecipação de recebíveis de cartão de crédito:</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Resultado de perdas por redução ao valor recuperável de ativos financeiros × 4</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empréstimos e adiantamento a clientes dos últimos 2 trimestres excluindoantecipação de recebíveis de cartão de crédito</a:t>
              </a:r>
              <a:r>
                <a:rPr lang="en-US" sz="800" i="0">
                  <a:latin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cartão de crédito:</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Resultado de perdas por redução ao valor recuperável de ativos financeiros × 4</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empréstimos e adiantamento a clientes dos últimos 2 trimestres excluindo cartão de crédito</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funding:</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b="0" i="0">
                  <a:latin typeface="Cambria Math" panose="02040503050406030204" pitchFamily="18" charset="0"/>
                  <a:cs typeface="Sora" pitchFamily="2" charset="0"/>
                </a:rPr>
                <a:t>Despesas de juros × 4</a:t>
              </a:r>
              <a:r>
                <a:rPr lang="en-US" sz="800" b="0" i="0">
                  <a:latin typeface="Cambria Math" panose="02040503050406030204" pitchFamily="18" charset="0"/>
                  <a:cs typeface="Sora" pitchFamily="2" charset="0"/>
                </a:rPr>
                <a:t>)/</a:t>
              </a:r>
              <a:r>
                <a:rPr lang="pt-BR" sz="800" b="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dos passivos remunerados dos últimos 2 trimestres (depósitos à vista, depósitos a prazo,poupança, @credores por recursos a liberar,títulos emitidos, obrigações com redes de cartão de crédito,@obrigações por operações compromissadas, depósitos interfinanceiros e outros))</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servir (CTS):</a:t>
              </a:r>
            </a:p>
            <a:p>
              <a:pPr algn="ctr"/>
              <a:endParaRPr lang="en-US" sz="800">
                <a:solidFill>
                  <a:schemeClr val="tx1">
                    <a:lumMod val="85000"/>
                    <a:lumOff val="15000"/>
                  </a:schemeClr>
                </a:solidFill>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a:t>
              </a:r>
              <a:r>
                <a:rPr lang="en-US" sz="800" i="0">
                  <a:solidFill>
                    <a:schemeClr val="tx1">
                      <a:lumMod val="85000"/>
                      <a:lumOff val="15000"/>
                    </a:schemeClr>
                  </a:solidFill>
                  <a:latin typeface="Cambria Math" panose="02040503050406030204" pitchFamily="18" charset="0"/>
                  <a:cs typeface="Sora" pitchFamily="2" charset="0"/>
                </a:rPr>
                <a:t>Despesas de pessoal+</a:t>
              </a:r>
              <a:r>
                <a:rPr lang="pt-BR" sz="800" b="0" i="0">
                  <a:solidFill>
                    <a:schemeClr val="tx1">
                      <a:lumMod val="85000"/>
                      <a:lumOff val="15000"/>
                    </a:schemeClr>
                  </a:solidFill>
                  <a:latin typeface="Cambria Math" panose="02040503050406030204" pitchFamily="18" charset="0"/>
                  <a:cs typeface="Sora" pitchFamily="2" charset="0"/>
                </a:rPr>
                <a:t>D</a:t>
              </a:r>
              <a:r>
                <a:rPr lang="en-US" sz="800" i="0">
                  <a:solidFill>
                    <a:schemeClr val="tx1">
                      <a:lumMod val="85000"/>
                      <a:lumOff val="15000"/>
                    </a:schemeClr>
                  </a:solidFill>
                  <a:latin typeface="Cambria Math" panose="02040503050406030204" pitchFamily="18" charset="0"/>
                  <a:cs typeface="Sora" pitchFamily="2" charset="0"/>
                </a:rPr>
                <a:t>espesas administrativas</a:t>
              </a:r>
              <a:r>
                <a:rPr lang="pt-BR" sz="800" i="0">
                  <a:solidFill>
                    <a:schemeClr val="tx1">
                      <a:lumMod val="85000"/>
                      <a:lumOff val="15000"/>
                    </a:schemeClr>
                  </a:solidFill>
                  <a:latin typeface="Cambria Math" panose="02040503050406030204" pitchFamily="18" charset="0"/>
                  <a:cs typeface="Sora" pitchFamily="2" charset="0"/>
                </a:rPr>
                <a:t> −</a:t>
              </a:r>
              <a:r>
                <a:rPr lang="en-US" sz="800" i="0">
                  <a:solidFill>
                    <a:schemeClr val="tx1">
                      <a:lumMod val="85000"/>
                      <a:lumOff val="15000"/>
                    </a:schemeClr>
                  </a:solidFill>
                  <a:latin typeface="Cambria Math" panose="02040503050406030204" pitchFamily="18" charset="0"/>
                  <a:cs typeface="Sora" pitchFamily="2" charset="0"/>
                </a:rPr>
                <a:t>CAC Total )÷</a:t>
              </a:r>
              <a:r>
                <a:rPr lang="pt-BR" sz="800" i="0">
                  <a:solidFill>
                    <a:schemeClr val="tx1">
                      <a:lumMod val="85000"/>
                      <a:lumOff val="15000"/>
                    </a:schemeClr>
                  </a:solidFill>
                  <a:latin typeface="Cambria Math" panose="02040503050406030204" pitchFamily="18" charset="0"/>
                  <a:cs typeface="Sora" pitchFamily="2" charset="0"/>
                </a:rPr>
                <a:t>3))/(</a:t>
              </a:r>
              <a:r>
                <a:rPr lang="pt-BR" sz="800" i="0">
                  <a:latin typeface="Cambria Math" panose="02040503050406030204" pitchFamily="18" charset="0"/>
                  <a:cs typeface="Sora" pitchFamily="2" charset="0"/>
                </a:rPr>
                <a:t>Média de clientes ativos dos últimos 2 trimestres)</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Receita de servi</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ç</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os e comiss</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õ</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es+Outras receitas)/(</a:t>
              </a:r>
              <a:r>
                <a:rPr lang="pt-BR" sz="800" i="0">
                  <a:latin typeface="Cambria Math" panose="02040503050406030204" pitchFamily="18" charset="0"/>
                </a:rPr>
                <a:t>Resultado líquido de juros + Resultado líquido de serviços e comissões+Outras Receitas)</a:t>
              </a:r>
              <a:r>
                <a:rPr lang="pt-BR" sz="800" b="0" i="0">
                  <a:latin typeface="Cambria Math" panose="02040503050406030204" pitchFamily="18" charset="0"/>
                </a:rPr>
                <a:t>  </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Fallback>
    </mc:AlternateContent>
    <xdr:clientData/>
  </xdr:twoCellAnchor>
  <xdr:twoCellAnchor>
    <xdr:from>
      <xdr:col>8</xdr:col>
      <xdr:colOff>122382</xdr:colOff>
      <xdr:row>113</xdr:row>
      <xdr:rowOff>127386</xdr:rowOff>
    </xdr:from>
    <xdr:to>
      <xdr:col>15</xdr:col>
      <xdr:colOff>97409</xdr:colOff>
      <xdr:row>143</xdr:row>
      <xdr:rowOff>181212</xdr:rowOff>
    </xdr:to>
    <mc:AlternateContent xmlns:mc="http://schemas.openxmlformats.org/markup-compatibility/2006" xmlns:a14="http://schemas.microsoft.com/office/drawing/2010/main">
      <mc:Choice Requires="a14">
        <xdr:sp macro="" textlink="">
          <xdr:nvSpPr>
            <xdr:cNvPr id="49" name="Retângulo 9">
              <a:extLst>
                <a:ext uri="{FF2B5EF4-FFF2-40B4-BE49-F238E27FC236}">
                  <a16:creationId xmlns:a16="http://schemas.microsoft.com/office/drawing/2014/main" id="{00000000-0008-0000-1600-000031000000}"/>
                </a:ext>
              </a:extLst>
            </xdr:cNvPr>
            <xdr:cNvSpPr/>
          </xdr:nvSpPr>
          <xdr:spPr>
            <a:xfrm>
              <a:off x="6748469" y="20925937"/>
              <a:ext cx="5772853" cy="557556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Formação de estágio 3:</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est</m:t>
                        </m:r>
                        <m:r>
                          <a:rPr lang="pt-BR" sz="800">
                            <a:latin typeface="Cambria Math" panose="02040503050406030204" pitchFamily="18" charset="0"/>
                          </a:rPr>
                          <m:t>á</m:t>
                        </m:r>
                        <m:r>
                          <m:rPr>
                            <m:sty m:val="p"/>
                          </m:rPr>
                          <a:rPr lang="pt-BR" sz="800">
                            <a:latin typeface="Cambria Math" panose="02040503050406030204" pitchFamily="18" charset="0"/>
                          </a:rPr>
                          <m:t>gio</m:t>
                        </m:r>
                        <m:r>
                          <a:rPr lang="pt-BR" sz="800">
                            <a:latin typeface="Cambria Math" panose="02040503050406030204" pitchFamily="18" charset="0"/>
                          </a:rPr>
                          <m:t> 3 </m:t>
                        </m:r>
                        <m:r>
                          <m:rPr>
                            <m:sty m:val="p"/>
                          </m:rPr>
                          <a:rPr lang="pt-BR" sz="800">
                            <a:latin typeface="Cambria Math" panose="02040503050406030204" pitchFamily="18" charset="0"/>
                          </a:rPr>
                          <m:t>do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r>
                          <a:rPr lang="pt-BR" sz="800">
                            <a:latin typeface="Cambria Math" panose="02040503050406030204" pitchFamily="18" charset="0"/>
                          </a:rPr>
                          <m:t> –</m:t>
                        </m:r>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est</m:t>
                        </m:r>
                        <m:r>
                          <a:rPr lang="pt-BR" sz="800">
                            <a:latin typeface="Cambria Math" panose="02040503050406030204" pitchFamily="18" charset="0"/>
                          </a:rPr>
                          <m:t>á</m:t>
                        </m:r>
                        <m:r>
                          <m:rPr>
                            <m:sty m:val="p"/>
                          </m:rPr>
                          <a:rPr lang="pt-BR" sz="800">
                            <a:latin typeface="Cambria Math" panose="02040503050406030204" pitchFamily="18" charset="0"/>
                          </a:rPr>
                          <m:t>gio</m:t>
                        </m:r>
                        <m:r>
                          <a:rPr lang="pt-BR" sz="800">
                            <a:latin typeface="Cambria Math" panose="02040503050406030204" pitchFamily="18" charset="0"/>
                          </a:rPr>
                          <m:t> 3 </m:t>
                        </m:r>
                        <m:r>
                          <m:rPr>
                            <m:sty m:val="p"/>
                          </m:rPr>
                          <a:rPr lang="pt-BR" sz="800">
                            <a:latin typeface="Cambria Math" panose="02040503050406030204" pitchFamily="18" charset="0"/>
                          </a:rPr>
                          <m:t>do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anterior</m:t>
                        </m:r>
                        <m:r>
                          <a:rPr lang="pt-BR" sz="800">
                            <a:latin typeface="Cambria Math" panose="02040503050406030204" pitchFamily="18" charset="0"/>
                          </a:rPr>
                          <m:t> +</m:t>
                        </m:r>
                        <m:r>
                          <m:rPr>
                            <m:sty m:val="p"/>
                          </m:rPr>
                          <a:rPr lang="pt-BR" sz="800">
                            <a:latin typeface="Cambria Math" panose="02040503050406030204" pitchFamily="18" charset="0"/>
                          </a:rPr>
                          <m:t>Migra</m:t>
                        </m:r>
                        <m:r>
                          <a:rPr lang="pt-BR" sz="800">
                            <a:latin typeface="Cambria Math" panose="02040503050406030204" pitchFamily="18" charset="0"/>
                          </a:rPr>
                          <m:t>çã</m:t>
                        </m:r>
                        <m:r>
                          <m:rPr>
                            <m:sty m:val="p"/>
                          </m:rPr>
                          <a:rPr lang="pt-BR" sz="800">
                            <a:latin typeface="Cambria Math" panose="02040503050406030204" pitchFamily="18" charset="0"/>
                          </a:rPr>
                          <m:t>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write</m:t>
                        </m:r>
                        <m:r>
                          <a:rPr lang="pt-BR" sz="800">
                            <a:latin typeface="Cambria Math" panose="02040503050406030204" pitchFamily="18" charset="0"/>
                          </a:rPr>
                          <m:t>−</m:t>
                        </m:r>
                        <m:r>
                          <m:rPr>
                            <m:sty m:val="p"/>
                          </m:rPr>
                          <a:rPr lang="pt-BR" sz="800">
                            <a:latin typeface="Cambria Math" panose="02040503050406030204" pitchFamily="18" charset="0"/>
                          </a:rPr>
                          <m:t>off</m:t>
                        </m:r>
                        <m:r>
                          <a:rPr lang="pt-BR" sz="800">
                            <a:latin typeface="Cambria Math" panose="02040503050406030204" pitchFamily="18" charset="0"/>
                          </a:rPr>
                          <m:t> </m:t>
                        </m:r>
                        <m:r>
                          <m:rPr>
                            <m:sty m:val="p"/>
                          </m:rPr>
                          <a:rPr lang="pt-BR" sz="800">
                            <a:latin typeface="Cambria Math" panose="02040503050406030204" pitchFamily="18" charset="0"/>
                          </a:rPr>
                          <m:t>no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num>
                      <m:den>
                        <m:r>
                          <m:rPr>
                            <m:sty m:val="p"/>
                          </m:rPr>
                          <a:rPr lang="en-US" sz="800" i="0">
                            <a:latin typeface="Cambria Math" panose="02040503050406030204" pitchFamily="18" charset="0"/>
                            <a:cs typeface="Sora" pitchFamily="2" charset="0"/>
                          </a:rPr>
                          <m:t>Empr</m:t>
                        </m:r>
                        <m:r>
                          <a:rPr lang="en-US" sz="800" i="0">
                            <a:latin typeface="Cambria Math" panose="02040503050406030204" pitchFamily="18" charset="0"/>
                            <a:cs typeface="Sora" pitchFamily="2" charset="0"/>
                          </a:rPr>
                          <m:t>é</m:t>
                        </m:r>
                        <m:r>
                          <m:rPr>
                            <m:sty m:val="p"/>
                          </m:rPr>
                          <a:rPr lang="en-US" sz="800" i="0">
                            <a:latin typeface="Cambria Math" panose="02040503050406030204" pitchFamily="18" charset="0"/>
                            <a:cs typeface="Sora" pitchFamily="2" charset="0"/>
                          </a:rPr>
                          <m:t>stimos</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adiantamentos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totais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anterior</m:t>
                        </m:r>
                      </m:den>
                    </m:f>
                    <m:r>
                      <a:rPr lang="pt-BR" sz="800" b="0" i="1">
                        <a:latin typeface="Cambria Math" panose="02040503050406030204" pitchFamily="18" charset="0"/>
                        <a:cs typeface="Sora" pitchFamily="2" charset="0"/>
                      </a:rPr>
                      <m:t> </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Formação de NPL:</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vencido</m:t>
                            </m:r>
                            <m:r>
                              <a:rPr lang="pt-BR" sz="800">
                                <a:latin typeface="Cambria Math" panose="02040503050406030204" pitchFamily="18" charset="0"/>
                              </a:rPr>
                              <m:t> </m:t>
                            </m:r>
                            <m:r>
                              <m:rPr>
                                <m:sty m:val="p"/>
                              </m:rPr>
                              <a:rPr lang="pt-BR" sz="800">
                                <a:latin typeface="Cambria Math" panose="02040503050406030204" pitchFamily="18" charset="0"/>
                              </a:rPr>
                              <m:t>h</m:t>
                            </m:r>
                            <m:r>
                              <a:rPr lang="pt-BR" sz="800">
                                <a:latin typeface="Cambria Math" panose="02040503050406030204" pitchFamily="18" charset="0"/>
                              </a:rPr>
                              <m:t>á </m:t>
                            </m:r>
                            <m:r>
                              <m:rPr>
                                <m:sty m:val="p"/>
                              </m:rPr>
                              <a:rPr lang="pt-BR" sz="800">
                                <a:latin typeface="Cambria Math" panose="02040503050406030204" pitchFamily="18" charset="0"/>
                              </a:rPr>
                              <m:t>mais</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90 </m:t>
                            </m:r>
                            <m:r>
                              <m:rPr>
                                <m:sty m:val="p"/>
                              </m:rPr>
                              <a:rPr lang="pt-BR" sz="800">
                                <a:latin typeface="Cambria Math" panose="02040503050406030204" pitchFamily="18" charset="0"/>
                              </a:rPr>
                              <m:t>dias</m:t>
                            </m:r>
                            <m:r>
                              <a:rPr lang="pt-BR" sz="800">
                                <a:latin typeface="Cambria Math" panose="02040503050406030204" pitchFamily="18" charset="0"/>
                              </a:rPr>
                              <m:t> </m:t>
                            </m:r>
                            <m:r>
                              <m:rPr>
                                <m:sty m:val="p"/>
                              </m:rPr>
                              <a:rPr lang="pt-BR" sz="800">
                                <a:latin typeface="Cambria Math" panose="02040503050406030204" pitchFamily="18" charset="0"/>
                              </a:rPr>
                              <m:t>do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r>
                              <a:rPr lang="pt-BR" sz="800">
                                <a:latin typeface="Cambria Math" panose="02040503050406030204" pitchFamily="18" charset="0"/>
                              </a:rPr>
                              <m:t> –</m:t>
                            </m:r>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vencido</m:t>
                            </m:r>
                            <m:r>
                              <a:rPr lang="pt-BR" sz="800">
                                <a:latin typeface="Cambria Math" panose="02040503050406030204" pitchFamily="18" charset="0"/>
                              </a:rPr>
                              <m:t> </m:t>
                            </m:r>
                            <m:r>
                              <m:rPr>
                                <m:sty m:val="p"/>
                              </m:rPr>
                              <a:rPr lang="pt-BR" sz="800">
                                <a:latin typeface="Cambria Math" panose="02040503050406030204" pitchFamily="18" charset="0"/>
                              </a:rPr>
                              <m:t>h</m:t>
                            </m:r>
                            <m:r>
                              <a:rPr lang="pt-BR" sz="800">
                                <a:latin typeface="Cambria Math" panose="02040503050406030204" pitchFamily="18" charset="0"/>
                              </a:rPr>
                              <m:t>á </m:t>
                            </m:r>
                            <m:r>
                              <m:rPr>
                                <m:sty m:val="p"/>
                              </m:rPr>
                              <a:rPr lang="pt-BR" sz="800">
                                <a:latin typeface="Cambria Math" panose="02040503050406030204" pitchFamily="18" charset="0"/>
                              </a:rPr>
                              <m:t>mais</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90 </m:t>
                            </m:r>
                            <m:r>
                              <m:rPr>
                                <m:sty m:val="p"/>
                              </m:rPr>
                              <a:rPr lang="pt-BR" sz="800">
                                <a:latin typeface="Cambria Math" panose="02040503050406030204" pitchFamily="18" charset="0"/>
                              </a:rPr>
                              <m:t>dias</m:t>
                            </m:r>
                            <m:r>
                              <a:rPr lang="pt-BR" sz="800">
                                <a:latin typeface="Cambria Math" panose="02040503050406030204" pitchFamily="18" charset="0"/>
                              </a:rPr>
                              <m:t> </m:t>
                            </m:r>
                            <m:r>
                              <m:rPr>
                                <m:sty m:val="p"/>
                              </m:rPr>
                              <a:rPr lang="pt-BR" sz="800">
                                <a:latin typeface="Cambria Math" panose="02040503050406030204" pitchFamily="18" charset="0"/>
                              </a:rPr>
                              <m:t>do</m:t>
                            </m:r>
                            <m:r>
                              <a:rPr lang="pt-BR" sz="800" b="0" i="0">
                                <a:latin typeface="Cambria Math" panose="02040503050406030204" pitchFamily="18" charset="0"/>
                              </a:rPr>
                              <m:t> </m:t>
                            </m:r>
                            <m:r>
                              <m:rPr>
                                <m:sty m:val="p"/>
                              </m:rPr>
                              <a:rPr lang="pt-BR" sz="800">
                                <a:latin typeface="Cambria Math" panose="02040503050406030204" pitchFamily="18" charset="0"/>
                              </a:rPr>
                              <m:t>trimestreanterior</m:t>
                            </m:r>
                            <m:r>
                              <a:rPr lang="pt-BR" sz="800">
                                <a:latin typeface="Cambria Math" panose="02040503050406030204" pitchFamily="18" charset="0"/>
                              </a:rPr>
                              <m:t> +</m:t>
                            </m:r>
                            <m:r>
                              <m:rPr>
                                <m:sty m:val="p"/>
                              </m:rPr>
                              <a:rPr lang="pt-BR" sz="800">
                                <a:latin typeface="Cambria Math" panose="02040503050406030204" pitchFamily="18" charset="0"/>
                              </a:rPr>
                              <m:t>Migra</m:t>
                            </m:r>
                            <m:r>
                              <a:rPr lang="pt-BR" sz="800">
                                <a:latin typeface="Cambria Math" panose="02040503050406030204" pitchFamily="18" charset="0"/>
                              </a:rPr>
                              <m:t>çã</m:t>
                            </m:r>
                            <m:r>
                              <m:rPr>
                                <m:sty m:val="p"/>
                              </m:rPr>
                              <a:rPr lang="pt-BR" sz="800">
                                <a:latin typeface="Cambria Math" panose="02040503050406030204" pitchFamily="18" charset="0"/>
                              </a:rPr>
                              <m:t>o</m:t>
                            </m:r>
                            <m:r>
                              <a:rPr lang="pt-BR" sz="800">
                                <a:latin typeface="Cambria Math" panose="02040503050406030204" pitchFamily="18" charset="0"/>
                              </a:rPr>
                              <m:t> </m:t>
                            </m:r>
                            <m:r>
                              <m:rPr>
                                <m:sty m:val="p"/>
                              </m:rPr>
                              <a:rPr lang="pt-BR" sz="800">
                                <a:latin typeface="Cambria Math" panose="02040503050406030204" pitchFamily="18" charset="0"/>
                              </a:rPr>
                              <m:t>de</m:t>
                            </m:r>
                          </m:e>
                          <m:e>
                            <m:r>
                              <a:rPr lang="pt-BR" sz="800" b="0" i="0">
                                <a:latin typeface="Cambria Math" panose="02040503050406030204" pitchFamily="18" charset="0"/>
                              </a:rPr>
                              <m:t> </m:t>
                            </m:r>
                            <m:r>
                              <m:rPr>
                                <m:sty m:val="p"/>
                              </m:rPr>
                              <a:rPr lang="pt-BR" sz="800">
                                <a:latin typeface="Cambria Math" panose="02040503050406030204" pitchFamily="18" charset="0"/>
                              </a:rPr>
                              <m:t>write</m:t>
                            </m:r>
                            <m:r>
                              <a:rPr lang="pt-BR" sz="800">
                                <a:latin typeface="Cambria Math" panose="02040503050406030204" pitchFamily="18" charset="0"/>
                              </a:rPr>
                              <m:t>−</m:t>
                            </m:r>
                            <m:r>
                              <m:rPr>
                                <m:sty m:val="p"/>
                              </m:rPr>
                              <a:rPr lang="pt-BR" sz="800">
                                <a:latin typeface="Cambria Math" panose="02040503050406030204" pitchFamily="18" charset="0"/>
                              </a:rPr>
                              <m:t>off</m:t>
                            </m:r>
                            <m:r>
                              <a:rPr lang="pt-BR" sz="800">
                                <a:latin typeface="Cambria Math" panose="02040503050406030204" pitchFamily="18" charset="0"/>
                              </a:rPr>
                              <m:t> </m:t>
                            </m:r>
                            <m:r>
                              <m:rPr>
                                <m:sty m:val="p"/>
                              </m:rPr>
                              <a:rPr lang="pt-BR" sz="800">
                                <a:latin typeface="Cambria Math" panose="02040503050406030204" pitchFamily="18" charset="0"/>
                              </a:rPr>
                              <m:t>no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r>
                              <m:rPr>
                                <m:nor/>
                              </m:rPr>
                              <a:rPr lang="pt-BR" sz="800">
                                <a:latin typeface="Calibri" panose="020F0502020204030204" pitchFamily="34" charset="0"/>
                                <a:cs typeface="Calibri" panose="020F0502020204030204" pitchFamily="34" charset="0"/>
                              </a:rPr>
                              <m:t> </m:t>
                            </m:r>
                          </m:e>
                        </m:eqArr>
                      </m:num>
                      <m:den>
                        <m:r>
                          <m:rPr>
                            <m:sty m:val="p"/>
                          </m:rPr>
                          <a:rPr lang="en-US" sz="800" i="0">
                            <a:latin typeface="Cambria Math" panose="02040503050406030204" pitchFamily="18" charset="0"/>
                            <a:cs typeface="Sora" pitchFamily="2" charset="0"/>
                          </a:rPr>
                          <m:t>Empr</m:t>
                        </m:r>
                        <m:r>
                          <a:rPr lang="en-US" sz="800" i="0">
                            <a:latin typeface="Cambria Math" panose="02040503050406030204" pitchFamily="18" charset="0"/>
                            <a:cs typeface="Sora" pitchFamily="2" charset="0"/>
                          </a:rPr>
                          <m:t>é</m:t>
                        </m:r>
                        <m:r>
                          <m:rPr>
                            <m:sty m:val="p"/>
                          </m:rPr>
                          <a:rPr lang="en-US" sz="800" i="0">
                            <a:latin typeface="Cambria Math" panose="02040503050406030204" pitchFamily="18" charset="0"/>
                            <a:cs typeface="Sora" pitchFamily="2" charset="0"/>
                          </a:rPr>
                          <m:t>stimos</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adiantamentos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totais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anterior</m:t>
                        </m:r>
                      </m:den>
                    </m:f>
                    <m:r>
                      <a:rPr lang="pt-BR" sz="800" i="1">
                        <a:latin typeface="Cambria Math" panose="02040503050406030204" pitchFamily="18" charset="0"/>
                      </a:rPr>
                      <m:t> </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à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vista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prazo</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tulos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emitidos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credores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por</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recursos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liberar</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Patrim</m:t>
                        </m:r>
                        <m:r>
                          <a:rPr lang="pt-BR" sz="800" i="0">
                            <a:latin typeface="Cambria Math" panose="02040503050406030204" pitchFamily="18" charset="0"/>
                          </a:rPr>
                          <m:t>ô</m:t>
                        </m:r>
                        <m:r>
                          <m:rPr>
                            <m:sty m:val="p"/>
                          </m:rPr>
                          <a:rPr lang="pt-BR" sz="800" b="0" i="0">
                            <a:latin typeface="Cambria Math" panose="02040503050406030204" pitchFamily="18" charset="0"/>
                          </a:rPr>
                          <m:t>nio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refer</m:t>
                        </m:r>
                        <m:r>
                          <a:rPr lang="pt-BR" sz="800" i="0">
                            <a:latin typeface="Cambria Math" panose="02040503050406030204" pitchFamily="18" charset="0"/>
                          </a:rPr>
                          <m:t>ê</m:t>
                        </m:r>
                        <m:r>
                          <m:rPr>
                            <m:sty m:val="p"/>
                          </m:rPr>
                          <a:rPr lang="pt-BR" sz="800" b="0" i="0">
                            <a:latin typeface="Cambria Math" panose="02040503050406030204" pitchFamily="18" charset="0"/>
                          </a:rPr>
                          <m:t>ncia</m:t>
                        </m:r>
                        <m:r>
                          <a:rPr lang="pt-BR" sz="800" b="0" i="0">
                            <a:latin typeface="Cambria Math" panose="02040503050406030204" pitchFamily="18" charset="0"/>
                          </a:rPr>
                          <m:t> </m:t>
                        </m:r>
                        <m:r>
                          <m:rPr>
                            <m:sty m:val="p"/>
                          </m:rPr>
                          <a:rPr lang="pt-BR" sz="800" b="0" i="0">
                            <a:latin typeface="Cambria Math" panose="02040503050406030204" pitchFamily="18" charset="0"/>
                          </a:rPr>
                          <m:t>n</m:t>
                        </m:r>
                        <m:r>
                          <a:rPr lang="pt-BR" sz="800" i="0">
                            <a:latin typeface="Cambria Math" panose="02040503050406030204" pitchFamily="18" charset="0"/>
                          </a:rPr>
                          <m:t>í</m:t>
                        </m:r>
                        <m:r>
                          <m:rPr>
                            <m:sty m:val="p"/>
                          </m:rPr>
                          <a:rPr lang="pt-BR" sz="800" b="0" i="0">
                            <a:latin typeface="Cambria Math" panose="02040503050406030204" pitchFamily="18" charset="0"/>
                          </a:rPr>
                          <m:t>vel</m:t>
                        </m:r>
                        <m:r>
                          <a:rPr lang="pt-BR" sz="800" b="0" i="0">
                            <a:latin typeface="Cambria Math" panose="02040503050406030204" pitchFamily="18" charset="0"/>
                          </a:rPr>
                          <m:t> </m:t>
                        </m:r>
                        <m:r>
                          <m:rPr>
                            <m:sty m:val="p"/>
                          </m:rPr>
                          <a:rPr lang="pt-BR" sz="800" b="0" i="0">
                            <a:latin typeface="Cambria Math" panose="02040503050406030204" pitchFamily="18" charset="0"/>
                          </a:rPr>
                          <m:t>I</m:t>
                        </m:r>
                      </m:num>
                      <m:den>
                        <m:r>
                          <m:rPr>
                            <m:sty m:val="p"/>
                          </m:rPr>
                          <a:rPr lang="pt-BR" sz="800" b="0" i="0">
                            <a:latin typeface="Cambria Math" panose="02040503050406030204" pitchFamily="18" charset="0"/>
                          </a:rPr>
                          <m:t>Ativos</m:t>
                        </m:r>
                        <m:r>
                          <a:rPr lang="pt-BR" sz="800" b="0" i="0">
                            <a:latin typeface="Cambria Math" panose="02040503050406030204" pitchFamily="18" charset="0"/>
                          </a:rPr>
                          <m:t> </m:t>
                        </m:r>
                        <m:r>
                          <m:rPr>
                            <m:sty m:val="p"/>
                          </m:rPr>
                          <a:rPr lang="pt-BR" sz="800" b="0" i="0">
                            <a:latin typeface="Cambria Math" panose="02040503050406030204" pitchFamily="18" charset="0"/>
                          </a:rPr>
                          <m:t>ponderados</m:t>
                        </m:r>
                        <m:r>
                          <a:rPr lang="pt-BR" sz="800" b="0" i="0">
                            <a:latin typeface="Cambria Math" panose="02040503050406030204" pitchFamily="18" charset="0"/>
                          </a:rPr>
                          <m:t> </m:t>
                        </m:r>
                        <m:r>
                          <m:rPr>
                            <m:sty m:val="p"/>
                          </m:rPr>
                          <a:rPr lang="pt-BR" sz="800" b="0" i="0">
                            <a:latin typeface="Cambria Math" panose="02040503050406030204" pitchFamily="18" charset="0"/>
                          </a:rPr>
                          <m:t>por</m:t>
                        </m:r>
                        <m:r>
                          <a:rPr lang="pt-BR" sz="800" b="0" i="0">
                            <a:latin typeface="Cambria Math" panose="02040503050406030204" pitchFamily="18" charset="0"/>
                          </a:rPr>
                          <m:t> </m:t>
                        </m:r>
                        <m:r>
                          <m:rPr>
                            <m:sty m:val="p"/>
                          </m:rPr>
                          <a:rPr lang="pt-BR" sz="800" b="0" i="0">
                            <a:latin typeface="Cambria Math" panose="02040503050406030204" pitchFamily="18" charset="0"/>
                          </a:rPr>
                          <m:t>risco</m:t>
                        </m:r>
                      </m:den>
                    </m:f>
                  </m:oMath>
                </m:oMathPara>
              </a14:m>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Provis</m:t>
                        </m:r>
                        <m:r>
                          <a:rPr lang="pt-BR" sz="800" i="0">
                            <a:latin typeface="Cambria Math" panose="02040503050406030204" pitchFamily="18" charset="0"/>
                          </a:rPr>
                          <m:t>ã</m:t>
                        </m:r>
                        <m:r>
                          <m:rPr>
                            <m:sty m:val="p"/>
                          </m:rPr>
                          <a:rPr lang="pt-BR" sz="800" b="0" i="0">
                            <a:latin typeface="Cambria Math" panose="02040503050406030204" pitchFamily="18" charset="0"/>
                          </a:rPr>
                          <m:t>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perdas</m:t>
                        </m:r>
                        <m:r>
                          <a:rPr lang="pt-BR" sz="800" b="0" i="0">
                            <a:latin typeface="Cambria Math" panose="02040503050406030204" pitchFamily="18" charset="0"/>
                          </a:rPr>
                          <m:t> </m:t>
                        </m:r>
                        <m:r>
                          <m:rPr>
                            <m:sty m:val="p"/>
                          </m:rPr>
                          <a:rPr lang="pt-BR" sz="800" b="0" i="0">
                            <a:latin typeface="Cambria Math" panose="02040503050406030204" pitchFamily="18" charset="0"/>
                          </a:rPr>
                          <m:t>esperadas</m:t>
                        </m:r>
                      </m:num>
                      <m:den>
                        <m:r>
                          <m:rPr>
                            <m:sty m:val="p"/>
                          </m:rPr>
                          <a:rPr lang="pt-BR" sz="800" i="0">
                            <a:latin typeface="Cambria Math" panose="02040503050406030204" pitchFamily="18" charset="0"/>
                          </a:rPr>
                          <m:t>NPL</m:t>
                        </m:r>
                        <m:r>
                          <a:rPr lang="pt-BR" sz="800" i="0">
                            <a:latin typeface="Cambria Math" panose="02040503050406030204" pitchFamily="18" charset="0"/>
                          </a:rPr>
                          <m:t>&gt; 90 </m:t>
                        </m:r>
                        <m:r>
                          <m:rPr>
                            <m:sty m:val="p"/>
                          </m:rPr>
                          <a:rPr lang="pt-BR" sz="800" i="0">
                            <a:latin typeface="Cambria Math" panose="02040503050406030204" pitchFamily="18" charset="0"/>
                          </a:rPr>
                          <m:t>dias</m:t>
                        </m:r>
                      </m:den>
                    </m:f>
                    <m:r>
                      <a:rPr lang="pt-BR" sz="800" i="1">
                        <a:latin typeface="Cambria Math" panose="02040503050406030204" pitchFamily="18" charset="0"/>
                      </a:rPr>
                      <m:t> </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à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vista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prazo</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tulos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emitidos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credores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por</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recursos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liberar</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Patrim</m:t>
                        </m:r>
                        <m:r>
                          <a:rPr lang="pt-BR" sz="800" i="0">
                            <a:latin typeface="Cambria Math" panose="02040503050406030204" pitchFamily="18" charset="0"/>
                          </a:rPr>
                          <m:t>ô</m:t>
                        </m:r>
                        <m:r>
                          <m:rPr>
                            <m:sty m:val="p"/>
                          </m:rPr>
                          <a:rPr lang="pt-BR" sz="800" b="0" i="0">
                            <a:latin typeface="Cambria Math" panose="02040503050406030204" pitchFamily="18" charset="0"/>
                          </a:rPr>
                          <m:t>nio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refer</m:t>
                        </m:r>
                        <m:r>
                          <a:rPr lang="pt-BR" sz="800" i="0">
                            <a:latin typeface="Cambria Math" panose="02040503050406030204" pitchFamily="18" charset="0"/>
                          </a:rPr>
                          <m:t>ê</m:t>
                        </m:r>
                        <m:r>
                          <m:rPr>
                            <m:sty m:val="p"/>
                          </m:rPr>
                          <a:rPr lang="pt-BR" sz="800" b="0" i="0">
                            <a:latin typeface="Cambria Math" panose="02040503050406030204" pitchFamily="18" charset="0"/>
                          </a:rPr>
                          <m:t>ncia</m:t>
                        </m:r>
                        <m:r>
                          <a:rPr lang="pt-BR" sz="800" b="0" i="0">
                            <a:latin typeface="Cambria Math" panose="02040503050406030204" pitchFamily="18" charset="0"/>
                          </a:rPr>
                          <m:t> </m:t>
                        </m:r>
                        <m:r>
                          <m:rPr>
                            <m:sty m:val="p"/>
                          </m:rPr>
                          <a:rPr lang="pt-BR" sz="800" b="0" i="0">
                            <a:latin typeface="Cambria Math" panose="02040503050406030204" pitchFamily="18" charset="0"/>
                          </a:rPr>
                          <m:t>n</m:t>
                        </m:r>
                        <m:r>
                          <a:rPr lang="pt-BR" sz="800" i="0">
                            <a:latin typeface="Cambria Math" panose="02040503050406030204" pitchFamily="18" charset="0"/>
                          </a:rPr>
                          <m:t>í</m:t>
                        </m:r>
                        <m:r>
                          <m:rPr>
                            <m:sty m:val="p"/>
                          </m:rPr>
                          <a:rPr lang="pt-BR" sz="800" b="0" i="0">
                            <a:latin typeface="Cambria Math" panose="02040503050406030204" pitchFamily="18" charset="0"/>
                          </a:rPr>
                          <m:t>vel</m:t>
                        </m:r>
                        <m:r>
                          <a:rPr lang="pt-BR" sz="800" b="0" i="0">
                            <a:latin typeface="Cambria Math" panose="02040503050406030204" pitchFamily="18" charset="0"/>
                          </a:rPr>
                          <m:t> </m:t>
                        </m:r>
                        <m:r>
                          <m:rPr>
                            <m:sty m:val="p"/>
                          </m:rPr>
                          <a:rPr lang="pt-BR" sz="800" b="0" i="0">
                            <a:latin typeface="Cambria Math" panose="02040503050406030204" pitchFamily="18" charset="0"/>
                          </a:rPr>
                          <m:t>I</m:t>
                        </m:r>
                      </m:num>
                      <m:den>
                        <m:r>
                          <m:rPr>
                            <m:sty m:val="p"/>
                          </m:rPr>
                          <a:rPr lang="pt-BR" sz="800" b="0" i="0">
                            <a:latin typeface="Cambria Math" panose="02040503050406030204" pitchFamily="18" charset="0"/>
                          </a:rPr>
                          <m:t>Ativos</m:t>
                        </m:r>
                        <m:r>
                          <a:rPr lang="pt-BR" sz="800" b="0" i="0">
                            <a:latin typeface="Cambria Math" panose="02040503050406030204" pitchFamily="18" charset="0"/>
                          </a:rPr>
                          <m:t> </m:t>
                        </m:r>
                        <m:r>
                          <m:rPr>
                            <m:sty m:val="p"/>
                          </m:rPr>
                          <a:rPr lang="pt-BR" sz="800" b="0" i="0">
                            <a:latin typeface="Cambria Math" panose="02040503050406030204" pitchFamily="18" charset="0"/>
                          </a:rPr>
                          <m:t>ponderados</m:t>
                        </m:r>
                        <m:r>
                          <a:rPr lang="pt-BR" sz="800" b="0" i="0">
                            <a:latin typeface="Cambria Math" panose="02040503050406030204" pitchFamily="18" charset="0"/>
                          </a:rPr>
                          <m:t> </m:t>
                        </m:r>
                        <m:r>
                          <m:rPr>
                            <m:sty m:val="p"/>
                          </m:rPr>
                          <a:rPr lang="pt-BR" sz="800" b="0" i="0">
                            <a:latin typeface="Cambria Math" panose="02040503050406030204" pitchFamily="18" charset="0"/>
                          </a:rPr>
                          <m:t>por</m:t>
                        </m:r>
                        <m:r>
                          <a:rPr lang="pt-BR" sz="800" b="0" i="0">
                            <a:latin typeface="Cambria Math" panose="02040503050406030204" pitchFamily="18" charset="0"/>
                          </a:rPr>
                          <m:t> </m:t>
                        </m:r>
                        <m:r>
                          <m:rPr>
                            <m:sty m:val="p"/>
                          </m:rPr>
                          <a:rPr lang="pt-BR" sz="800" b="0" i="0">
                            <a:latin typeface="Cambria Math" panose="02040503050406030204" pitchFamily="18" charset="0"/>
                          </a:rPr>
                          <m:t>risco</m:t>
                        </m:r>
                      </m:den>
                    </m:f>
                  </m:oMath>
                </m:oMathPara>
              </a14:m>
              <a:endParaRPr lang="pt-BR" sz="800">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Choice>
      <mc:Fallback xmlns="">
        <xdr:sp macro="" textlink="">
          <xdr:nvSpPr>
            <xdr:cNvPr id="49" name="Retângulo 9">
              <a:extLst>
                <a:ext uri="{FF2B5EF4-FFF2-40B4-BE49-F238E27FC236}">
                  <a16:creationId xmlns:a16="http://schemas.microsoft.com/office/drawing/2014/main" id="{D2ED4C4B-0394-2855-8577-585CCB8A4BBD}"/>
                </a:ext>
              </a:extLst>
            </xdr:cNvPr>
            <xdr:cNvSpPr/>
          </xdr:nvSpPr>
          <xdr:spPr>
            <a:xfrm>
              <a:off x="6748469" y="20925937"/>
              <a:ext cx="5772853" cy="557556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Formação de estágio 3:</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(Saldo de estágio 3 do trimestre atual –Saldo de estágio 3 do trimestre anterior +Migração de write−off no trimestre atual)/(</a:t>
              </a:r>
              <a:r>
                <a:rPr lang="en-US" sz="800" i="0">
                  <a:latin typeface="Cambria Math" panose="02040503050406030204" pitchFamily="18" charset="0"/>
                  <a:cs typeface="Sora" pitchFamily="2" charset="0"/>
                </a:rPr>
                <a:t>Empréstimos e</a:t>
              </a:r>
              <a:r>
                <a:rPr lang="pt-BR" sz="800" i="0">
                  <a:latin typeface="Cambria Math" panose="02040503050406030204" pitchFamily="18" charset="0"/>
                  <a:cs typeface="Sora" pitchFamily="2" charset="0"/>
                </a:rPr>
                <a:t> adiantamentos a clientes</a:t>
              </a:r>
              <a:r>
                <a:rPr lang="pt-BR" sz="800" b="0" i="0">
                  <a:latin typeface="Cambria Math" panose="02040503050406030204" pitchFamily="18" charset="0"/>
                  <a:cs typeface="Sora" pitchFamily="2" charset="0"/>
                </a:rPr>
                <a:t> totais do trimestre anterior)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Formação de NPL:</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█(Saldo vencido há mais de 90 dias do trimestre atual –Saldo vencido há mais de 90 dias do</a:t>
              </a:r>
              <a:r>
                <a:rPr lang="pt-BR" sz="800" b="0" i="0">
                  <a:latin typeface="Cambria Math" panose="02040503050406030204" pitchFamily="18" charset="0"/>
                </a:rPr>
                <a:t> </a:t>
              </a:r>
              <a:r>
                <a:rPr lang="pt-BR" sz="800" i="0">
                  <a:latin typeface="Cambria Math" panose="02040503050406030204" pitchFamily="18" charset="0"/>
                </a:rPr>
                <a:t>trimestreanterior +Migração de@</a:t>
              </a:r>
              <a:r>
                <a:rPr lang="pt-BR" sz="800" b="0" i="0">
                  <a:latin typeface="Cambria Math" panose="02040503050406030204" pitchFamily="18" charset="0"/>
                </a:rPr>
                <a:t> </a:t>
              </a:r>
              <a:r>
                <a:rPr lang="pt-BR" sz="800" i="0">
                  <a:latin typeface="Cambria Math" panose="02040503050406030204" pitchFamily="18" charset="0"/>
                </a:rPr>
                <a:t>write−off no trimestre atual"</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Empréstimos e</a:t>
              </a:r>
              <a:r>
                <a:rPr lang="pt-BR" sz="800" i="0">
                  <a:latin typeface="Cambria Math" panose="02040503050406030204" pitchFamily="18" charset="0"/>
                  <a:cs typeface="Sora" pitchFamily="2" charset="0"/>
                </a:rPr>
                <a:t> adiantamentos a clientes</a:t>
              </a:r>
              <a:r>
                <a:rPr lang="pt-BR" sz="800" b="0" i="0">
                  <a:latin typeface="Cambria Math" panose="02040503050406030204" pitchFamily="18" charset="0"/>
                  <a:cs typeface="Sora" pitchFamily="2" charset="0"/>
                </a:rPr>
                <a:t> totais do trimestre anterior) </a:t>
              </a:r>
              <a:r>
                <a:rPr lang="pt-BR" sz="800" i="0">
                  <a:latin typeface="Cambria Math" panose="02040503050406030204" pitchFamily="18" charset="0"/>
                </a:rPr>
                <a:t> </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D</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à vista+dep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a prazo+t</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í</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tulos emitidos+credores por recursos a liberar</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a:t>
              </a:r>
              <a:r>
                <a:rPr lang="pt-BR" sz="800" b="0" i="0">
                  <a:latin typeface="Cambria Math" panose="02040503050406030204" pitchFamily="18" charset="0"/>
                </a:rPr>
                <a:t>Patrim</a:t>
              </a:r>
              <a:r>
                <a:rPr lang="pt-BR" sz="800" i="0">
                  <a:latin typeface="Cambria Math" panose="02040503050406030204" pitchFamily="18" charset="0"/>
                </a:rPr>
                <a:t>ô</a:t>
              </a:r>
              <a:r>
                <a:rPr lang="pt-BR" sz="800" b="0" i="0">
                  <a:latin typeface="Cambria Math" panose="02040503050406030204" pitchFamily="18" charset="0"/>
                </a:rPr>
                <a:t>nio de refer</a:t>
              </a:r>
              <a:r>
                <a:rPr lang="pt-BR" sz="800" i="0">
                  <a:latin typeface="Cambria Math" panose="02040503050406030204" pitchFamily="18" charset="0"/>
                </a:rPr>
                <a:t>ê</a:t>
              </a:r>
              <a:r>
                <a:rPr lang="pt-BR" sz="800" b="0" i="0">
                  <a:latin typeface="Cambria Math" panose="02040503050406030204" pitchFamily="18" charset="0"/>
                </a:rPr>
                <a:t>ncia n</a:t>
              </a:r>
              <a:r>
                <a:rPr lang="pt-BR" sz="800" i="0">
                  <a:latin typeface="Cambria Math" panose="02040503050406030204" pitchFamily="18" charset="0"/>
                </a:rPr>
                <a:t>í</a:t>
              </a:r>
              <a:r>
                <a:rPr lang="pt-BR" sz="800" b="0" i="0">
                  <a:latin typeface="Cambria Math" panose="02040503050406030204" pitchFamily="18" charset="0"/>
                </a:rPr>
                <a:t>vel I)/(Ativos ponderados por risco)</a:t>
              </a:r>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r>
                <a:rPr lang="pt-BR" sz="800" i="0">
                  <a:latin typeface="Cambria Math" panose="02040503050406030204" pitchFamily="18" charset="0"/>
                </a:rPr>
                <a:t>(</a:t>
              </a:r>
              <a:r>
                <a:rPr lang="pt-BR" sz="800" b="0" i="0">
                  <a:latin typeface="Cambria Math" panose="02040503050406030204" pitchFamily="18" charset="0"/>
                </a:rPr>
                <a:t>Provis</a:t>
              </a:r>
              <a:r>
                <a:rPr lang="pt-BR" sz="800" i="0">
                  <a:latin typeface="Cambria Math" panose="02040503050406030204" pitchFamily="18" charset="0"/>
                </a:rPr>
                <a:t>ã</a:t>
              </a:r>
              <a:r>
                <a:rPr lang="pt-BR" sz="800" b="0" i="0">
                  <a:latin typeface="Cambria Math" panose="02040503050406030204" pitchFamily="18" charset="0"/>
                </a:rPr>
                <a:t>o de perdas esperadas)/(</a:t>
              </a:r>
              <a:r>
                <a:rPr lang="pt-BR" sz="800" i="0">
                  <a:latin typeface="Cambria Math" panose="02040503050406030204" pitchFamily="18" charset="0"/>
                </a:rPr>
                <a:t>NPL&gt; 90 dias)  </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D</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à vista+dep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a prazo+t</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í</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tulos emitidos+credores por recursos a liberar</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a:t>
              </a:r>
              <a:r>
                <a:rPr lang="pt-BR" sz="800" b="0" i="0">
                  <a:latin typeface="Cambria Math" panose="02040503050406030204" pitchFamily="18" charset="0"/>
                </a:rPr>
                <a:t>Patrim</a:t>
              </a:r>
              <a:r>
                <a:rPr lang="pt-BR" sz="800" i="0">
                  <a:latin typeface="Cambria Math" panose="02040503050406030204" pitchFamily="18" charset="0"/>
                </a:rPr>
                <a:t>ô</a:t>
              </a:r>
              <a:r>
                <a:rPr lang="pt-BR" sz="800" b="0" i="0">
                  <a:latin typeface="Cambria Math" panose="02040503050406030204" pitchFamily="18" charset="0"/>
                </a:rPr>
                <a:t>nio de refer</a:t>
              </a:r>
              <a:r>
                <a:rPr lang="pt-BR" sz="800" i="0">
                  <a:latin typeface="Cambria Math" panose="02040503050406030204" pitchFamily="18" charset="0"/>
                </a:rPr>
                <a:t>ê</a:t>
              </a:r>
              <a:r>
                <a:rPr lang="pt-BR" sz="800" b="0" i="0">
                  <a:latin typeface="Cambria Math" panose="02040503050406030204" pitchFamily="18" charset="0"/>
                </a:rPr>
                <a:t>ncia n</a:t>
              </a:r>
              <a:r>
                <a:rPr lang="pt-BR" sz="800" i="0">
                  <a:latin typeface="Cambria Math" panose="02040503050406030204" pitchFamily="18" charset="0"/>
                </a:rPr>
                <a:t>í</a:t>
              </a:r>
              <a:r>
                <a:rPr lang="pt-BR" sz="800" b="0" i="0">
                  <a:latin typeface="Cambria Math" panose="02040503050406030204" pitchFamily="18" charset="0"/>
                </a:rPr>
                <a:t>vel I)/(Ativos ponderados por risco)</a:t>
              </a:r>
              <a:endParaRPr lang="pt-BR" sz="800">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Fallback>
    </mc:AlternateContent>
    <xdr:clientData/>
  </xdr:twoCellAnchor>
  <xdr:twoCellAnchor>
    <xdr:from>
      <xdr:col>8</xdr:col>
      <xdr:colOff>135270</xdr:colOff>
      <xdr:row>140</xdr:row>
      <xdr:rowOff>86591</xdr:rowOff>
    </xdr:from>
    <xdr:to>
      <xdr:col>15</xdr:col>
      <xdr:colOff>111552</xdr:colOff>
      <xdr:row>171</xdr:row>
      <xdr:rowOff>33303</xdr:rowOff>
    </xdr:to>
    <mc:AlternateContent xmlns:mc="http://schemas.openxmlformats.org/markup-compatibility/2006" xmlns:a14="http://schemas.microsoft.com/office/drawing/2010/main">
      <mc:Choice Requires="a14">
        <xdr:sp macro="" textlink="">
          <xdr:nvSpPr>
            <xdr:cNvPr id="50" name="Retângulo 9">
              <a:extLst>
                <a:ext uri="{FF2B5EF4-FFF2-40B4-BE49-F238E27FC236}">
                  <a16:creationId xmlns:a16="http://schemas.microsoft.com/office/drawing/2014/main" id="{00000000-0008-0000-1600-000032000000}"/>
                </a:ext>
              </a:extLst>
            </xdr:cNvPr>
            <xdr:cNvSpPr/>
          </xdr:nvSpPr>
          <xdr:spPr>
            <a:xfrm>
              <a:off x="6761357" y="25854707"/>
              <a:ext cx="5774108" cy="56525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Provis</m:t>
                        </m:r>
                        <m:r>
                          <a:rPr lang="pt-BR" sz="800" i="0">
                            <a:latin typeface="Cambria Math" panose="02040503050406030204" pitchFamily="18" charset="0"/>
                          </a:rPr>
                          <m:t>ã</m:t>
                        </m:r>
                        <m:r>
                          <m:rPr>
                            <m:sty m:val="p"/>
                          </m:rPr>
                          <a:rPr lang="pt-BR" sz="800" b="0" i="0">
                            <a:latin typeface="Cambria Math" panose="02040503050406030204" pitchFamily="18" charset="0"/>
                          </a:rPr>
                          <m:t>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perdas</m:t>
                        </m:r>
                        <m:r>
                          <a:rPr lang="pt-BR" sz="800" b="0" i="0">
                            <a:latin typeface="Cambria Math" panose="02040503050406030204" pitchFamily="18" charset="0"/>
                          </a:rPr>
                          <m:t> </m:t>
                        </m:r>
                        <m:r>
                          <m:rPr>
                            <m:sty m:val="p"/>
                          </m:rPr>
                          <a:rPr lang="pt-BR" sz="800" b="0" i="0">
                            <a:latin typeface="Cambria Math" panose="02040503050406030204" pitchFamily="18" charset="0"/>
                          </a:rPr>
                          <m:t>esperadas</m:t>
                        </m:r>
                      </m:num>
                      <m:den>
                        <m:r>
                          <m:rPr>
                            <m:sty m:val="p"/>
                          </m:rPr>
                          <a:rPr lang="pt-BR" sz="800" i="0">
                            <a:latin typeface="Cambria Math" panose="02040503050406030204" pitchFamily="18" charset="0"/>
                          </a:rPr>
                          <m:t>NPL</m:t>
                        </m:r>
                        <m:r>
                          <a:rPr lang="pt-BR" sz="800" i="0">
                            <a:latin typeface="Cambria Math" panose="02040503050406030204" pitchFamily="18" charset="0"/>
                          </a:rPr>
                          <m:t>&gt; 90 </m:t>
                        </m:r>
                        <m:r>
                          <m:rPr>
                            <m:sty m:val="p"/>
                          </m:rPr>
                          <a:rPr lang="pt-BR" sz="800" i="0">
                            <a:latin typeface="Cambria Math" panose="02040503050406030204" pitchFamily="18" charset="0"/>
                          </a:rPr>
                          <m:t>dias</m:t>
                        </m:r>
                      </m:den>
                    </m:f>
                  </m:oMath>
                </m:oMathPara>
              </a14:m>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eqArr>
                          <m:eqArrPr>
                            <m:ctrlPr>
                              <a:rPr lang="pt-BR" sz="800" i="1">
                                <a:latin typeface="Cambria Math" panose="02040503050406030204" pitchFamily="18" charset="0"/>
                              </a:rPr>
                            </m:ctrlPr>
                          </m:eqArrPr>
                          <m:e>
                            <m:r>
                              <a:rPr lang="pt-BR" sz="800" i="0">
                                <a:latin typeface="Cambria Math" panose="02040503050406030204" pitchFamily="18" charset="0"/>
                              </a:rPr>
                              <m:t> </m:t>
                            </m:r>
                          </m:e>
                          <m:e>
                            <m:r>
                              <m:rPr>
                                <m:sty m:val="p"/>
                              </m:rPr>
                              <a:rPr lang="pt-BR" sz="800" i="0">
                                <a:latin typeface="Cambria Math" panose="02040503050406030204" pitchFamily="18" charset="0"/>
                              </a:rPr>
                              <m:t>Despesa</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pessoal</m:t>
                            </m:r>
                            <m:r>
                              <a:rPr lang="pt-BR" sz="800" i="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administrativas</m:t>
                            </m:r>
                            <m:r>
                              <a:rPr lang="pt-BR" sz="800" b="0" i="0">
                                <a:latin typeface="Cambria Math" panose="02040503050406030204" pitchFamily="18" charset="0"/>
                              </a:rPr>
                              <m:t>+</m:t>
                            </m:r>
                            <m:r>
                              <m:rPr>
                                <m:sty m:val="p"/>
                              </m:rPr>
                              <a:rPr lang="pt-BR" sz="800" b="0" i="0">
                                <a:latin typeface="Cambria Math" panose="02040503050406030204" pitchFamily="18" charset="0"/>
                              </a:rPr>
                              <m:t>Deprecia</m:t>
                            </m:r>
                            <m:r>
                              <a:rPr lang="pt-BR" sz="800" i="0">
                                <a:latin typeface="Cambria Math" panose="02040503050406030204" pitchFamily="18" charset="0"/>
                              </a:rPr>
                              <m:t>çã</m:t>
                            </m:r>
                            <m:r>
                              <m:rPr>
                                <m:sty m:val="p"/>
                              </m:rPr>
                              <a:rPr lang="pt-BR" sz="800" b="0" i="0">
                                <a:latin typeface="Cambria Math" panose="02040503050406030204" pitchFamily="18" charset="0"/>
                              </a:rPr>
                              <m:t>o</m:t>
                            </m:r>
                            <m:r>
                              <a:rPr lang="pt-BR" sz="800" b="0" i="0">
                                <a:latin typeface="Cambria Math" panose="02040503050406030204" pitchFamily="18" charset="0"/>
                              </a:rPr>
                              <m:t> </m:t>
                            </m:r>
                            <m:r>
                              <m:rPr>
                                <m:sty m:val="p"/>
                              </m:rPr>
                              <a:rPr lang="pt-BR" sz="800" b="0" i="0">
                                <a:latin typeface="Cambria Math" panose="02040503050406030204" pitchFamily="18" charset="0"/>
                              </a:rPr>
                              <m:t>e</m:t>
                            </m:r>
                            <m:r>
                              <a:rPr lang="pt-BR" sz="800" b="0" i="0">
                                <a:latin typeface="Cambria Math" panose="02040503050406030204" pitchFamily="18" charset="0"/>
                              </a:rPr>
                              <m:t> </m:t>
                            </m:r>
                            <m:r>
                              <m:rPr>
                                <m:sty m:val="p"/>
                              </m:rPr>
                              <a:rPr lang="pt-BR" sz="800" b="0" i="0">
                                <a:latin typeface="Cambria Math" panose="02040503050406030204" pitchFamily="18" charset="0"/>
                              </a:rPr>
                              <m:t>amortiza</m:t>
                            </m:r>
                            <m:r>
                              <a:rPr lang="pt-BR" sz="800" i="0">
                                <a:latin typeface="Cambria Math" panose="02040503050406030204" pitchFamily="18" charset="0"/>
                              </a:rPr>
                              <m:t>çã</m:t>
                            </m:r>
                            <m:r>
                              <m:rPr>
                                <m:sty m:val="p"/>
                              </m:rPr>
                              <a:rPr lang="pt-BR" sz="800" b="0" i="0">
                                <a:latin typeface="Cambria Math" panose="02040503050406030204" pitchFamily="18" charset="0"/>
                              </a:rPr>
                              <m:t>o</m:t>
                            </m:r>
                          </m:e>
                        </m:eqArr>
                      </m:num>
                      <m:den>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Receita</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rPr>
                              <m:t>+ </m:t>
                            </m:r>
                            <m:r>
                              <m:rPr>
                                <m:sty m:val="p"/>
                              </m:rPr>
                              <a:rPr lang="pt-BR" sz="800">
                                <a:latin typeface="Cambria Math" panose="02040503050406030204" pitchFamily="18" charset="0"/>
                              </a:rPr>
                              <m:t>Outras</m:t>
                            </m:r>
                          </m:e>
                          <m:e>
                            <m:r>
                              <m:rPr>
                                <m:sty m:val="p"/>
                              </m:rPr>
                              <a:rPr lang="pt-BR" sz="800">
                                <a:latin typeface="Cambria Math" panose="02040503050406030204" pitchFamily="18" charset="0"/>
                              </a:rPr>
                              <m:t>receitas</m:t>
                            </m:r>
                            <m:r>
                              <a:rPr lang="pt-BR" sz="80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tribut</m:t>
                            </m:r>
                            <m:r>
                              <a:rPr lang="pt-BR" sz="800">
                                <a:latin typeface="Cambria Math" panose="02040503050406030204" pitchFamily="18" charset="0"/>
                              </a:rPr>
                              <m:t>á</m:t>
                            </m:r>
                            <m:r>
                              <m:rPr>
                                <m:sty m:val="p"/>
                              </m:rPr>
                              <a:rPr lang="pt-BR" sz="800">
                                <a:latin typeface="Cambria Math" panose="02040503050406030204" pitchFamily="18" charset="0"/>
                              </a:rPr>
                              <m:t>rias</m:t>
                            </m:r>
                            <m:r>
                              <m:rPr>
                                <m:nor/>
                              </m:rPr>
                              <a:rPr lang="pt-BR" sz="800">
                                <a:latin typeface="Calibri" panose="020F0502020204030204" pitchFamily="34" charset="0"/>
                                <a:cs typeface="Calibri" panose="020F0502020204030204" pitchFamily="34" charset="0"/>
                              </a:rPr>
                              <m:t> </m:t>
                            </m:r>
                          </m:e>
                        </m:eqArr>
                      </m:den>
                    </m:f>
                    <m:r>
                      <a:rPr lang="pt-BR" sz="800" i="1">
                        <a:latin typeface="Cambria Math" panose="02040503050406030204" pitchFamily="18" charset="0"/>
                      </a:rPr>
                      <m:t> </m:t>
                    </m:r>
                  </m:oMath>
                </m:oMathPara>
              </a14:m>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administrativo:</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administrativas</m:t>
                        </m:r>
                        <m:r>
                          <a:rPr lang="pt-BR" sz="800">
                            <a:latin typeface="Cambria Math" panose="02040503050406030204" pitchFamily="18" charset="0"/>
                          </a:rPr>
                          <m:t>+</m:t>
                        </m:r>
                        <m:r>
                          <m:rPr>
                            <m:sty m:val="p"/>
                          </m:rPr>
                          <a:rPr lang="pt-BR" sz="800">
                            <a:latin typeface="Cambria Math" panose="02040503050406030204" pitchFamily="18" charset="0"/>
                          </a:rPr>
                          <m:t>Deprecia</m:t>
                        </m:r>
                        <m:r>
                          <a:rPr lang="pt-BR" sz="800">
                            <a:latin typeface="Cambria Math" panose="02040503050406030204" pitchFamily="18" charset="0"/>
                          </a:rPr>
                          <m:t>çã</m:t>
                        </m:r>
                        <m:r>
                          <m:rPr>
                            <m:sty m:val="p"/>
                          </m:rPr>
                          <a:rPr lang="pt-BR" sz="800">
                            <a:latin typeface="Cambria Math" panose="02040503050406030204" pitchFamily="18" charset="0"/>
                          </a:rPr>
                          <m:t>o</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amortiza</m:t>
                        </m:r>
                        <m:r>
                          <a:rPr lang="pt-BR" sz="800">
                            <a:latin typeface="Cambria Math" panose="02040503050406030204" pitchFamily="18" charset="0"/>
                          </a:rPr>
                          <m:t>çã</m:t>
                        </m:r>
                        <m:r>
                          <m:rPr>
                            <m:sty m:val="p"/>
                          </m:rPr>
                          <a:rPr lang="pt-BR" sz="800">
                            <a:latin typeface="Cambria Math" panose="02040503050406030204" pitchFamily="18" charset="0"/>
                          </a:rPr>
                          <m:t>o</m:t>
                        </m:r>
                      </m:num>
                      <m:den>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Receita</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rPr>
                              <m:t>+ </m:t>
                            </m:r>
                            <m:r>
                              <m:rPr>
                                <m:sty m:val="p"/>
                              </m:rPr>
                              <a:rPr lang="pt-BR" sz="800">
                                <a:latin typeface="Cambria Math" panose="02040503050406030204" pitchFamily="18" charset="0"/>
                              </a:rPr>
                              <m:t>Outras</m:t>
                            </m:r>
                          </m:e>
                          <m:e>
                            <m:r>
                              <m:rPr>
                                <m:sty m:val="p"/>
                              </m:rPr>
                              <a:rPr lang="pt-BR" sz="800">
                                <a:latin typeface="Cambria Math" panose="02040503050406030204" pitchFamily="18" charset="0"/>
                              </a:rPr>
                              <m:t>receitas</m:t>
                            </m:r>
                            <m:r>
                              <a:rPr lang="pt-BR" sz="80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tribut</m:t>
                            </m:r>
                            <m:r>
                              <a:rPr lang="pt-BR" sz="800">
                                <a:latin typeface="Cambria Math" panose="02040503050406030204" pitchFamily="18" charset="0"/>
                              </a:rPr>
                              <m:t>á</m:t>
                            </m:r>
                            <m:r>
                              <m:rPr>
                                <m:sty m:val="p"/>
                              </m:rPr>
                              <a:rPr lang="pt-BR" sz="800">
                                <a:latin typeface="Cambria Math" panose="02040503050406030204" pitchFamily="18" charset="0"/>
                              </a:rPr>
                              <m:t>rias</m:t>
                            </m:r>
                            <m:r>
                              <m:rPr>
                                <m:nor/>
                              </m:rPr>
                              <a:rPr lang="pt-BR" sz="800">
                                <a:latin typeface="Calibri" panose="020F0502020204030204" pitchFamily="34" charset="0"/>
                                <a:cs typeface="Calibri" panose="020F0502020204030204" pitchFamily="34" charset="0"/>
                              </a:rPr>
                              <m:t> </m:t>
                            </m:r>
                          </m:e>
                        </m:eqAr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de pessoal:</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eqArr>
                          <m:eqArrPr>
                            <m:ctrlPr>
                              <a:rPr lang="pt-BR" sz="800" i="1">
                                <a:latin typeface="Cambria Math" panose="02040503050406030204" pitchFamily="18" charset="0"/>
                              </a:rPr>
                            </m:ctrlPr>
                          </m:eqArrPr>
                          <m:e>
                            <m:r>
                              <a:rPr lang="pt-BR" sz="800" i="0">
                                <a:latin typeface="Cambria Math" panose="02040503050406030204" pitchFamily="18" charset="0"/>
                              </a:rPr>
                              <m:t> </m:t>
                            </m:r>
                          </m:e>
                          <m:e>
                            <m:r>
                              <m:rPr>
                                <m:sty m:val="p"/>
                              </m:rPr>
                              <a:rPr lang="pt-BR" sz="800" i="0">
                                <a:latin typeface="Cambria Math" panose="02040503050406030204" pitchFamily="18" charset="0"/>
                              </a:rPr>
                              <m:t>Despesa</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pessoal</m:t>
                            </m:r>
                          </m:e>
                        </m:eqArr>
                      </m:num>
                      <m:den>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Receita</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rPr>
                              <m:t>+ </m:t>
                            </m:r>
                            <m:r>
                              <m:rPr>
                                <m:sty m:val="p"/>
                              </m:rPr>
                              <a:rPr lang="pt-BR" sz="800">
                                <a:latin typeface="Cambria Math" panose="02040503050406030204" pitchFamily="18" charset="0"/>
                              </a:rPr>
                              <m:t>Outras</m:t>
                            </m:r>
                          </m:e>
                          <m:e>
                            <m:r>
                              <m:rPr>
                                <m:sty m:val="p"/>
                              </m:rPr>
                              <a:rPr lang="pt-BR" sz="800">
                                <a:latin typeface="Cambria Math" panose="02040503050406030204" pitchFamily="18" charset="0"/>
                              </a:rPr>
                              <m:t>receitas</m:t>
                            </m:r>
                            <m:r>
                              <a:rPr lang="pt-BR" sz="80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tribut</m:t>
                            </m:r>
                            <m:r>
                              <a:rPr lang="pt-BR" sz="800">
                                <a:latin typeface="Cambria Math" panose="02040503050406030204" pitchFamily="18" charset="0"/>
                              </a:rPr>
                              <m:t>á</m:t>
                            </m:r>
                            <m:r>
                              <m:rPr>
                                <m:sty m:val="p"/>
                              </m:rPr>
                              <a:rPr lang="pt-BR" sz="800">
                                <a:latin typeface="Cambria Math" panose="02040503050406030204" pitchFamily="18" charset="0"/>
                              </a:rPr>
                              <m:t>rias</m:t>
                            </m:r>
                            <m:r>
                              <m:rPr>
                                <m:nor/>
                              </m:rPr>
                              <a:rPr lang="pt-BR" sz="800">
                                <a:latin typeface="Calibri" panose="020F0502020204030204" pitchFamily="34" charset="0"/>
                                <a:cs typeface="Calibri" panose="020F0502020204030204" pitchFamily="34" charset="0"/>
                              </a:rPr>
                              <m:t> </m:t>
                            </m:r>
                          </m:e>
                        </m:eqAr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bruta de despesas de juros: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b="0" i="0">
                        <a:latin typeface="Cambria Math" panose="02040503050406030204" pitchFamily="18" charset="0"/>
                        <a:ea typeface="Inter" panose="020B0502030000000004" pitchFamily="34" charset="0"/>
                      </a:rPr>
                      <m:t>ARPAC</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Bruto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Despesas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Juros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Custo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Servir</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líquida de despesas de juros: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b="0" i="0">
                        <a:latin typeface="Cambria Math" panose="02040503050406030204" pitchFamily="18" charset="0"/>
                        <a:ea typeface="Inter" panose="020B0502030000000004" pitchFamily="34" charset="0"/>
                      </a:rPr>
                      <m:t>ARPAC</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L</m:t>
                    </m:r>
                    <m:r>
                      <a:rPr lang="pt-BR" sz="800" i="0">
                        <a:latin typeface="Cambria Math" panose="02040503050406030204" pitchFamily="18" charset="0"/>
                        <a:ea typeface="Inter" panose="020B0502030000000004" pitchFamily="34" charset="0"/>
                      </a:rPr>
                      <m:t>í</m:t>
                    </m:r>
                    <m:r>
                      <m:rPr>
                        <m:sty m:val="p"/>
                      </m:rPr>
                      <a:rPr lang="pt-BR" sz="800" b="0" i="0">
                        <a:latin typeface="Cambria Math" panose="02040503050406030204" pitchFamily="18" charset="0"/>
                        <a:ea typeface="Inter" panose="020B0502030000000004" pitchFamily="34" charset="0"/>
                      </a:rPr>
                      <m:t>quido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Despesas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Juros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Custo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Servir</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xdr:txBody>
        </xdr:sp>
      </mc:Choice>
      <mc:Fallback xmlns="">
        <xdr:sp macro="" textlink="">
          <xdr:nvSpPr>
            <xdr:cNvPr id="50" name="Retângulo 9">
              <a:extLst>
                <a:ext uri="{FF2B5EF4-FFF2-40B4-BE49-F238E27FC236}">
                  <a16:creationId xmlns:a16="http://schemas.microsoft.com/office/drawing/2014/main" id="{35CA3697-EE6E-6784-3C77-9E55A4DD6727}"/>
                </a:ext>
              </a:extLst>
            </xdr:cNvPr>
            <xdr:cNvSpPr/>
          </xdr:nvSpPr>
          <xdr:spPr>
            <a:xfrm>
              <a:off x="6761357" y="25854707"/>
              <a:ext cx="5774108" cy="56525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r>
                <a:rPr lang="pt-BR" sz="800" i="0">
                  <a:latin typeface="Cambria Math" panose="02040503050406030204" pitchFamily="18" charset="0"/>
                </a:rPr>
                <a:t>(</a:t>
              </a:r>
              <a:r>
                <a:rPr lang="pt-BR" sz="800" b="0" i="0">
                  <a:latin typeface="Cambria Math" panose="02040503050406030204" pitchFamily="18" charset="0"/>
                </a:rPr>
                <a:t>Provis</a:t>
              </a:r>
              <a:r>
                <a:rPr lang="pt-BR" sz="800" i="0">
                  <a:latin typeface="Cambria Math" panose="02040503050406030204" pitchFamily="18" charset="0"/>
                </a:rPr>
                <a:t>ã</a:t>
              </a:r>
              <a:r>
                <a:rPr lang="pt-BR" sz="800" b="0" i="0">
                  <a:latin typeface="Cambria Math" panose="02040503050406030204" pitchFamily="18" charset="0"/>
                </a:rPr>
                <a:t>o de perdas esperadas)/(</a:t>
              </a:r>
              <a:r>
                <a:rPr lang="pt-BR" sz="800" i="0">
                  <a:latin typeface="Cambria Math" panose="02040503050406030204" pitchFamily="18" charset="0"/>
                </a:rPr>
                <a:t>NPL&gt; 90 dias)</a:t>
              </a:r>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r>
                <a:rPr lang="pt-BR" sz="800" i="0">
                  <a:latin typeface="Cambria Math" panose="02040503050406030204" pitchFamily="18" charset="0"/>
                </a:rPr>
                <a:t>█( @Despesa de pessoal+Despesas administrativas</a:t>
              </a:r>
              <a:r>
                <a:rPr lang="pt-BR" sz="800" b="0" i="0">
                  <a:latin typeface="Cambria Math" panose="02040503050406030204" pitchFamily="18" charset="0"/>
                </a:rPr>
                <a:t>+Deprecia</a:t>
              </a:r>
              <a:r>
                <a:rPr lang="pt-BR" sz="800" i="0">
                  <a:latin typeface="Cambria Math" panose="02040503050406030204" pitchFamily="18" charset="0"/>
                </a:rPr>
                <a:t>çã</a:t>
              </a:r>
              <a:r>
                <a:rPr lang="pt-BR" sz="800" b="0" i="0">
                  <a:latin typeface="Cambria Math" panose="02040503050406030204" pitchFamily="18" charset="0"/>
                </a:rPr>
                <a:t>o e amortiza</a:t>
              </a:r>
              <a:r>
                <a:rPr lang="pt-BR" sz="800" i="0">
                  <a:latin typeface="Cambria Math" panose="02040503050406030204" pitchFamily="18" charset="0"/>
                </a:rPr>
                <a:t>çã</a:t>
              </a:r>
              <a:r>
                <a:rPr lang="pt-BR" sz="800" b="0" i="0">
                  <a:latin typeface="Cambria Math" panose="02040503050406030204" pitchFamily="18" charset="0"/>
                </a:rPr>
                <a:t>o)/█(</a:t>
              </a:r>
              <a:r>
                <a:rPr lang="pt-BR" sz="800" i="0">
                  <a:latin typeface="Cambria Math" panose="02040503050406030204" pitchFamily="18" charset="0"/>
                </a:rPr>
                <a:t>Receita de juros+Resultado líquido de serviços e comissões+"</a:t>
              </a:r>
              <a:r>
                <a:rPr lang="pt-BR" sz="800" i="0">
                  <a:latin typeface="Calibri" panose="020F0502020204030204" pitchFamily="34" charset="0"/>
                  <a:cs typeface="Calibri" panose="020F0502020204030204" pitchFamily="34" charset="0"/>
                </a:rPr>
                <a:t> </a:t>
              </a:r>
              <a:r>
                <a:rPr lang="en-US"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mobiliários</a:t>
              </a:r>
              <a:r>
                <a:rPr lang="pt-BR" sz="800" i="0">
                  <a:latin typeface="Cambria Math" panose="02040503050406030204" pitchFamily="18" charset="0"/>
                  <a:cs typeface="Sora" pitchFamily="2" charset="0"/>
                </a:rPr>
                <a:t> e derivativos</a:t>
              </a:r>
              <a:r>
                <a:rPr lang="pt-BR" sz="800" i="0">
                  <a:latin typeface="Cambria Math" panose="02040503050406030204" pitchFamily="18" charset="0"/>
                </a:rPr>
                <a:t>+ Outras@receitas−Despesas tributárias"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 </a:t>
              </a:r>
              <a:r>
                <a:rPr lang="pt-BR" sz="800" i="0">
                  <a:latin typeface="Cambria Math" panose="02040503050406030204" pitchFamily="18" charset="0"/>
                </a:rPr>
                <a:t> </a:t>
              </a:r>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administrativo:</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r>
                <a:rPr lang="pt-BR" sz="800" i="0">
                  <a:latin typeface="Cambria Math" panose="02040503050406030204" pitchFamily="18" charset="0"/>
                </a:rPr>
                <a:t>(Despesas administrativas+Depreciação e amortização)/█(Receita de juros+Resultado líquido de serviços e comissões+"</a:t>
              </a:r>
              <a:r>
                <a:rPr lang="pt-BR" sz="800" i="0">
                  <a:latin typeface="Calibri" panose="020F0502020204030204" pitchFamily="34" charset="0"/>
                  <a:cs typeface="Calibri" panose="020F0502020204030204" pitchFamily="34" charset="0"/>
                </a:rPr>
                <a:t> </a:t>
              </a:r>
              <a:r>
                <a:rPr lang="en-US"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mobiliários</a:t>
              </a:r>
              <a:r>
                <a:rPr lang="pt-BR" sz="800" i="0">
                  <a:latin typeface="Cambria Math" panose="02040503050406030204" pitchFamily="18" charset="0"/>
                  <a:cs typeface="Sora" pitchFamily="2" charset="0"/>
                </a:rPr>
                <a:t> e derivativos</a:t>
              </a:r>
              <a:r>
                <a:rPr lang="pt-BR" sz="800" i="0">
                  <a:latin typeface="Cambria Math" panose="02040503050406030204" pitchFamily="18" charset="0"/>
                </a:rPr>
                <a:t>+ Outras@receitas−Despesas tributárias"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de pessoal:</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r>
                <a:rPr lang="pt-BR" sz="800" i="0">
                  <a:latin typeface="Cambria Math" panose="02040503050406030204" pitchFamily="18" charset="0"/>
                </a:rPr>
                <a:t>█( @Despesa de pessoal)/█(Receita de juros+Resultado líquido de serviços e comissões+"</a:t>
              </a:r>
              <a:r>
                <a:rPr lang="pt-BR" sz="800" i="0">
                  <a:latin typeface="Calibri" panose="020F0502020204030204" pitchFamily="34" charset="0"/>
                  <a:cs typeface="Calibri" panose="020F0502020204030204" pitchFamily="34" charset="0"/>
                </a:rPr>
                <a:t> </a:t>
              </a:r>
              <a:r>
                <a:rPr lang="en-US"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mobiliários</a:t>
              </a:r>
              <a:r>
                <a:rPr lang="pt-BR" sz="800" i="0">
                  <a:latin typeface="Cambria Math" panose="02040503050406030204" pitchFamily="18" charset="0"/>
                  <a:cs typeface="Sora" pitchFamily="2" charset="0"/>
                </a:rPr>
                <a:t> e derivativos</a:t>
              </a:r>
              <a:r>
                <a:rPr lang="pt-BR" sz="800" i="0">
                  <a:latin typeface="Cambria Math" panose="02040503050406030204" pitchFamily="18" charset="0"/>
                </a:rPr>
                <a:t>+ Outras@receitas−Despesas tributárias"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bruta de despesas de juros:</a:t>
              </a:r>
            </a:p>
            <a:p>
              <a:endParaRPr lang="en-US" sz="800" b="1">
                <a:latin typeface="Calibri" panose="020F0502020204030204" pitchFamily="34" charset="0"/>
                <a:cs typeface="Calibri" panose="020F0502020204030204" pitchFamily="34" charset="0"/>
              </a:endParaRPr>
            </a:p>
            <a:p>
              <a:pPr/>
              <a:r>
                <a:rPr lang="pt-BR" sz="800" b="0" i="0">
                  <a:latin typeface="Cambria Math" panose="02040503050406030204" pitchFamily="18" charset="0"/>
                  <a:ea typeface="Inter" panose="020B0502030000000004" pitchFamily="34" charset="0"/>
                </a:rPr>
                <a:t>ARPAC Bruto de Despesas de Juros −Custo de Servir</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líquida de despesas de juros:</a:t>
              </a:r>
            </a:p>
            <a:p>
              <a:endParaRPr lang="en-US" sz="800" b="1">
                <a:latin typeface="Calibri" panose="020F0502020204030204" pitchFamily="34" charset="0"/>
                <a:cs typeface="Calibri" panose="020F0502020204030204" pitchFamily="34" charset="0"/>
              </a:endParaRPr>
            </a:p>
            <a:p>
              <a:pPr/>
              <a:r>
                <a:rPr lang="pt-BR" sz="800" b="0" i="0">
                  <a:latin typeface="Cambria Math" panose="02040503050406030204" pitchFamily="18" charset="0"/>
                  <a:ea typeface="Inter" panose="020B0502030000000004" pitchFamily="34" charset="0"/>
                </a:rPr>
                <a:t>ARPAC L</a:t>
              </a:r>
              <a:r>
                <a:rPr lang="pt-BR" sz="800" i="0">
                  <a:latin typeface="Cambria Math" panose="02040503050406030204" pitchFamily="18" charset="0"/>
                  <a:ea typeface="Inter" panose="020B0502030000000004" pitchFamily="34" charset="0"/>
                </a:rPr>
                <a:t>í</a:t>
              </a:r>
              <a:r>
                <a:rPr lang="pt-BR" sz="800" b="0" i="0">
                  <a:latin typeface="Cambria Math" panose="02040503050406030204" pitchFamily="18" charset="0"/>
                  <a:ea typeface="Inter" panose="020B0502030000000004" pitchFamily="34" charset="0"/>
                </a:rPr>
                <a:t>quido de Despesas de Juros −Custo de Servir</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177800</xdr:colOff>
      <xdr:row>170</xdr:row>
      <xdr:rowOff>76200</xdr:rowOff>
    </xdr:from>
    <xdr:to>
      <xdr:col>15</xdr:col>
      <xdr:colOff>144745</xdr:colOff>
      <xdr:row>199</xdr:row>
      <xdr:rowOff>79918</xdr:rowOff>
    </xdr:to>
    <mc:AlternateContent xmlns:mc="http://schemas.openxmlformats.org/markup-compatibility/2006" xmlns:a14="http://schemas.microsoft.com/office/drawing/2010/main">
      <mc:Choice Requires="a14">
        <xdr:sp macro="" textlink="">
          <xdr:nvSpPr>
            <xdr:cNvPr id="51" name="Retângulo 9">
              <a:extLst>
                <a:ext uri="{FF2B5EF4-FFF2-40B4-BE49-F238E27FC236}">
                  <a16:creationId xmlns:a16="http://schemas.microsoft.com/office/drawing/2014/main" id="{00000000-0008-0000-1600-000033000000}"/>
                </a:ext>
              </a:extLst>
            </xdr:cNvPr>
            <xdr:cNvSpPr/>
          </xdr:nvSpPr>
          <xdr:spPr>
            <a:xfrm>
              <a:off x="6803887" y="31366055"/>
              <a:ext cx="5764771" cy="534139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NIM 1.0 - Baseado na carteira remunerada + recebíveis de cartão de crédito não remunerados</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 </m:t>
                        </m:r>
                        <m:r>
                          <m:rPr>
                            <m:sty m:val="p"/>
                          </m:rPr>
                          <a:rPr lang="pt-BR" sz="800">
                            <a:latin typeface="Cambria Math" panose="02040503050406030204" pitchFamily="18" charset="0"/>
                          </a:rPr>
                          <m:t>x</m:t>
                        </m:r>
                        <m:r>
                          <a:rPr lang="pt-BR" sz="800">
                            <a:latin typeface="Cambria Math" panose="02040503050406030204" pitchFamily="18" charset="0"/>
                          </a:rPr>
                          <m:t> 4</m:t>
                        </m:r>
                      </m:num>
                      <m:den>
                        <m:eqArr>
                          <m:eqArrPr>
                            <m:ctrlPr>
                              <a:rPr lang="pt-BR" sz="800" i="1">
                                <a:latin typeface="Cambria Math" panose="02040503050406030204" pitchFamily="18" charset="0"/>
                              </a:rPr>
                            </m:ctrlPr>
                          </m:eqArrPr>
                          <m:e>
                            <m:r>
                              <m:rPr>
                                <m:sty m:val="p"/>
                              </m:rPr>
                              <a:rPr lang="pt-BR" sz="800" i="0">
                                <a:latin typeface="Cambria Math" panose="02040503050406030204" pitchFamily="18" charset="0"/>
                              </a:rPr>
                              <m:t>M</m:t>
                            </m:r>
                            <m:r>
                              <a:rPr lang="pt-BR" sz="800" i="0">
                                <a:latin typeface="Cambria Math" panose="02040503050406030204" pitchFamily="18" charset="0"/>
                              </a:rPr>
                              <m:t>é</m:t>
                            </m:r>
                            <m:r>
                              <m:rPr>
                                <m:sty m:val="p"/>
                              </m:rPr>
                              <a:rPr lang="pt-BR" sz="800" i="0">
                                <a:latin typeface="Cambria Math" panose="02040503050406030204" pitchFamily="18" charset="0"/>
                              </a:rPr>
                              <m:t>dia</m:t>
                            </m:r>
                            <m:r>
                              <a:rPr lang="pt-BR" sz="800" i="0">
                                <a:latin typeface="Cambria Math" panose="02040503050406030204" pitchFamily="18" charset="0"/>
                              </a:rPr>
                              <m:t> </m:t>
                            </m:r>
                            <m:r>
                              <m:rPr>
                                <m:sty m:val="p"/>
                              </m:rPr>
                              <a:rPr lang="pt-BR" sz="800" i="0">
                                <a:latin typeface="Cambria Math" panose="02040503050406030204" pitchFamily="18" charset="0"/>
                              </a:rPr>
                              <m:t>da</m:t>
                            </m:r>
                            <m:r>
                              <a:rPr lang="pt-BR" sz="800" i="0">
                                <a:latin typeface="Cambria Math" panose="02040503050406030204" pitchFamily="18" charset="0"/>
                              </a:rPr>
                              <m:t> </m:t>
                            </m:r>
                            <m:r>
                              <m:rPr>
                                <m:sty m:val="p"/>
                              </m:rPr>
                              <a:rPr lang="pt-BR" sz="800" i="0">
                                <a:latin typeface="Cambria Math" panose="02040503050406030204" pitchFamily="18" charset="0"/>
                              </a:rPr>
                              <m:t>carteira</m:t>
                            </m:r>
                            <m:r>
                              <a:rPr lang="pt-BR" sz="800" i="0">
                                <a:latin typeface="Cambria Math" panose="02040503050406030204" pitchFamily="18" charset="0"/>
                              </a:rPr>
                              <m:t> </m:t>
                            </m:r>
                            <m:r>
                              <m:rPr>
                                <m:sty m:val="p"/>
                              </m:rPr>
                              <a:rPr lang="pt-BR" sz="800" i="0">
                                <a:latin typeface="Cambria Math" panose="02040503050406030204" pitchFamily="18" charset="0"/>
                              </a:rPr>
                              <m:t>remunerada</m:t>
                            </m:r>
                            <m:r>
                              <a:rPr lang="pt-BR" sz="800" i="0">
                                <a:latin typeface="Cambria Math" panose="02040503050406030204" pitchFamily="18" charset="0"/>
                              </a:rPr>
                              <m:t> </m:t>
                            </m:r>
                            <m:r>
                              <m:rPr>
                                <m:sty m:val="p"/>
                              </m:rPr>
                              <a:rPr lang="pt-BR" sz="800" i="0">
                                <a:latin typeface="Cambria Math" panose="02040503050406030204" pitchFamily="18" charset="0"/>
                              </a:rPr>
                              <m:t>dos</m:t>
                            </m:r>
                            <m:r>
                              <a:rPr lang="pt-BR" sz="800" i="0">
                                <a:latin typeface="Cambria Math" panose="02040503050406030204" pitchFamily="18" charset="0"/>
                              </a:rPr>
                              <m:t> ú</m:t>
                            </m:r>
                            <m:r>
                              <m:rPr>
                                <m:sty m:val="p"/>
                              </m:rPr>
                              <a:rPr lang="pt-BR" sz="800" i="0">
                                <a:latin typeface="Cambria Math" panose="02040503050406030204" pitchFamily="18" charset="0"/>
                              </a:rPr>
                              <m:t>ltimos</m:t>
                            </m:r>
                            <m:r>
                              <a:rPr lang="pt-BR" sz="800" i="0">
                                <a:latin typeface="Cambria Math" panose="02040503050406030204" pitchFamily="18" charset="0"/>
                              </a:rPr>
                              <m:t> 2 </m:t>
                            </m:r>
                            <m:r>
                              <m:rPr>
                                <m:sty m:val="p"/>
                              </m:rPr>
                              <a:rPr lang="pt-BR" sz="800" i="0">
                                <a:latin typeface="Cambria Math" panose="02040503050406030204" pitchFamily="18" charset="0"/>
                              </a:rPr>
                              <m:t>trimestres</m:t>
                            </m:r>
                            <m:r>
                              <a:rPr lang="pt-BR" sz="800" i="0">
                                <a:latin typeface="Cambria Math" panose="02040503050406030204" pitchFamily="18" charset="0"/>
                              </a:rPr>
                              <m:t> (</m:t>
                            </m:r>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institui</m:t>
                            </m:r>
                            <m:r>
                              <a:rPr lang="pt-BR" sz="800" i="0">
                                <a:latin typeface="Cambria Math" panose="02040503050406030204" pitchFamily="18" charset="0"/>
                              </a:rPr>
                              <m:t>çõ</m:t>
                            </m:r>
                            <m:r>
                              <m:rPr>
                                <m:sty m:val="p"/>
                              </m:rPr>
                              <a:rPr lang="pt-BR" sz="800" i="0">
                                <a:latin typeface="Cambria Math" panose="02040503050406030204" pitchFamily="18" charset="0"/>
                              </a:rPr>
                              <m:t>es</m:t>
                            </m:r>
                            <m:r>
                              <a:rPr lang="pt-BR" sz="800" i="0">
                                <a:latin typeface="Cambria Math" panose="02040503050406030204" pitchFamily="18" charset="0"/>
                              </a:rPr>
                              <m:t> </m:t>
                            </m:r>
                            <m:r>
                              <m:rPr>
                                <m:sty m:val="p"/>
                              </m:rPr>
                              <a:rPr lang="pt-BR" sz="800" i="0">
                                <a:latin typeface="Cambria Math" panose="02040503050406030204" pitchFamily="18" charset="0"/>
                              </a:rPr>
                              <m:t>financeiras</m:t>
                            </m:r>
                            <m:r>
                              <a:rPr lang="pt-BR" sz="800">
                                <a:latin typeface="Cambria Math" panose="02040503050406030204" pitchFamily="18" charset="0"/>
                              </a:rPr>
                              <m:t>+ </m:t>
                            </m:r>
                            <m:r>
                              <m:rPr>
                                <m:sty m:val="p"/>
                              </m:rPr>
                              <a:rPr lang="pt-BR" sz="800">
                                <a:latin typeface="Cambria Math" panose="02040503050406030204" pitchFamily="18" charset="0"/>
                              </a:rPr>
                              <m:t>Valores</m:t>
                            </m:r>
                            <m:r>
                              <a:rPr lang="pt-BR" sz="800">
                                <a:latin typeface="Cambria Math" panose="02040503050406030204" pitchFamily="18" charset="0"/>
                              </a:rPr>
                              <m:t> </m:t>
                            </m:r>
                            <m:r>
                              <m:rPr>
                                <m:sty m:val="p"/>
                              </m:rPr>
                              <a:rPr lang="pt-BR" sz="800">
                                <a:latin typeface="Cambria Math" panose="02040503050406030204" pitchFamily="18" charset="0"/>
                              </a:rPr>
                              <m:t>Mobili</m:t>
                            </m:r>
                            <m:r>
                              <a:rPr lang="pt-BR" sz="800">
                                <a:latin typeface="Cambria Math" panose="02040503050406030204" pitchFamily="18" charset="0"/>
                              </a:rPr>
                              <m:t>á</m:t>
                            </m:r>
                            <m:r>
                              <m:rPr>
                                <m:sty m:val="p"/>
                              </m:rPr>
                              <a:rPr lang="pt-BR" sz="800">
                                <a:latin typeface="Cambria Math" panose="02040503050406030204" pitchFamily="18" charset="0"/>
                              </a:rPr>
                              <m:t>rios</m:t>
                            </m:r>
                            <m:r>
                              <a:rPr lang="pt-BR" sz="800">
                                <a:latin typeface="Cambria Math" panose="02040503050406030204" pitchFamily="18" charset="0"/>
                              </a:rPr>
                              <m:t> + </m:t>
                            </m:r>
                          </m:e>
                          <m:e>
                            <m:r>
                              <m:rPr>
                                <m:sty m:val="p"/>
                              </m:rPr>
                              <a:rPr lang="pt-BR" sz="800" i="0">
                                <a:latin typeface="Cambria Math" panose="02040503050406030204" pitchFamily="18" charset="0"/>
                              </a:rPr>
                              <m:t>Derivativos</m:t>
                            </m:r>
                            <m:r>
                              <a:rPr lang="pt-BR" sz="800" i="0">
                                <a:latin typeface="Cambria Math" panose="02040503050406030204" pitchFamily="18" charset="0"/>
                              </a:rPr>
                              <m:t> + </m:t>
                            </m:r>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e</m:t>
                            </m:r>
                            <m:r>
                              <a:rPr lang="pt-BR" sz="800" i="0">
                                <a:latin typeface="Cambria Math" panose="02040503050406030204" pitchFamily="18" charset="0"/>
                              </a:rPr>
                              <m:t> </m:t>
                            </m:r>
                            <m:r>
                              <m:rPr>
                                <m:sty m:val="p"/>
                              </m:rPr>
                              <a:rPr lang="pt-BR" sz="800" i="0">
                                <a:latin typeface="Cambria Math" panose="02040503050406030204" pitchFamily="18" charset="0"/>
                              </a:rPr>
                              <m:t>adiantamentos</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clientes</m:t>
                            </m:r>
                            <m:r>
                              <a:rPr lang="pt-BR" sz="800" b="0" i="0">
                                <a:latin typeface="Cambria Math" panose="02040503050406030204" pitchFamily="18" charset="0"/>
                              </a:rPr>
                              <m:t>)</m:t>
                            </m:r>
                          </m:e>
                        </m:eqArr>
                      </m:den>
                    </m:f>
                    <m:r>
                      <a:rPr lang="pt-BR" sz="800" i="0">
                        <a:latin typeface="Cambria Math" panose="02040503050406030204" pitchFamily="18" charset="0"/>
                      </a:rPr>
                      <m:t> </m:t>
                    </m:r>
                  </m:oMath>
                </m:oMathPara>
              </a14:m>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NIM 2.0 - Baseado na carteira remunerada</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 </m:t>
                        </m:r>
                        <m:r>
                          <m:rPr>
                            <m:sty m:val="p"/>
                          </m:rPr>
                          <a:rPr lang="pt-BR" sz="800">
                            <a:latin typeface="Cambria Math" panose="02040503050406030204" pitchFamily="18" charset="0"/>
                          </a:rPr>
                          <m:t>x</m:t>
                        </m:r>
                        <m:r>
                          <a:rPr lang="pt-BR" sz="800">
                            <a:latin typeface="Cambria Math" panose="02040503050406030204" pitchFamily="18" charset="0"/>
                          </a:rPr>
                          <m:t> 4</m:t>
                        </m:r>
                      </m:num>
                      <m:den>
                        <m:eqArr>
                          <m:eqArrPr>
                            <m:ctrlPr>
                              <a:rPr lang="en-US" sz="800" i="1">
                                <a:latin typeface="Cambria Math" panose="02040503050406030204" pitchFamily="18" charset="0"/>
                              </a:rPr>
                            </m:ctrlPr>
                          </m:eqArrPr>
                          <m:e>
                            <m:r>
                              <m:rPr>
                                <m:nor/>
                              </m:rPr>
                              <a:rPr lang="en-US" sz="800">
                                <a:latin typeface="Calibri" panose="020F0502020204030204" pitchFamily="34" charset="0"/>
                                <a:cs typeface="Calibri" panose="020F0502020204030204" pitchFamily="34" charset="0"/>
                              </a:rPr>
                              <m:t>M</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dia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carteira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remunerada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dos</m:t>
                            </m:r>
                            <m:r>
                              <m:rPr>
                                <m:nor/>
                              </m:rPr>
                              <a:rPr lang="en-US" sz="800">
                                <a:latin typeface="Calibri" panose="020F0502020204030204" pitchFamily="34" charset="0"/>
                                <a:cs typeface="Calibri" panose="020F0502020204030204" pitchFamily="34" charset="0"/>
                              </a:rPr>
                              <m:t> ú</m:t>
                            </m:r>
                            <m:r>
                              <m:rPr>
                                <m:nor/>
                              </m:rPr>
                              <a:rPr lang="en-US" sz="800">
                                <a:latin typeface="Calibri" panose="020F0502020204030204" pitchFamily="34" charset="0"/>
                                <a:cs typeface="Calibri" panose="020F0502020204030204" pitchFamily="34" charset="0"/>
                              </a:rPr>
                              <m:t>ltimos</m:t>
                            </m:r>
                            <m:r>
                              <m:rPr>
                                <m:nor/>
                              </m:rPr>
                              <a:rPr lang="en-US" sz="800">
                                <a:latin typeface="Calibri" panose="020F0502020204030204" pitchFamily="34" charset="0"/>
                                <a:cs typeface="Calibri" panose="020F0502020204030204" pitchFamily="34" charset="0"/>
                              </a:rPr>
                              <m:t> 2 </m:t>
                            </m:r>
                            <m:r>
                              <m:rPr>
                                <m:nor/>
                              </m:rPr>
                              <a:rPr lang="en-US" sz="800">
                                <a:latin typeface="Calibri" panose="020F0502020204030204" pitchFamily="34" charset="0"/>
                                <a:cs typeface="Calibri" panose="020F0502020204030204" pitchFamily="34" charset="0"/>
                              </a:rPr>
                              <m:t>trimestres</m:t>
                            </m:r>
                            <m:r>
                              <m:rPr>
                                <m:nor/>
                              </m:rPr>
                              <a:rPr lang="en-US" sz="800">
                                <a:latin typeface="Calibri" panose="020F0502020204030204" pitchFamily="34" charset="0"/>
                                <a:cs typeface="Calibri" panose="020F0502020204030204" pitchFamily="34" charset="0"/>
                              </a:rPr>
                              <m:t> – </m:t>
                            </m:r>
                            <m:r>
                              <m:rPr>
                                <m:nor/>
                              </m:rPr>
                              <a:rPr lang="en-US" sz="800">
                                <a:latin typeface="Calibri" panose="020F0502020204030204" pitchFamily="34" charset="0"/>
                                <a:cs typeface="Calibri" panose="020F0502020204030204" pitchFamily="34" charset="0"/>
                              </a:rPr>
                              <m:t>Receb</m:t>
                            </m:r>
                            <m:r>
                              <m:rPr>
                                <m:nor/>
                              </m:rPr>
                              <a:rPr lang="en-US" sz="800">
                                <a:latin typeface="Calibri" panose="020F0502020204030204" pitchFamily="34" charset="0"/>
                                <a:cs typeface="Calibri" panose="020F0502020204030204" pitchFamily="34" charset="0"/>
                              </a:rPr>
                              <m:t>í</m:t>
                            </m:r>
                            <m:r>
                              <m:rPr>
                                <m:nor/>
                              </m:rPr>
                              <a:rPr lang="en-US" sz="800">
                                <a:latin typeface="Calibri" panose="020F0502020204030204" pitchFamily="34" charset="0"/>
                                <a:cs typeface="Calibri" panose="020F0502020204030204" pitchFamily="34" charset="0"/>
                              </a:rPr>
                              <m:t>veis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cart</m:t>
                            </m:r>
                            <m:r>
                              <m:rPr>
                                <m:nor/>
                              </m:rPr>
                              <a:rPr lang="en-US" sz="800">
                                <a:latin typeface="Calibri" panose="020F0502020204030204" pitchFamily="34" charset="0"/>
                                <a:cs typeface="Calibri" panose="020F0502020204030204" pitchFamily="34" charset="0"/>
                              </a:rPr>
                              <m:t>ã</m:t>
                            </m:r>
                            <m:r>
                              <m:rPr>
                                <m:nor/>
                              </m:rPr>
                              <a:rPr lang="en-US" sz="800">
                                <a:latin typeface="Calibri" panose="020F0502020204030204" pitchFamily="34" charset="0"/>
                                <a:cs typeface="Calibri" panose="020F0502020204030204" pitchFamily="34" charset="0"/>
                              </a:rPr>
                              <m:t>ode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dito</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n</m:t>
                            </m:r>
                            <m:r>
                              <m:rPr>
                                <m:nor/>
                              </m:rPr>
                              <a:rPr lang="en-US" sz="800">
                                <a:latin typeface="Calibri" panose="020F0502020204030204" pitchFamily="34" charset="0"/>
                                <a:cs typeface="Calibri" panose="020F0502020204030204" pitchFamily="34" charset="0"/>
                              </a:rPr>
                              <m:t>ã</m:t>
                            </m:r>
                            <m:r>
                              <m:rPr>
                                <m:nor/>
                              </m:rPr>
                              <a:rPr lang="en-US" sz="800">
                                <a:latin typeface="Calibri" panose="020F0502020204030204" pitchFamily="34" charset="0"/>
                                <a:cs typeface="Calibri" panose="020F0502020204030204" pitchFamily="34" charset="0"/>
                              </a:rPr>
                              <m:t>o</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remunerados</m:t>
                            </m:r>
                            <m:r>
                              <m:rPr>
                                <m:nor/>
                              </m:rPr>
                              <a:rPr lang="pt-BR" sz="800">
                                <a:latin typeface="Calibri" panose="020F0502020204030204" pitchFamily="34" charset="0"/>
                                <a:cs typeface="Calibri" panose="020F0502020204030204" pitchFamily="34" charset="0"/>
                              </a:rPr>
                              <m:t> </m:t>
                            </m:r>
                          </m:e>
                          <m:e>
                            <m:r>
                              <m:rPr>
                                <m:nor/>
                              </m:rPr>
                              <a:rPr lang="en-US" sz="800">
                                <a:latin typeface="Calibri" panose="020F0502020204030204" pitchFamily="34" charset="0"/>
                                <a:cs typeface="Calibri" panose="020F0502020204030204" pitchFamily="34" charset="0"/>
                              </a:rPr>
                              <m:t>(</m:t>
                            </m:r>
                            <m:r>
                              <m:rPr>
                                <m:nor/>
                              </m:rPr>
                              <a:rPr lang="en-US" sz="800">
                                <a:latin typeface="Calibri" panose="020F0502020204030204" pitchFamily="34" charset="0"/>
                                <a:cs typeface="Calibri" panose="020F0502020204030204" pitchFamily="34" charset="0"/>
                              </a:rPr>
                              <m:t>Empr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stimos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institui</m:t>
                            </m:r>
                            <m:r>
                              <m:rPr>
                                <m:nor/>
                              </m:rPr>
                              <a:rPr lang="en-US" sz="800">
                                <a:latin typeface="Calibri" panose="020F0502020204030204" pitchFamily="34" charset="0"/>
                                <a:cs typeface="Calibri" panose="020F0502020204030204" pitchFamily="34" charset="0"/>
                              </a:rPr>
                              <m:t>çõ</m:t>
                            </m:r>
                            <m:r>
                              <m:rPr>
                                <m:nor/>
                              </m:rPr>
                              <a:rPr lang="en-US" sz="800">
                                <a:latin typeface="Calibri" panose="020F0502020204030204" pitchFamily="34" charset="0"/>
                                <a:cs typeface="Calibri" panose="020F0502020204030204" pitchFamily="34" charset="0"/>
                              </a:rPr>
                              <m:t>esfinanceiras</m:t>
                            </m:r>
                            <m:r>
                              <m:rPr>
                                <m:nor/>
                              </m:rPr>
                              <a:rPr lang="pt-BR"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Valores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Mobili</m:t>
                            </m:r>
                            <m:r>
                              <m:rPr>
                                <m:nor/>
                              </m:rPr>
                              <a:rPr lang="en-US" sz="800">
                                <a:latin typeface="Calibri" panose="020F0502020204030204" pitchFamily="34" charset="0"/>
                                <a:cs typeface="Calibri" panose="020F0502020204030204" pitchFamily="34" charset="0"/>
                              </a:rPr>
                              <m:t>á</m:t>
                            </m:r>
                            <m:r>
                              <m:rPr>
                                <m:nor/>
                              </m:rPr>
                              <a:rPr lang="en-US" sz="800">
                                <a:latin typeface="Calibri" panose="020F0502020204030204" pitchFamily="34" charset="0"/>
                                <a:cs typeface="Calibri" panose="020F0502020204030204" pitchFamily="34" charset="0"/>
                              </a:rPr>
                              <m:t>rios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Derivativos</m:t>
                            </m:r>
                            <m:r>
                              <m:rPr>
                                <m:nor/>
                              </m:rPr>
                              <a:rPr lang="en-US" sz="800">
                                <a:latin typeface="Calibri" panose="020F0502020204030204" pitchFamily="34" charset="0"/>
                                <a:cs typeface="Calibri" panose="020F0502020204030204" pitchFamily="34" charset="0"/>
                              </a:rPr>
                              <m:t> + </m:t>
                            </m:r>
                            <m:r>
                              <m:rPr>
                                <m:nor/>
                              </m:rPr>
                              <a:rPr lang="en-US" sz="800">
                                <a:latin typeface="Calibri" panose="020F0502020204030204" pitchFamily="34" charset="0"/>
                                <a:cs typeface="Calibri" panose="020F0502020204030204" pitchFamily="34" charset="0"/>
                              </a:rPr>
                              <m:t>Empr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stimos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adiantamentos</m:t>
                            </m:r>
                            <m:r>
                              <m:rPr>
                                <m:nor/>
                              </m:rPr>
                              <a:rPr lang="en-US" sz="800">
                                <a:latin typeface="Calibri" panose="020F0502020204030204" pitchFamily="34" charset="0"/>
                                <a:cs typeface="Calibri" panose="020F0502020204030204" pitchFamily="34" charset="0"/>
                              </a:rPr>
                              <m:t> </m:t>
                            </m:r>
                          </m:e>
                          <m:e>
                            <m:r>
                              <m:rPr>
                                <m:nor/>
                              </m:rPr>
                              <a:rPr lang="en-US" sz="800">
                                <a:latin typeface="Calibri" panose="020F0502020204030204" pitchFamily="34" charset="0"/>
                                <a:cs typeface="Calibri" panose="020F0502020204030204" pitchFamily="34" charset="0"/>
                              </a:rPr>
                              <m:t>a</m:t>
                            </m:r>
                            <m:r>
                              <a:rPr lang="pt-BR" sz="800">
                                <a:latin typeface="Cambria Math" panose="02040503050406030204" pitchFamily="18" charset="0"/>
                              </a:rPr>
                              <m:t> </m:t>
                            </m:r>
                            <m:r>
                              <m:rPr>
                                <m:sty m:val="p"/>
                              </m:rPr>
                              <a:rPr lang="pt-BR" sz="800">
                                <a:latin typeface="Cambria Math" panose="02040503050406030204" pitchFamily="18" charset="0"/>
                              </a:rPr>
                              <m:t>clientes</m:t>
                            </m:r>
                            <m:r>
                              <m:rPr>
                                <m:nor/>
                              </m:rPr>
                              <a:rPr lang="pt-BR"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 </m:t>
                            </m:r>
                            <m:r>
                              <m:rPr>
                                <m:nor/>
                              </m:rPr>
                              <a:rPr lang="pt-BR" sz="800">
                                <a:latin typeface="Calibri" panose="020F0502020204030204" pitchFamily="34" charset="0"/>
                                <a:cs typeface="Calibri" panose="020F0502020204030204" pitchFamily="34" charset="0"/>
                              </a:rPr>
                              <m:t>C</m:t>
                            </m:r>
                            <m:r>
                              <m:rPr>
                                <m:nor/>
                              </m:rPr>
                              <a:rPr lang="en-US" sz="800">
                                <a:latin typeface="Calibri" panose="020F0502020204030204" pitchFamily="34" charset="0"/>
                                <a:cs typeface="Calibri" panose="020F0502020204030204" pitchFamily="34" charset="0"/>
                              </a:rPr>
                              <m:t>arteira</m:t>
                            </m:r>
                            <m:r>
                              <m:rPr>
                                <m:nor/>
                              </m:rPr>
                              <a:rPr lang="en-US" sz="800">
                                <a:latin typeface="Calibri" panose="020F0502020204030204" pitchFamily="34" charset="0"/>
                                <a:cs typeface="Calibri" panose="020F0502020204030204" pitchFamily="34" charset="0"/>
                              </a:rPr>
                              <m:t> à </m:t>
                            </m:r>
                            <m:r>
                              <m:rPr>
                                <m:nor/>
                              </m:rPr>
                              <a:rPr lang="en-US" sz="800">
                                <a:latin typeface="Calibri" panose="020F0502020204030204" pitchFamily="34" charset="0"/>
                                <a:cs typeface="Calibri" panose="020F0502020204030204" pitchFamily="34" charset="0"/>
                              </a:rPr>
                              <m:t>vista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cart</m:t>
                            </m:r>
                            <m:r>
                              <m:rPr>
                                <m:nor/>
                              </m:rPr>
                              <a:rPr lang="en-US" sz="800">
                                <a:latin typeface="Calibri" panose="020F0502020204030204" pitchFamily="34" charset="0"/>
                                <a:cs typeface="Calibri" panose="020F0502020204030204" pitchFamily="34" charset="0"/>
                              </a:rPr>
                              <m:t>ã</m:t>
                            </m:r>
                            <m:r>
                              <m:rPr>
                                <m:nor/>
                              </m:rPr>
                              <a:rPr lang="en-US" sz="800">
                                <a:latin typeface="Calibri" panose="020F0502020204030204" pitchFamily="34" charset="0"/>
                                <a:cs typeface="Calibri" panose="020F0502020204030204" pitchFamily="34" charset="0"/>
                              </a:rPr>
                              <m:t>o</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dito</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e>
                        </m:eqArr>
                      </m:den>
                    </m:f>
                  </m:oMath>
                </m:oMathPara>
              </a14:m>
              <a:endParaRPr lang="en-US"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15 a 90 dias: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i="0">
                            <a:latin typeface="Cambria Math" panose="02040503050406030204" pitchFamily="18" charset="0"/>
                          </a:rPr>
                          <m:t>Saldo</m:t>
                        </m:r>
                        <m:r>
                          <a:rPr lang="pt-BR" sz="800" i="0">
                            <a:latin typeface="Cambria Math" panose="02040503050406030204" pitchFamily="18" charset="0"/>
                          </a:rPr>
                          <m:t> </m:t>
                        </m:r>
                        <m:r>
                          <m:rPr>
                            <m:sty m:val="p"/>
                          </m:rPr>
                          <a:rPr lang="pt-BR" sz="800" i="0">
                            <a:latin typeface="Cambria Math" panose="02040503050406030204" pitchFamily="18" charset="0"/>
                          </a:rPr>
                          <m:t>vencido</m:t>
                        </m:r>
                        <m:r>
                          <a:rPr lang="pt-BR" sz="800" i="0">
                            <a:latin typeface="Cambria Math" panose="02040503050406030204" pitchFamily="18" charset="0"/>
                          </a:rPr>
                          <m:t> </m:t>
                        </m:r>
                        <m:r>
                          <m:rPr>
                            <m:sty m:val="p"/>
                          </m:rPr>
                          <a:rPr lang="pt-BR" sz="800" b="0" i="0">
                            <a:latin typeface="Cambria Math" panose="02040503050406030204" pitchFamily="18" charset="0"/>
                          </a:rPr>
                          <m:t>entre</m:t>
                        </m:r>
                        <m:r>
                          <a:rPr lang="pt-BR" sz="800" b="0" i="0">
                            <a:latin typeface="Cambria Math" panose="02040503050406030204" pitchFamily="18" charset="0"/>
                          </a:rPr>
                          <m:t> 15 </m:t>
                        </m:r>
                        <m:r>
                          <m:rPr>
                            <m:sty m:val="p"/>
                          </m:rPr>
                          <a:rPr lang="pt-BR" sz="800" b="0" i="0">
                            <a:latin typeface="Cambria Math" panose="02040503050406030204" pitchFamily="18" charset="0"/>
                          </a:rPr>
                          <m:t>e</m:t>
                        </m:r>
                        <m:r>
                          <a:rPr lang="pt-BR" sz="800" b="0" i="0">
                            <a:latin typeface="Cambria Math" panose="02040503050406030204" pitchFamily="18" charset="0"/>
                          </a:rPr>
                          <m:t> 90 </m:t>
                        </m:r>
                        <m:r>
                          <m:rPr>
                            <m:sty m:val="p"/>
                          </m:rPr>
                          <a:rPr lang="pt-BR" sz="800" i="0">
                            <a:latin typeface="Cambria Math" panose="02040503050406030204" pitchFamily="18" charset="0"/>
                          </a:rPr>
                          <m:t>dias</m:t>
                        </m:r>
                      </m:num>
                      <m:den>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e</m:t>
                        </m:r>
                        <m:r>
                          <a:rPr lang="pt-BR" sz="800" i="0">
                            <a:latin typeface="Cambria Math" panose="02040503050406030204" pitchFamily="18" charset="0"/>
                          </a:rPr>
                          <m:t> </m:t>
                        </m:r>
                        <m:r>
                          <m:rPr>
                            <m:sty m:val="p"/>
                          </m:rPr>
                          <a:rPr lang="pt-BR" sz="800" i="0">
                            <a:latin typeface="Cambria Math" panose="02040503050406030204" pitchFamily="18" charset="0"/>
                          </a:rPr>
                          <m:t>adiantamento</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clientes</m:t>
                        </m:r>
                        <m:r>
                          <a:rPr lang="pt-BR" sz="800" i="0">
                            <a:latin typeface="Cambria Math" panose="02040503050406030204" pitchFamily="18" charset="0"/>
                          </a:rPr>
                          <m:t>+</m:t>
                        </m:r>
                        <m:r>
                          <m:rPr>
                            <m:sty m:val="p"/>
                          </m:rPr>
                          <a:rPr lang="pt-BR" sz="800" i="0">
                            <a:latin typeface="Cambria Math" panose="02040503050406030204" pitchFamily="18" charset="0"/>
                          </a:rPr>
                          <m:t>Receb</m:t>
                        </m:r>
                        <m:r>
                          <a:rPr lang="pt-BR" sz="800" i="0">
                            <a:latin typeface="Cambria Math" panose="02040503050406030204" pitchFamily="18" charset="0"/>
                          </a:rPr>
                          <m:t>í</m:t>
                        </m:r>
                        <m:r>
                          <m:rPr>
                            <m:sty m:val="p"/>
                          </m:rPr>
                          <a:rPr lang="pt-BR" sz="800" i="0">
                            <a:latin typeface="Cambria Math" panose="02040503050406030204" pitchFamily="18" charset="0"/>
                          </a:rPr>
                          <m:t>veis</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Cart</m:t>
                        </m:r>
                        <m:r>
                          <a:rPr lang="pt-BR" sz="800" i="0">
                            <a:latin typeface="Cambria Math" panose="02040503050406030204" pitchFamily="18" charset="0"/>
                          </a:rPr>
                          <m:t>ã</m:t>
                        </m:r>
                        <m:r>
                          <m:rPr>
                            <m:sty m:val="p"/>
                          </m:rPr>
                          <a:rPr lang="pt-BR" sz="800" i="0">
                            <a:latin typeface="Cambria Math" panose="02040503050406030204" pitchFamily="18" charset="0"/>
                          </a:rPr>
                          <m:t>o</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Cr</m:t>
                        </m:r>
                        <m:r>
                          <a:rPr lang="pt-BR" sz="800" i="0">
                            <a:latin typeface="Cambria Math" panose="02040503050406030204" pitchFamily="18" charset="0"/>
                          </a:rPr>
                          <m:t>é</m:t>
                        </m:r>
                        <m:r>
                          <m:rPr>
                            <m:sty m:val="p"/>
                          </m:rPr>
                          <a:rPr lang="pt-BR" sz="800" i="0">
                            <a:latin typeface="Cambria Math" panose="02040503050406030204" pitchFamily="18" charset="0"/>
                          </a:rPr>
                          <m:t>dito</m:t>
                        </m:r>
                      </m:den>
                    </m:f>
                    <m:r>
                      <a:rPr lang="pt-BR" sz="800" b="0" i="1">
                        <a:latin typeface="Cambria Math" panose="02040503050406030204" pitchFamily="18" charset="0"/>
                      </a:rPr>
                      <m:t> </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&gt; 90 dias: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i="0">
                            <a:latin typeface="Cambria Math" panose="02040503050406030204" pitchFamily="18" charset="0"/>
                          </a:rPr>
                          <m:t>S</m:t>
                        </m:r>
                        <m:r>
                          <m:rPr>
                            <m:sty m:val="p"/>
                          </m:rPr>
                          <a:rPr lang="pt-BR" sz="800" b="0" i="0">
                            <a:latin typeface="Cambria Math" panose="02040503050406030204" pitchFamily="18" charset="0"/>
                          </a:rPr>
                          <m:t>aldo</m:t>
                        </m:r>
                        <m:r>
                          <a:rPr lang="pt-BR" sz="800" b="0" i="0">
                            <a:latin typeface="Cambria Math" panose="02040503050406030204" pitchFamily="18" charset="0"/>
                          </a:rPr>
                          <m:t> </m:t>
                        </m:r>
                        <m:r>
                          <m:rPr>
                            <m:sty m:val="p"/>
                          </m:rPr>
                          <a:rPr lang="pt-BR" sz="800" b="0" i="0">
                            <a:latin typeface="Cambria Math" panose="02040503050406030204" pitchFamily="18" charset="0"/>
                          </a:rPr>
                          <m:t>vencido</m:t>
                        </m:r>
                        <m:r>
                          <a:rPr lang="pt-BR" sz="800" b="0" i="0">
                            <a:latin typeface="Cambria Math" panose="02040503050406030204" pitchFamily="18" charset="0"/>
                          </a:rPr>
                          <m:t> </m:t>
                        </m:r>
                        <m:r>
                          <m:rPr>
                            <m:sty m:val="p"/>
                          </m:rPr>
                          <a:rPr lang="pt-BR" sz="800" b="0" i="0">
                            <a:latin typeface="Cambria Math" panose="02040503050406030204" pitchFamily="18" charset="0"/>
                          </a:rPr>
                          <m:t>a</m:t>
                        </m:r>
                        <m:r>
                          <a:rPr lang="pt-BR" sz="800" b="0" i="0">
                            <a:latin typeface="Cambria Math" panose="02040503050406030204" pitchFamily="18" charset="0"/>
                          </a:rPr>
                          <m:t> </m:t>
                        </m:r>
                        <m:r>
                          <m:rPr>
                            <m:sty m:val="p"/>
                          </m:rPr>
                          <a:rPr lang="pt-BR" sz="800" b="0" i="0">
                            <a:latin typeface="Cambria Math" panose="02040503050406030204" pitchFamily="18" charset="0"/>
                          </a:rPr>
                          <m:t>mais</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90 </m:t>
                        </m:r>
                        <m:r>
                          <m:rPr>
                            <m:sty m:val="p"/>
                          </m:rPr>
                          <a:rPr lang="pt-BR" sz="800" b="0" i="0">
                            <a:latin typeface="Cambria Math" panose="02040503050406030204" pitchFamily="18" charset="0"/>
                          </a:rPr>
                          <m:t>dias</m:t>
                        </m:r>
                      </m:num>
                      <m:den>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e</m:t>
                        </m:r>
                        <m:r>
                          <a:rPr lang="pt-BR" sz="800" i="0">
                            <a:latin typeface="Cambria Math" panose="02040503050406030204" pitchFamily="18" charset="0"/>
                          </a:rPr>
                          <m:t> </m:t>
                        </m:r>
                        <m:r>
                          <m:rPr>
                            <m:sty m:val="p"/>
                          </m:rPr>
                          <a:rPr lang="pt-BR" sz="800" i="0">
                            <a:latin typeface="Cambria Math" panose="02040503050406030204" pitchFamily="18" charset="0"/>
                          </a:rPr>
                          <m:t>adiantamento</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clientes</m:t>
                        </m:r>
                        <m:r>
                          <a:rPr lang="pt-BR" sz="800" i="0">
                            <a:latin typeface="Cambria Math" panose="02040503050406030204" pitchFamily="18" charset="0"/>
                          </a:rPr>
                          <m:t>+</m:t>
                        </m:r>
                        <m:r>
                          <m:rPr>
                            <m:sty m:val="p"/>
                          </m:rPr>
                          <a:rPr lang="pt-BR" sz="800" i="0">
                            <a:latin typeface="Cambria Math" panose="02040503050406030204" pitchFamily="18" charset="0"/>
                          </a:rPr>
                          <m:t>Receb</m:t>
                        </m:r>
                        <m:r>
                          <a:rPr lang="pt-BR" sz="800" i="0">
                            <a:latin typeface="Cambria Math" panose="02040503050406030204" pitchFamily="18" charset="0"/>
                          </a:rPr>
                          <m:t>í</m:t>
                        </m:r>
                        <m:r>
                          <m:rPr>
                            <m:sty m:val="p"/>
                          </m:rPr>
                          <a:rPr lang="pt-BR" sz="800" i="0">
                            <a:latin typeface="Cambria Math" panose="02040503050406030204" pitchFamily="18" charset="0"/>
                          </a:rPr>
                          <m:t>veis</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Cart</m:t>
                        </m:r>
                        <m:r>
                          <a:rPr lang="pt-BR" sz="800" i="0">
                            <a:latin typeface="Cambria Math" panose="02040503050406030204" pitchFamily="18" charset="0"/>
                          </a:rPr>
                          <m:t>ã</m:t>
                        </m:r>
                        <m:r>
                          <m:rPr>
                            <m:sty m:val="p"/>
                          </m:rPr>
                          <a:rPr lang="pt-BR" sz="800" i="0">
                            <a:latin typeface="Cambria Math" panose="02040503050406030204" pitchFamily="18" charset="0"/>
                          </a:rPr>
                          <m:t>o</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Cr</m:t>
                        </m:r>
                        <m:r>
                          <a:rPr lang="pt-BR" sz="800" i="0">
                            <a:latin typeface="Cambria Math" panose="02040503050406030204" pitchFamily="18" charset="0"/>
                          </a:rPr>
                          <m:t>é</m:t>
                        </m:r>
                        <m:r>
                          <m:rPr>
                            <m:sty m:val="p"/>
                          </m:rPr>
                          <a:rPr lang="pt-BR" sz="800" i="0">
                            <a:latin typeface="Cambria Math" panose="02040503050406030204" pitchFamily="18" charset="0"/>
                          </a:rPr>
                          <m:t>dito</m:t>
                        </m: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bruta total:</a:t>
              </a:r>
            </a:p>
            <a:p>
              <a:endParaRPr lang="pt-BR" sz="800">
                <a:solidFill>
                  <a:schemeClr val="tx1">
                    <a:lumMod val="85000"/>
                    <a:lumOff val="15000"/>
                  </a:schemeClr>
                </a:solidFill>
                <a:latin typeface="Calibri" panose="020F0502020204030204" pitchFamily="34" charset="0"/>
                <a:ea typeface="Inter" panose="020B0502030000000004" pitchFamily="34" charset="0"/>
                <a:cs typeface="Calibri" panose="020F0502020204030204" pitchFamily="34" charset="0"/>
              </a:endParaRPr>
            </a:p>
            <a:p>
              <a:pPr/>
              <a14:m>
                <m:oMathPara xmlns:m="http://schemas.openxmlformats.org/officeDocument/2006/math">
                  <m:oMathParaPr>
                    <m:jc m:val="center"/>
                  </m:oMathParaPr>
                  <m:oMath xmlns:m="http://schemas.openxmlformats.org/officeDocument/2006/math">
                    <m:r>
                      <m:rPr>
                        <m:sty m:val="p"/>
                      </m:rPr>
                      <a:rPr lang="pt-BR" sz="800" b="0" i="0">
                        <a:latin typeface="Cambria Math" panose="02040503050406030204" pitchFamily="18" charset="0"/>
                        <a:cs typeface="Sora" pitchFamily="2" charset="0"/>
                      </a:rPr>
                      <m:t>Receita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juros</m:t>
                    </m:r>
                    <m:r>
                      <a:rPr lang="pt-BR" sz="800" i="0">
                        <a:latin typeface="Cambria Math" panose="02040503050406030204" pitchFamily="18" charset="0"/>
                        <a:cs typeface="Sora" pitchFamily="2" charset="0"/>
                      </a:rPr>
                      <m:t>+ </m:t>
                    </m:r>
                    <m:d>
                      <m:dPr>
                        <m:ctrlPr>
                          <a:rPr lang="pt-BR" sz="800" i="1">
                            <a:latin typeface="Cambria Math" panose="02040503050406030204" pitchFamily="18" charset="0"/>
                            <a:cs typeface="Sora" pitchFamily="2" charset="0"/>
                          </a:rPr>
                        </m:ctrlPr>
                      </m:dPr>
                      <m:e>
                        <m:r>
                          <m:rPr>
                            <m:sty m:val="p"/>
                          </m:rPr>
                          <a:rPr lang="pt-BR" sz="800" i="0">
                            <a:latin typeface="Cambria Math" panose="02040503050406030204" pitchFamily="18" charset="0"/>
                            <a:cs typeface="Sora" pitchFamily="2" charset="0"/>
                          </a:rPr>
                          <m:t>Receitas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servi</m:t>
                        </m:r>
                        <m:r>
                          <a:rPr lang="pt-BR" sz="800" i="0">
                            <a:latin typeface="Cambria Math" panose="02040503050406030204" pitchFamily="18" charset="0"/>
                            <a:cs typeface="Sora" pitchFamily="2" charset="0"/>
                          </a:rPr>
                          <m:t>ç</m:t>
                        </m:r>
                        <m:r>
                          <m:rPr>
                            <m:sty m:val="p"/>
                          </m:rPr>
                          <a:rPr lang="pt-BR" sz="800" i="0">
                            <a:latin typeface="Cambria Math" panose="02040503050406030204" pitchFamily="18" charset="0"/>
                            <a:cs typeface="Sora" pitchFamily="2" charset="0"/>
                          </a:rPr>
                          <m: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comiss</m:t>
                        </m:r>
                        <m:r>
                          <a:rPr lang="pt-BR" sz="800" i="0">
                            <a:latin typeface="Cambria Math" panose="02040503050406030204" pitchFamily="18" charset="0"/>
                            <a:cs typeface="Sora" pitchFamily="2" charset="0"/>
                          </a:rPr>
                          <m:t>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 </m:t>
                        </m:r>
                        <m:r>
                          <m:rPr>
                            <m:sty m:val="p"/>
                          </m:rPr>
                          <a:rPr lang="pt-BR" sz="800" i="0">
                            <a:latin typeface="Cambria Math" panose="02040503050406030204" pitchFamily="18" charset="0"/>
                            <a:cs typeface="Sora" pitchFamily="2" charset="0"/>
                          </a:rPr>
                          <m:t>despesas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cashback</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Inter</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rewards</m:t>
                        </m:r>
                      </m:e>
                    </m:d>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Resultado</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t</m:t>
                    </m:r>
                    <m:r>
                      <a:rPr lang="pt-BR" sz="800" i="0">
                        <a:latin typeface="Cambria Math" panose="02040503050406030204" pitchFamily="18" charset="0"/>
                        <a:cs typeface="Sora" pitchFamily="2" charset="0"/>
                      </a:rPr>
                      <m:t>í</m:t>
                    </m:r>
                    <m:r>
                      <m:rPr>
                        <m:sty m:val="p"/>
                      </m:rPr>
                      <a:rPr lang="pt-BR" sz="800" i="0">
                        <a:latin typeface="Cambria Math" panose="02040503050406030204" pitchFamily="18" charset="0"/>
                        <a:cs typeface="Sora" pitchFamily="2" charset="0"/>
                      </a:rPr>
                      <m:t>tulos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valores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mobili</m:t>
                    </m:r>
                    <m:r>
                      <a:rPr lang="pt-BR" sz="800" i="0">
                        <a:latin typeface="Cambria Math" panose="02040503050406030204" pitchFamily="18" charset="0"/>
                        <a:cs typeface="Sora" pitchFamily="2" charset="0"/>
                      </a:rPr>
                      <m:t>á</m:t>
                    </m:r>
                    <m:r>
                      <m:rPr>
                        <m:sty m:val="p"/>
                      </m:rPr>
                      <a:rPr lang="pt-BR" sz="800" i="0">
                        <a:latin typeface="Cambria Math" panose="02040503050406030204" pitchFamily="18" charset="0"/>
                        <a:cs typeface="Sora" pitchFamily="2" charset="0"/>
                      </a:rPr>
                      <m:t>rios</m:t>
                    </m:r>
                    <m:r>
                      <a:rPr lang="pt-BR" sz="80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derivativos</m:t>
                    </m:r>
                    <m:r>
                      <a:rPr lang="pt-BR" sz="800" i="0">
                        <a:latin typeface="Cambria Math" panose="02040503050406030204" pitchFamily="18" charset="0"/>
                        <a:cs typeface="Sora" pitchFamily="2" charset="0"/>
                      </a:rPr>
                      <m:t> + </m:t>
                    </m:r>
                    <m:r>
                      <m:rPr>
                        <m:sty m:val="p"/>
                      </m:rPr>
                      <a:rPr lang="pt-BR" sz="800" i="0">
                        <a:latin typeface="Cambria Math" panose="02040503050406030204" pitchFamily="18" charset="0"/>
                        <a:cs typeface="Sora" pitchFamily="2" charset="0"/>
                      </a:rPr>
                      <m:t>Outras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receitas</m:t>
                    </m:r>
                  </m:oMath>
                </m:oMathPara>
              </a14:m>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de floating:</a:t>
              </a:r>
            </a:p>
            <a:p>
              <a:r>
                <a:rPr lang="pt-BR" sz="800">
                  <a:latin typeface="Calibri" panose="020F0502020204030204" pitchFamily="34" charset="0"/>
                  <a:ea typeface="Inter" panose="020B0502030000000004" pitchFamily="34" charset="0"/>
                  <a:cs typeface="Calibri" panose="020F0502020204030204" pitchFamily="34" charset="0"/>
                </a:rPr>
                <a:t>A receita de floating é um cálculo gerencial e se dá pela multiplicação do saldo de depósitos à vista (líquido de compulsório) por 100% da taxa CDI.</a:t>
              </a:r>
            </a:p>
            <a:p>
              <a:endParaRPr lang="pt-BR"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xdr:txBody>
        </xdr:sp>
      </mc:Choice>
      <mc:Fallback xmlns="">
        <xdr:sp macro="" textlink="">
          <xdr:nvSpPr>
            <xdr:cNvPr id="51" name="Retângulo 9">
              <a:extLst>
                <a:ext uri="{FF2B5EF4-FFF2-40B4-BE49-F238E27FC236}">
                  <a16:creationId xmlns:a16="http://schemas.microsoft.com/office/drawing/2014/main" id="{A0707A7C-D8EB-26A2-0525-185CDA121C9A}"/>
                </a:ext>
              </a:extLst>
            </xdr:cNvPr>
            <xdr:cNvSpPr/>
          </xdr:nvSpPr>
          <xdr:spPr>
            <a:xfrm>
              <a:off x="6803887" y="31366055"/>
              <a:ext cx="5764771" cy="534139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NIM 1.0 - Baseado na carteira remunerada + recebíveis de cartão de crédito não remunerados</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(Resultado líquido de juros x 4)/█(Média da carteira remunerada dos últimos 2 trimestres (Empréstimos a instituições financeiras+ Valores Mobiliários + @Derivativos + Empréstimos e adiantamentos a clientes</a:t>
              </a:r>
              <a:r>
                <a:rPr lang="pt-BR" sz="800" b="0" i="0">
                  <a:latin typeface="Cambria Math" panose="02040503050406030204" pitchFamily="18" charset="0"/>
                </a:rPr>
                <a:t>)) </a:t>
              </a:r>
              <a:r>
                <a:rPr lang="pt-BR" sz="800" i="0">
                  <a:latin typeface="Cambria Math" panose="02040503050406030204" pitchFamily="18" charset="0"/>
                </a:rPr>
                <a:t> </a:t>
              </a:r>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NIM 2.0 - Baseado na carteira remunerada</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(Resultado líquido de juros x 4)/</a:t>
              </a:r>
              <a:r>
                <a:rPr lang="en-US" sz="800" i="0">
                  <a:latin typeface="Cambria Math" panose="02040503050406030204" pitchFamily="18" charset="0"/>
                </a:rPr>
                <a:t>█("</a:t>
              </a:r>
              <a:r>
                <a:rPr lang="en-US" sz="800" i="0">
                  <a:latin typeface="Calibri" panose="020F0502020204030204" pitchFamily="34" charset="0"/>
                  <a:cs typeface="Calibri" panose="020F0502020204030204" pitchFamily="34" charset="0"/>
                </a:rPr>
                <a:t>Média da carteira remunerada dos últimos 2 trimestres – Recebíveis cartãode crédito não remunerados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Calibri" panose="020F0502020204030204" pitchFamily="34" charset="0"/>
                </a:rPr>
                <a:t>"</a:t>
              </a:r>
              <a:r>
                <a:rPr lang="en-US" sz="800" i="0">
                  <a:latin typeface="Calibri" panose="020F0502020204030204" pitchFamily="34" charset="0"/>
                  <a:cs typeface="Calibri" panose="020F0502020204030204" pitchFamily="34" charset="0"/>
                </a:rPr>
                <a:t>(Empréstimos a instituiçõesfinanceiras</a:t>
              </a:r>
              <a:r>
                <a:rPr lang="pt-BR" sz="800" i="0">
                  <a:latin typeface="Calibri" panose="020F0502020204030204" pitchFamily="34" charset="0"/>
                  <a:cs typeface="Calibri" panose="020F0502020204030204" pitchFamily="34" charset="0"/>
                </a:rPr>
                <a:t> </a:t>
              </a:r>
              <a:r>
                <a:rPr lang="en-US" sz="800" i="0">
                  <a:latin typeface="Calibri" panose="020F0502020204030204" pitchFamily="34" charset="0"/>
                  <a:cs typeface="Calibri" panose="020F0502020204030204" pitchFamily="34" charset="0"/>
                </a:rPr>
                <a:t>+ Valores Mobiliários+ Derivativos + Empréstimos e adiantamentos </a:t>
              </a:r>
              <a:r>
                <a:rPr lang="en-US" sz="800" i="0">
                  <a:latin typeface="Cambria Math" panose="02040503050406030204" pitchFamily="18" charset="0"/>
                  <a:cs typeface="Calibri" panose="020F0502020204030204" pitchFamily="34" charset="0"/>
                </a:rPr>
                <a:t>" @"</a:t>
              </a:r>
              <a:r>
                <a:rPr lang="en-US" sz="800" i="0">
                  <a:latin typeface="Calibri" panose="020F0502020204030204" pitchFamily="34" charset="0"/>
                  <a:cs typeface="Calibri" panose="020F0502020204030204" pitchFamily="34" charset="0"/>
                </a:rPr>
                <a:t>a</a:t>
              </a:r>
              <a:r>
                <a:rPr lang="pt-BR" sz="800" i="0">
                  <a:latin typeface="Cambria Math" panose="02040503050406030204" pitchFamily="18" charset="0"/>
                  <a:cs typeface="Calibri" panose="020F0502020204030204" pitchFamily="34" charset="0"/>
                </a:rPr>
                <a:t>" </a:t>
              </a:r>
              <a:r>
                <a:rPr lang="pt-BR" sz="800" i="0">
                  <a:latin typeface="Cambria Math" panose="02040503050406030204" pitchFamily="18" charset="0"/>
                </a:rPr>
                <a:t> clientes"</a:t>
              </a:r>
              <a:r>
                <a:rPr lang="pt-BR" sz="800" i="0">
                  <a:latin typeface="Calibri" panose="020F0502020204030204" pitchFamily="34" charset="0"/>
                  <a:cs typeface="Calibri" panose="020F0502020204030204" pitchFamily="34" charset="0"/>
                </a:rPr>
                <a:t> </a:t>
              </a:r>
              <a:r>
                <a:rPr lang="en-US" sz="800" i="0">
                  <a:latin typeface="Calibri" panose="020F0502020204030204" pitchFamily="34" charset="0"/>
                  <a:cs typeface="Calibri" panose="020F0502020204030204" pitchFamily="34" charset="0"/>
                </a:rPr>
                <a:t>– </a:t>
              </a:r>
              <a:r>
                <a:rPr lang="pt-BR" sz="800" i="0">
                  <a:latin typeface="Calibri" panose="020F0502020204030204" pitchFamily="34" charset="0"/>
                  <a:cs typeface="Calibri" panose="020F0502020204030204" pitchFamily="34" charset="0"/>
                </a:rPr>
                <a:t>C</a:t>
              </a:r>
              <a:r>
                <a:rPr lang="en-US" sz="800" i="0">
                  <a:latin typeface="Calibri" panose="020F0502020204030204" pitchFamily="34" charset="0"/>
                  <a:cs typeface="Calibri" panose="020F0502020204030204" pitchFamily="34" charset="0"/>
                </a:rPr>
                <a:t>arteira à vista de cartão de crédito</a:t>
              </a:r>
              <a:r>
                <a:rPr lang="pt-BR" sz="800" i="0">
                  <a:latin typeface="Cambria Math" panose="02040503050406030204" pitchFamily="18" charset="0"/>
                  <a:cs typeface="Calibri" panose="020F0502020204030204" pitchFamily="34" charset="0"/>
                </a:rPr>
                <a:t>" </a:t>
              </a:r>
              <a:r>
                <a:rPr lang="pt-BR" sz="800" i="0">
                  <a:latin typeface="Cambria Math" panose="02040503050406030204" pitchFamily="18" charset="0"/>
                </a:rPr>
                <a:t>)"</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endParaRPr lang="en-US"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15 a 90 dias:</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(Saldo vencido </a:t>
              </a:r>
              <a:r>
                <a:rPr lang="pt-BR" sz="800" b="0" i="0">
                  <a:latin typeface="Cambria Math" panose="02040503050406030204" pitchFamily="18" charset="0"/>
                </a:rPr>
                <a:t>entre 15 e 90 </a:t>
              </a:r>
              <a:r>
                <a:rPr lang="pt-BR" sz="800" i="0">
                  <a:latin typeface="Cambria Math" panose="02040503050406030204" pitchFamily="18" charset="0"/>
                </a:rPr>
                <a:t>dias)/(Empréstimos e adiantamento a clientes+Recebíveis de Cartão de Crédito)</a:t>
              </a:r>
              <a:r>
                <a:rPr lang="pt-BR" sz="800" b="0" i="0">
                  <a:latin typeface="Cambria Math" panose="02040503050406030204" pitchFamily="18"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&gt; 90 dias:</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t>
              </a:r>
              <a:r>
                <a:rPr lang="pt-BR" sz="800" b="0" i="0">
                  <a:latin typeface="Cambria Math" panose="02040503050406030204" pitchFamily="18" charset="0"/>
                </a:rPr>
                <a:t>aldo vencido a mais de 90 dias)/(</a:t>
              </a:r>
              <a:r>
                <a:rPr lang="pt-BR" sz="800" i="0">
                  <a:latin typeface="Cambria Math" panose="02040503050406030204" pitchFamily="18" charset="0"/>
                </a:rPr>
                <a:t>Empréstimos e adiantamento a clientes+Recebíveis de Cartão de Crédito)</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bruta total:</a:t>
              </a:r>
            </a:p>
            <a:p>
              <a:endParaRPr lang="pt-BR" sz="800">
                <a:solidFill>
                  <a:schemeClr val="tx1">
                    <a:lumMod val="85000"/>
                    <a:lumOff val="15000"/>
                  </a:schemeClr>
                </a:solidFill>
                <a:latin typeface="Calibri" panose="020F0502020204030204" pitchFamily="34" charset="0"/>
                <a:ea typeface="Inter" panose="020B0502030000000004" pitchFamily="34" charset="0"/>
                <a:cs typeface="Calibri" panose="020F0502020204030204" pitchFamily="34" charset="0"/>
              </a:endParaRPr>
            </a:p>
            <a:p>
              <a:pPr/>
              <a:r>
                <a:rPr lang="pt-BR" sz="800" b="0" i="0">
                  <a:latin typeface="Cambria Math" panose="02040503050406030204" pitchFamily="18" charset="0"/>
                  <a:cs typeface="Sora" pitchFamily="2" charset="0"/>
                </a:rPr>
                <a:t>Receita de juros</a:t>
              </a:r>
              <a:r>
                <a:rPr lang="pt-BR" sz="800" i="0">
                  <a:latin typeface="Cambria Math" panose="02040503050406030204" pitchFamily="18" charset="0"/>
                  <a:cs typeface="Sora" pitchFamily="2" charset="0"/>
                </a:rPr>
                <a:t>+ (Receitas de serviços e comissões – despesas com cashback</a:t>
              </a:r>
              <a:r>
                <a:rPr lang="pt-BR" sz="800" b="0" i="0">
                  <a:latin typeface="Cambria Math" panose="02040503050406030204" pitchFamily="18" charset="0"/>
                  <a:cs typeface="Sora" pitchFamily="2" charset="0"/>
                </a:rPr>
                <a:t> −Inter rewards)</a:t>
              </a:r>
              <a:r>
                <a:rPr lang="pt-BR" sz="800" i="0">
                  <a:latin typeface="Cambria Math" panose="02040503050406030204" pitchFamily="18" charset="0"/>
                  <a:cs typeface="Sora" pitchFamily="2" charset="0"/>
                </a:rPr>
                <a:t>+ Resultado de títulos e valores mobiliários </a:t>
              </a:r>
              <a:r>
                <a:rPr lang="pt-BR" sz="800" b="0" i="0">
                  <a:latin typeface="Cambria Math" panose="02040503050406030204" pitchFamily="18" charset="0"/>
                  <a:cs typeface="Sora" pitchFamily="2" charset="0"/>
                </a:rPr>
                <a:t>e </a:t>
              </a:r>
              <a:r>
                <a:rPr lang="pt-BR" sz="800" i="0">
                  <a:latin typeface="Cambria Math" panose="02040503050406030204" pitchFamily="18" charset="0"/>
                  <a:cs typeface="Sora" pitchFamily="2" charset="0"/>
                </a:rPr>
                <a:t>derivativos + Outras receitas</a:t>
              </a:r>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de floating:</a:t>
              </a:r>
            </a:p>
            <a:p>
              <a:r>
                <a:rPr lang="pt-BR" sz="800">
                  <a:latin typeface="Calibri" panose="020F0502020204030204" pitchFamily="34" charset="0"/>
                  <a:ea typeface="Inter" panose="020B0502030000000004" pitchFamily="34" charset="0"/>
                  <a:cs typeface="Calibri" panose="020F0502020204030204" pitchFamily="34" charset="0"/>
                </a:rPr>
                <a:t>A receita de floating é um cálculo gerencial e se dá pela multiplicação do saldo de depósitos à vista (líquido de compulsório) por 100% da taxa CDI.</a:t>
              </a:r>
            </a:p>
            <a:p>
              <a:endParaRPr lang="pt-BR"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218784</xdr:colOff>
      <xdr:row>200</xdr:row>
      <xdr:rowOff>0</xdr:rowOff>
    </xdr:from>
    <xdr:to>
      <xdr:col>15</xdr:col>
      <xdr:colOff>186984</xdr:colOff>
      <xdr:row>227</xdr:row>
      <xdr:rowOff>15069</xdr:rowOff>
    </xdr:to>
    <mc:AlternateContent xmlns:mc="http://schemas.openxmlformats.org/markup-compatibility/2006" xmlns:a14="http://schemas.microsoft.com/office/drawing/2010/main">
      <mc:Choice Requires="a14">
        <xdr:sp macro="" textlink="">
          <xdr:nvSpPr>
            <xdr:cNvPr id="52" name="Retângulo 9">
              <a:extLst>
                <a:ext uri="{FF2B5EF4-FFF2-40B4-BE49-F238E27FC236}">
                  <a16:creationId xmlns:a16="http://schemas.microsoft.com/office/drawing/2014/main" id="{00000000-0008-0000-1600-000034000000}"/>
                </a:ext>
              </a:extLst>
            </xdr:cNvPr>
            <xdr:cNvSpPr/>
          </xdr:nvSpPr>
          <xdr:spPr>
            <a:xfrm>
              <a:off x="6844871" y="36811594"/>
              <a:ext cx="5766026" cy="4984634"/>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Receita de serviços de cartão:</a:t>
              </a:r>
            </a:p>
            <a:p>
              <a:pPr algn="just"/>
              <a:r>
                <a:rPr lang="en-US" sz="800">
                  <a:latin typeface="Calibri" panose="020F0502020204030204" pitchFamily="34" charset="0"/>
                  <a:ea typeface="Inter" panose="020B0502030000000004" pitchFamily="34" charset="0"/>
                  <a:cs typeface="Calibri" panose="020F0502020204030204" pitchFamily="34" charset="0"/>
                </a:rPr>
                <a:t>É parte das linhas “Receita de serviços e comissões” e “Outras receitas” da Demonstração de Resultado IFRS. </a:t>
              </a:r>
            </a:p>
            <a:p>
              <a:pPr algn="just"/>
              <a:endParaRPr lang="en-US"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sultado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quido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juros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Resultado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quido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ç</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comiss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õ</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Outras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oMath>
                </m:oMathPara>
              </a14:m>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serviços: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ç</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comiss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õ</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Outras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juros: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14:m>
                <m:oMath xmlns:m="http://schemas.openxmlformats.org/officeDocument/2006/math">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juros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Despesas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juros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Resultado</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tulos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Valores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Mobili</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á</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rios</m:t>
                  </m:r>
                </m:oMath>
              </a14:m>
              <a:r>
                <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 e Derivativos</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Retorno sobre patrimônio líquido médio (ROE): </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a:rPr lang="pt-BR" sz="800" i="0">
                            <a:latin typeface="Cambria Math" panose="02040503050406030204" pitchFamily="18" charset="0"/>
                          </a:rPr>
                          <m:t>(</m:t>
                        </m:r>
                        <m:r>
                          <m:rPr>
                            <m:sty m:val="p"/>
                          </m:rPr>
                          <a:rPr lang="pt-BR" sz="800" i="0">
                            <a:latin typeface="Cambria Math" panose="02040503050406030204" pitchFamily="18" charset="0"/>
                          </a:rPr>
                          <m:t>Lucro</m:t>
                        </m:r>
                        <m:r>
                          <a:rPr lang="pt-BR" sz="800" i="0">
                            <a:latin typeface="Cambria Math" panose="02040503050406030204" pitchFamily="18" charset="0"/>
                          </a:rPr>
                          <m:t> /</m:t>
                        </m:r>
                        <m:d>
                          <m:dPr>
                            <m:ctrlPr>
                              <a:rPr lang="pt-BR" sz="800" i="1">
                                <a:latin typeface="Cambria Math" panose="02040503050406030204" pitchFamily="18" charset="0"/>
                              </a:rPr>
                            </m:ctrlPr>
                          </m:dPr>
                          <m:e>
                            <m:r>
                              <m:rPr>
                                <m:sty m:val="p"/>
                              </m:rPr>
                              <a:rPr lang="pt-BR" sz="800" i="0">
                                <a:latin typeface="Cambria Math" panose="02040503050406030204" pitchFamily="18" charset="0"/>
                              </a:rPr>
                              <m:t>perda</m:t>
                            </m:r>
                          </m:e>
                        </m:d>
                        <m:r>
                          <a:rPr lang="pt-BR" sz="800" i="0">
                            <a:latin typeface="Cambria Math" panose="02040503050406030204" pitchFamily="18" charset="0"/>
                          </a:rPr>
                          <m:t> </m:t>
                        </m:r>
                        <m:r>
                          <m:rPr>
                            <m:sty m:val="p"/>
                          </m:rPr>
                          <a:rPr lang="pt-BR" sz="800" i="0">
                            <a:latin typeface="Cambria Math" panose="02040503050406030204" pitchFamily="18" charset="0"/>
                          </a:rPr>
                          <m:t>para</m:t>
                        </m:r>
                        <m:r>
                          <a:rPr lang="pt-BR" sz="800" i="0">
                            <a:latin typeface="Cambria Math" panose="02040503050406030204" pitchFamily="18" charset="0"/>
                          </a:rPr>
                          <m:t> </m:t>
                        </m:r>
                        <m:r>
                          <m:rPr>
                            <m:sty m:val="p"/>
                          </m:rPr>
                          <a:rPr lang="pt-BR" sz="800" i="0">
                            <a:latin typeface="Cambria Math" panose="02040503050406030204" pitchFamily="18" charset="0"/>
                          </a:rPr>
                          <m:t>o</m:t>
                        </m:r>
                        <m:r>
                          <a:rPr lang="pt-BR" sz="800" i="0">
                            <a:latin typeface="Cambria Math" panose="02040503050406030204" pitchFamily="18" charset="0"/>
                          </a:rPr>
                          <m:t> </m:t>
                        </m:r>
                        <m:r>
                          <m:rPr>
                            <m:sty m:val="p"/>
                          </m:rPr>
                          <a:rPr lang="pt-BR" sz="800" i="0">
                            <a:latin typeface="Cambria Math" panose="02040503050406030204" pitchFamily="18" charset="0"/>
                          </a:rPr>
                          <m:t>ano</m:t>
                        </m:r>
                        <m:r>
                          <a:rPr lang="pt-BR" sz="800" i="0">
                            <a:latin typeface="Cambria Math" panose="02040503050406030204" pitchFamily="18" charset="0"/>
                          </a:rPr>
                          <m:t>) × 4</m:t>
                        </m:r>
                      </m:num>
                      <m:den>
                        <m:r>
                          <m:rPr>
                            <m:sty m:val="p"/>
                          </m:rPr>
                          <a:rPr lang="pt-BR" sz="800" i="0">
                            <a:latin typeface="Cambria Math" panose="02040503050406030204" pitchFamily="18" charset="0"/>
                          </a:rPr>
                          <m:t>M</m:t>
                        </m:r>
                        <m:r>
                          <a:rPr lang="pt-BR" sz="800" i="0">
                            <a:latin typeface="Cambria Math" panose="02040503050406030204" pitchFamily="18" charset="0"/>
                          </a:rPr>
                          <m:t>é</m:t>
                        </m:r>
                        <m:r>
                          <m:rPr>
                            <m:sty m:val="p"/>
                          </m:rPr>
                          <a:rPr lang="pt-BR" sz="800" i="0">
                            <a:latin typeface="Cambria Math" panose="02040503050406030204" pitchFamily="18" charset="0"/>
                          </a:rPr>
                          <m:t>dia</m:t>
                        </m:r>
                        <m:r>
                          <a:rPr lang="pt-BR" sz="800" i="0">
                            <a:latin typeface="Cambria Math" panose="02040503050406030204" pitchFamily="18" charset="0"/>
                          </a:rPr>
                          <m:t> </m:t>
                        </m:r>
                        <m:r>
                          <m:rPr>
                            <m:sty m:val="p"/>
                          </m:rPr>
                          <a:rPr lang="pt-BR" sz="800" i="0">
                            <a:latin typeface="Cambria Math" panose="02040503050406030204" pitchFamily="18" charset="0"/>
                          </a:rPr>
                          <m:t>do</m:t>
                        </m:r>
                        <m:r>
                          <a:rPr lang="pt-BR" sz="800" i="0">
                            <a:latin typeface="Cambria Math" panose="02040503050406030204" pitchFamily="18" charset="0"/>
                          </a:rPr>
                          <m:t> </m:t>
                        </m:r>
                        <m:r>
                          <m:rPr>
                            <m:sty m:val="p"/>
                          </m:rPr>
                          <a:rPr lang="pt-BR" sz="800" i="0">
                            <a:latin typeface="Cambria Math" panose="02040503050406030204" pitchFamily="18" charset="0"/>
                          </a:rPr>
                          <m:t>patrim</m:t>
                        </m:r>
                        <m:r>
                          <a:rPr lang="pt-BR" sz="800" i="0">
                            <a:latin typeface="Cambria Math" panose="02040503050406030204" pitchFamily="18" charset="0"/>
                          </a:rPr>
                          <m:t>ô</m:t>
                        </m:r>
                        <m:r>
                          <m:rPr>
                            <m:sty m:val="p"/>
                          </m:rPr>
                          <a:rPr lang="pt-BR" sz="800" i="0">
                            <a:latin typeface="Cambria Math" panose="02040503050406030204" pitchFamily="18" charset="0"/>
                          </a:rPr>
                          <m:t>nio</m:t>
                        </m:r>
                        <m:r>
                          <a:rPr lang="pt-BR" sz="800" i="0">
                            <a:latin typeface="Cambria Math" panose="02040503050406030204" pitchFamily="18" charset="0"/>
                          </a:rPr>
                          <m:t> </m:t>
                        </m:r>
                        <m:r>
                          <m:rPr>
                            <m:sty m:val="p"/>
                          </m:rPr>
                          <a:rPr lang="pt-BR" sz="800" i="0">
                            <a:latin typeface="Cambria Math" panose="02040503050406030204" pitchFamily="18" charset="0"/>
                          </a:rPr>
                          <m:t>l</m:t>
                        </m:r>
                        <m:r>
                          <a:rPr lang="pt-BR" sz="800" i="0">
                            <a:latin typeface="Cambria Math" panose="02040503050406030204" pitchFamily="18" charset="0"/>
                          </a:rPr>
                          <m:t>í</m:t>
                        </m:r>
                        <m:r>
                          <m:rPr>
                            <m:sty m:val="p"/>
                          </m:rPr>
                          <a:rPr lang="pt-BR" sz="800" i="0">
                            <a:latin typeface="Cambria Math" panose="02040503050406030204" pitchFamily="18" charset="0"/>
                          </a:rPr>
                          <m:t>quido</m:t>
                        </m:r>
                        <m:r>
                          <a:rPr lang="pt-BR" sz="800" i="0">
                            <a:latin typeface="Cambria Math" panose="02040503050406030204" pitchFamily="18" charset="0"/>
                          </a:rPr>
                          <m:t> </m:t>
                        </m:r>
                        <m:r>
                          <m:rPr>
                            <m:sty m:val="p"/>
                          </m:rPr>
                          <a:rPr lang="pt-BR" sz="800" i="0">
                            <a:latin typeface="Cambria Math" panose="02040503050406030204" pitchFamily="18" charset="0"/>
                          </a:rPr>
                          <m:t>dos</m:t>
                        </m:r>
                        <m:r>
                          <a:rPr lang="pt-BR" sz="800" i="0">
                            <a:latin typeface="Cambria Math" panose="02040503050406030204" pitchFamily="18" charset="0"/>
                          </a:rPr>
                          <m:t> ú</m:t>
                        </m:r>
                        <m:r>
                          <m:rPr>
                            <m:sty m:val="p"/>
                          </m:rPr>
                          <a:rPr lang="pt-BR" sz="800" i="0">
                            <a:latin typeface="Cambria Math" panose="02040503050406030204" pitchFamily="18" charset="0"/>
                          </a:rPr>
                          <m:t>ltimos</m:t>
                        </m:r>
                        <m:r>
                          <a:rPr lang="pt-BR" sz="800" i="0">
                            <a:latin typeface="Cambria Math" panose="02040503050406030204" pitchFamily="18" charset="0"/>
                          </a:rPr>
                          <m:t> 2 </m:t>
                        </m:r>
                        <m:r>
                          <m:rPr>
                            <m:sty m:val="p"/>
                          </m:rPr>
                          <a:rPr lang="pt-BR" sz="800" i="0">
                            <a:latin typeface="Cambria Math" panose="02040503050406030204" pitchFamily="18" charset="0"/>
                          </a:rPr>
                          <m:t>trimestres</m:t>
                        </m:r>
                        <m:r>
                          <a:rPr lang="pt-BR" sz="800" i="0">
                            <a:latin typeface="Cambria Math" panose="02040503050406030204" pitchFamily="18" charset="0"/>
                          </a:rPr>
                          <m:t> </m:t>
                        </m:r>
                      </m:den>
                    </m:f>
                  </m:oMath>
                </m:oMathPara>
              </a14:m>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ea typeface="Cambria Math" panose="02040503050406030204" pitchFamily="18" charset="0"/>
                  <a:cs typeface="Calibri" panose="020F0502020204030204" pitchFamily="34" charset="0"/>
                </a:rPr>
                <a:t>SG&amp;A:</a:t>
              </a:r>
            </a:p>
            <a:p>
              <a:endParaRPr lang="en-US" sz="800" b="1" i="0">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sty m:val="p"/>
                    </m:rPr>
                    <a:rPr lang="pt-BR" sz="800" b="0" i="0">
                      <a:latin typeface="Cambria Math" panose="02040503050406030204" pitchFamily="18" charset="0"/>
                      <a:ea typeface="Cambria Math" panose="02040503050406030204" pitchFamily="18" charset="0"/>
                      <a:cs typeface="Sora" pitchFamily="2" charset="0"/>
                    </a:rPr>
                    <m:t>Despesas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Administrativas</m:t>
                  </m:r>
                  <m:r>
                    <a:rPr lang="pt-BR" sz="800" b="0" i="0">
                      <a:latin typeface="Cambria Math" panose="02040503050406030204" pitchFamily="18" charset="0"/>
                      <a:ea typeface="Cambria Math" panose="02040503050406030204" pitchFamily="18" charset="0"/>
                      <a:cs typeface="Sora" pitchFamily="2" charset="0"/>
                    </a:rPr>
                    <m:t> </m:t>
                  </m:r>
                </m:oMath>
              </a14:m>
              <a:r>
                <a:rPr lang="en-US" sz="800">
                  <a:latin typeface="Calibri" panose="020F0502020204030204" pitchFamily="34" charset="0"/>
                  <a:ea typeface="Cambria Math" panose="02040503050406030204" pitchFamily="18" charset="0"/>
                  <a:cs typeface="Calibri" panose="020F0502020204030204" pitchFamily="34" charset="0"/>
                </a:rPr>
                <a:t>+ Despesa de Pessoal + Depreciação e Amortização</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Taxas anualizadas:</a:t>
              </a:r>
            </a:p>
            <a:p>
              <a:pPr algn="just"/>
              <a:r>
                <a:rPr lang="en-US" sz="800">
                  <a:latin typeface="Calibri" panose="020F0502020204030204" pitchFamily="34" charset="0"/>
                  <a:ea typeface="Inter" panose="020B0502030000000004" pitchFamily="34" charset="0"/>
                  <a:cs typeface="Calibri" panose="020F0502020204030204" pitchFamily="34" charset="0"/>
                </a:rPr>
                <a:t>Taxa anual calculada multiplicando a taxa de juros trimestral por 4, dividida pela média da carteira dos últimos dois trimestres. Taxa de juros consolidada inclui imobiliário, consignado + FGTS, PMEs, cartão de crédito excluindo recebíveis de cartão de crédito não remunerados, e antecipação de recebíveis de cartão de crédito.</a:t>
              </a:r>
            </a:p>
          </xdr:txBody>
        </xdr:sp>
      </mc:Choice>
      <mc:Fallback xmlns="">
        <xdr:sp macro="" textlink="">
          <xdr:nvSpPr>
            <xdr:cNvPr id="52" name="Retângulo 9">
              <a:extLst>
                <a:ext uri="{FF2B5EF4-FFF2-40B4-BE49-F238E27FC236}">
                  <a16:creationId xmlns:a16="http://schemas.microsoft.com/office/drawing/2014/main" id="{3E89D0AB-9666-E04D-4A66-644C70C6A489}"/>
                </a:ext>
              </a:extLst>
            </xdr:cNvPr>
            <xdr:cNvSpPr/>
          </xdr:nvSpPr>
          <xdr:spPr>
            <a:xfrm>
              <a:off x="6844871" y="36811594"/>
              <a:ext cx="5766026" cy="4984634"/>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Receita de serviços de cartão:</a:t>
              </a:r>
            </a:p>
            <a:p>
              <a:pPr algn="just"/>
              <a:r>
                <a:rPr lang="en-US" sz="800">
                  <a:latin typeface="Calibri" panose="020F0502020204030204" pitchFamily="34" charset="0"/>
                  <a:ea typeface="Inter" panose="020B0502030000000004" pitchFamily="34" charset="0"/>
                  <a:cs typeface="Calibri" panose="020F0502020204030204" pitchFamily="34" charset="0"/>
                </a:rPr>
                <a:t>É parte das linhas “Receita de serviços e comissões” e “Outras receitas” da Demonstração de Resultado IFRS. </a:t>
              </a:r>
            </a:p>
            <a:p>
              <a:pPr algn="just"/>
              <a:endParaRPr lang="en-US"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sultado líquido de juros + Resultado líquido de serviços e comissões</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 </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 Outras receitas</a:t>
              </a:r>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serviços: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Receitas de serviços e comissões + Outras receitas</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juros: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Receita de juros+Despesas de juros+Resultado de Títulos e Valores Mobiliários</a:t>
              </a:r>
              <a:r>
                <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 e Derivativos</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Retorno sobre patrimônio líquido médio (ROE): </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((Lucro /(perda)  para o ano) × 4)/(Média do patrimônio líquido dos últimos 2 trimestres )</a:t>
              </a:r>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ea typeface="Cambria Math" panose="02040503050406030204" pitchFamily="18" charset="0"/>
                  <a:cs typeface="Calibri" panose="020F0502020204030204" pitchFamily="34" charset="0"/>
                </a:rPr>
                <a:t>SG&amp;A:</a:t>
              </a:r>
            </a:p>
            <a:p>
              <a:endParaRPr lang="en-US" sz="800" b="1" i="0">
                <a:latin typeface="Calibri" panose="020F0502020204030204" pitchFamily="34" charset="0"/>
                <a:ea typeface="Cambria Math" panose="02040503050406030204" pitchFamily="18" charset="0"/>
                <a:cs typeface="Calibri" panose="020F0502020204030204" pitchFamily="34" charset="0"/>
              </a:endParaRPr>
            </a:p>
            <a:p>
              <a:pPr algn="ctr"/>
              <a:r>
                <a:rPr lang="pt-BR" sz="800" b="0" i="0">
                  <a:latin typeface="Cambria Math" panose="02040503050406030204" pitchFamily="18" charset="0"/>
                  <a:ea typeface="Cambria Math" panose="02040503050406030204" pitchFamily="18" charset="0"/>
                  <a:cs typeface="Sora" pitchFamily="2" charset="0"/>
                </a:rPr>
                <a:t>Despesas Administrativas </a:t>
              </a:r>
              <a:r>
                <a:rPr lang="en-US" sz="800">
                  <a:latin typeface="Calibri" panose="020F0502020204030204" pitchFamily="34" charset="0"/>
                  <a:ea typeface="Cambria Math" panose="02040503050406030204" pitchFamily="18" charset="0"/>
                  <a:cs typeface="Calibri" panose="020F0502020204030204" pitchFamily="34" charset="0"/>
                </a:rPr>
                <a:t>+ Despesa de Pessoal + Depreciação e Amortização</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Taxas anualizadas:</a:t>
              </a:r>
            </a:p>
            <a:p>
              <a:pPr algn="just"/>
              <a:r>
                <a:rPr lang="en-US" sz="800">
                  <a:latin typeface="Calibri" panose="020F0502020204030204" pitchFamily="34" charset="0"/>
                  <a:ea typeface="Inter" panose="020B0502030000000004" pitchFamily="34" charset="0"/>
                  <a:cs typeface="Calibri" panose="020F0502020204030204" pitchFamily="34" charset="0"/>
                </a:rPr>
                <a:t>Taxa anual calculada multiplicando a taxa de juros trimestral por 4, dividida pela média da carteira dos últimos dois trimestres. Taxa de juros consolidada inclui imobiliário, consignado + FGTS, PMEs, cartão de crédito excluindo recebíveis de cartão de crédito não remunerados, e antecipação de recebíveis de cartão de crédito.</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34</xdr:col>
      <xdr:colOff>0</xdr:colOff>
      <xdr:row>1</xdr:row>
      <xdr:rowOff>689</xdr:rowOff>
    </xdr:from>
    <xdr:to>
      <xdr:col>36</xdr:col>
      <xdr:colOff>46892</xdr:colOff>
      <xdr:row>2</xdr:row>
      <xdr:rowOff>120853</xdr:rowOff>
    </xdr:to>
    <xdr:sp macro="" textlink="Names!BQ2">
      <xdr:nvSpPr>
        <xdr:cNvPr id="6" name="Rounded Rectangle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34</xdr:col>
      <xdr:colOff>89226</xdr:colOff>
      <xdr:row>1</xdr:row>
      <xdr:rowOff>0</xdr:rowOff>
    </xdr:from>
    <xdr:to>
      <xdr:col>34</xdr:col>
      <xdr:colOff>348163</xdr:colOff>
      <xdr:row>2</xdr:row>
      <xdr:rowOff>99817</xdr:rowOff>
    </xdr:to>
    <xdr:pic>
      <xdr:nvPicPr>
        <xdr:cNvPr id="7"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679F8DD5-63F3-23EC-6D97-5467E4F1396C}"/>
            </a:ext>
          </a:extLst>
        </xdr:cNvPr>
        <xdr:cNvGrpSpPr/>
      </xdr:nvGrpSpPr>
      <xdr:grpSpPr>
        <a:xfrm>
          <a:off x="30822900" y="165100"/>
          <a:ext cx="1697892" cy="285953"/>
          <a:chOff x="20320000" y="165100"/>
          <a:chExt cx="1697892" cy="285953"/>
        </a:xfrm>
      </xdr:grpSpPr>
      <xdr:sp macro="" textlink="Names!BQ2">
        <xdr:nvSpPr>
          <xdr:cNvPr id="10" name="Rounded Rectangle 9">
            <a:hlinkClick xmlns:r="http://schemas.openxmlformats.org/officeDocument/2006/relationships" r:id="rId1"/>
            <a:extLst>
              <a:ext uri="{FF2B5EF4-FFF2-40B4-BE49-F238E27FC236}">
                <a16:creationId xmlns:a16="http://schemas.microsoft.com/office/drawing/2014/main" id="{00000000-0008-0000-0400-00000A000000}"/>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11"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0</xdr:colOff>
      <xdr:row>1</xdr:row>
      <xdr:rowOff>689</xdr:rowOff>
    </xdr:from>
    <xdr:to>
      <xdr:col>36</xdr:col>
      <xdr:colOff>46892</xdr:colOff>
      <xdr:row>2</xdr:row>
      <xdr:rowOff>120853</xdr:rowOff>
    </xdr:to>
    <xdr:sp macro="" textlink="Names!BQ2">
      <xdr:nvSpPr>
        <xdr:cNvPr id="2" name="Rounded Rectangle 1">
          <a:hlinkClick xmlns:r="http://schemas.openxmlformats.org/officeDocument/2006/relationships" r:id="rId1"/>
          <a:extLst>
            <a:ext uri="{FF2B5EF4-FFF2-40B4-BE49-F238E27FC236}">
              <a16:creationId xmlns:a16="http://schemas.microsoft.com/office/drawing/2014/main" id="{EDD20553-B8EC-EF4D-B48E-A0A4231C2AC2}"/>
            </a:ext>
          </a:extLst>
        </xdr:cNvPr>
        <xdr:cNvSpPr/>
      </xdr:nvSpPr>
      <xdr:spPr>
        <a:xfrm>
          <a:off x="275844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34</xdr:col>
      <xdr:colOff>89226</xdr:colOff>
      <xdr:row>1</xdr:row>
      <xdr:rowOff>0</xdr:rowOff>
    </xdr:from>
    <xdr:to>
      <xdr:col>34</xdr:col>
      <xdr:colOff>348163</xdr:colOff>
      <xdr:row>2</xdr:row>
      <xdr:rowOff>99817</xdr:rowOff>
    </xdr:to>
    <xdr:pic>
      <xdr:nvPicPr>
        <xdr:cNvPr id="3"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457208FD-4272-1649-9505-40CA9190BCD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7673626" y="165100"/>
          <a:ext cx="258937" cy="2649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917AC904-4146-1F47-A317-79A2BDCFE978}"/>
            </a:ext>
          </a:extLst>
        </xdr:cNvPr>
        <xdr:cNvGrpSpPr/>
      </xdr:nvGrpSpPr>
      <xdr:grpSpPr>
        <a:xfrm>
          <a:off x="31089600" y="165100"/>
          <a:ext cx="1697892" cy="285953"/>
          <a:chOff x="178689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456290E3-0B6A-B1A5-3879-890ED5524750}"/>
              </a:ext>
            </a:extLst>
          </xdr:cNvPr>
          <xdr:cNvSpPr/>
        </xdr:nvSpPr>
        <xdr:spPr>
          <a:xfrm>
            <a:off x="178689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B42D8684-5FA6-48C7-8501-F5DFBB03237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58126" y="165100"/>
            <a:ext cx="258937" cy="264917"/>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5C354B6-28E2-674C-8D37-5009BB9C71F2}"/>
            </a:ext>
          </a:extLst>
        </xdr:cNvPr>
        <xdr:cNvGrpSpPr/>
      </xdr:nvGrpSpPr>
      <xdr:grpSpPr>
        <a:xfrm>
          <a:off x="30886400" y="165100"/>
          <a:ext cx="1697892" cy="285953"/>
          <a:chOff x="178689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DB3EDD98-3818-E15E-D7A8-693F699A0307}"/>
              </a:ext>
            </a:extLst>
          </xdr:cNvPr>
          <xdr:cNvSpPr/>
        </xdr:nvSpPr>
        <xdr:spPr>
          <a:xfrm>
            <a:off x="178689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F337F92E-4335-310E-E49B-5895D9D4804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58126" y="165100"/>
            <a:ext cx="258937" cy="264917"/>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5ED3E53A-6D60-E140-9D47-0DC6C0FD2F77}"/>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06C6F11E-8861-C347-F0DB-C815BE2A1112}"/>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8901C40E-C519-81DB-ADD1-15625D378D6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CF7EFBF7-F75D-EF48-9176-DF391AA2117D}"/>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1ACD255-4DF3-D02C-6296-92423B0FA320}"/>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49258584-239A-78D5-7220-82EAE1744FE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517BE83-07F1-AA4D-BBE1-3E6F1BC1B9CC}">
  <we:reference id="wa200002415" version="1.0.0.2" store="en-US" storeType="OMEX"/>
  <we:alternateReferences>
    <we:reference id="WA200002415" version="1.0.0.2"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_xldudf_NAS</we:customFunctionIds>
        <we:customFunctionIds>_xldudf_NASRT</we:customFunctionIds>
        <we:customFunctionIds>_xldudf_MYFOCUSTICKER</we:customFunctionIds>
      </we:customFunctionIdList>
    </a:ext>
    <a:ext xmlns:a="http://schemas.openxmlformats.org/drawingml/2006/main" uri="{0858819E-0033-43BF-8937-05EC82904868}">
      <we:backgroundApp state="1" runtimeId="NasdaqRuntime.Url"/>
    </a:ext>
  </we:extLst>
</we:webextension>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3" Type="http://schemas.openxmlformats.org/officeDocument/2006/relationships/hyperlink" Target="https://www.bcb.gov.br/estabilidadefinanceira/estatisticaspix" TargetMode="External"/><Relationship Id="rId2" Type="http://schemas.openxmlformats.org/officeDocument/2006/relationships/hyperlink" Target="https://www.bcb.gov.br/acessoinformacao/ccsestatisticas" TargetMode="External"/><Relationship Id="rId1" Type="http://schemas.openxmlformats.org/officeDocument/2006/relationships/hyperlink" Target="https://www.bcb.gov.br/acessoinformacao/ccsestatisticas" TargetMode="External"/><Relationship Id="rId5" Type="http://schemas.openxmlformats.org/officeDocument/2006/relationships/drawing" Target="../drawings/drawing26.xml"/><Relationship Id="rId4" Type="http://schemas.openxmlformats.org/officeDocument/2006/relationships/hyperlink" Target="https://www.abecs.org.br/graficos" TargetMode="Externa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5ED0-FFAF-DE43-BD1B-4F127E097C3D}">
  <sheetPr codeName="Sheet2"/>
  <dimension ref="A1:CT130"/>
  <sheetViews>
    <sheetView showGridLines="0" topLeftCell="CP1" zoomScale="109" zoomScaleNormal="100" workbookViewId="0">
      <selection activeCell="CT9" sqref="CT9"/>
    </sheetView>
  </sheetViews>
  <sheetFormatPr baseColWidth="10" defaultColWidth="10.83203125" defaultRowHeight="15" outlineLevelRow="1" outlineLevelCol="2"/>
  <cols>
    <col min="1" max="2" width="10.83203125" style="389" hidden="1" customWidth="1" outlineLevel="2"/>
    <col min="3" max="3" width="10.83203125" style="390" hidden="1" customWidth="1" outlineLevel="2"/>
    <col min="4" max="14" width="10.83203125" style="389" hidden="1" customWidth="1" outlineLevel="2"/>
    <col min="15" max="19" width="64.33203125" style="389" hidden="1" customWidth="1" outlineLevel="2"/>
    <col min="20" max="20" width="20.1640625" style="389" hidden="1" customWidth="1" outlineLevel="2"/>
    <col min="21" max="21" width="10.83203125" style="389" hidden="1" customWidth="1" outlineLevel="2"/>
    <col min="22" max="22" width="55" style="389" hidden="1" customWidth="1" outlineLevel="2"/>
    <col min="23" max="91" width="10.83203125" style="389" hidden="1" customWidth="1" outlineLevel="2"/>
    <col min="92" max="92" width="42.6640625" style="389" hidden="1" customWidth="1" outlineLevel="2"/>
    <col min="93" max="93" width="42.83203125" style="389" hidden="1" customWidth="1" outlineLevel="2"/>
    <col min="94" max="94" width="0.33203125" style="389" customWidth="1" outlineLevel="1" collapsed="1"/>
    <col min="95" max="97" width="10.83203125" style="389" customWidth="1" outlineLevel="1" collapsed="1"/>
    <col min="98" max="98" width="10.83203125" style="389" outlineLevel="1" collapsed="1"/>
    <col min="99" max="16384" width="10.83203125" style="389" outlineLevel="1"/>
  </cols>
  <sheetData>
    <row r="1" spans="1:93">
      <c r="A1" s="389" t="s">
        <v>0</v>
      </c>
      <c r="B1" s="389" t="s">
        <v>1</v>
      </c>
      <c r="C1" s="390" t="s">
        <v>2</v>
      </c>
      <c r="D1" s="389" t="s">
        <v>3</v>
      </c>
      <c r="E1" s="389" t="s">
        <v>4</v>
      </c>
      <c r="F1" s="389" t="s">
        <v>5</v>
      </c>
      <c r="G1" s="389" t="s">
        <v>6</v>
      </c>
      <c r="H1" s="389" t="s">
        <v>7</v>
      </c>
      <c r="I1" s="389" t="s">
        <v>8</v>
      </c>
      <c r="J1" s="389" t="s">
        <v>9</v>
      </c>
      <c r="K1" s="389" t="s">
        <v>10</v>
      </c>
      <c r="L1" s="389" t="s">
        <v>11</v>
      </c>
      <c r="M1" s="389" t="s">
        <v>12</v>
      </c>
      <c r="N1" s="389" t="s">
        <v>13</v>
      </c>
      <c r="O1" s="389" t="s">
        <v>14</v>
      </c>
      <c r="P1" s="389" t="s">
        <v>15</v>
      </c>
      <c r="Q1" s="389" t="s">
        <v>16</v>
      </c>
      <c r="R1" s="389" t="s">
        <v>17</v>
      </c>
      <c r="S1" s="389" t="s">
        <v>18</v>
      </c>
      <c r="T1" s="389" t="s">
        <v>19</v>
      </c>
      <c r="U1" s="389" t="s">
        <v>20</v>
      </c>
      <c r="V1" s="389" t="s">
        <v>21</v>
      </c>
      <c r="W1" s="389" t="s">
        <v>22</v>
      </c>
      <c r="X1" s="389" t="s">
        <v>23</v>
      </c>
      <c r="Y1" s="389" t="s">
        <v>24</v>
      </c>
      <c r="Z1" s="389" t="s">
        <v>25</v>
      </c>
      <c r="AA1" s="389" t="s">
        <v>26</v>
      </c>
      <c r="AB1" s="389" t="s">
        <v>27</v>
      </c>
      <c r="AC1" s="389" t="s">
        <v>28</v>
      </c>
      <c r="AD1" s="389" t="s">
        <v>29</v>
      </c>
      <c r="AE1" s="389" t="s">
        <v>30</v>
      </c>
      <c r="AF1" s="389" t="s">
        <v>30</v>
      </c>
      <c r="AG1" s="389" t="s">
        <v>31</v>
      </c>
      <c r="AH1" s="389" t="s">
        <v>32</v>
      </c>
      <c r="AI1" s="389" t="s">
        <v>33</v>
      </c>
      <c r="AJ1" s="389" t="s">
        <v>34</v>
      </c>
      <c r="AK1" s="389" t="s">
        <v>35</v>
      </c>
      <c r="AL1" s="389" t="s">
        <v>36</v>
      </c>
      <c r="AM1" s="389" t="s">
        <v>37</v>
      </c>
      <c r="AN1" s="389" t="s">
        <v>38</v>
      </c>
      <c r="AO1" s="389" t="s">
        <v>38</v>
      </c>
      <c r="AP1" s="389" t="s">
        <v>39</v>
      </c>
      <c r="AQ1" s="389" t="s">
        <v>40</v>
      </c>
      <c r="AR1" s="389" t="s">
        <v>41</v>
      </c>
      <c r="AS1" s="389" t="s">
        <v>42</v>
      </c>
      <c r="AT1" s="389" t="s">
        <v>43</v>
      </c>
      <c r="AU1" s="389" t="s">
        <v>44</v>
      </c>
      <c r="AV1" s="389" t="s">
        <v>45</v>
      </c>
      <c r="AW1" s="389" t="s">
        <v>46</v>
      </c>
      <c r="AX1" s="389" t="s">
        <v>47</v>
      </c>
      <c r="AY1" s="389" t="s">
        <v>48</v>
      </c>
      <c r="AZ1" s="389" t="s">
        <v>49</v>
      </c>
      <c r="BA1" s="389" t="s">
        <v>50</v>
      </c>
      <c r="BB1" s="391" t="s">
        <v>51</v>
      </c>
      <c r="BC1" s="391" t="s">
        <v>52</v>
      </c>
      <c r="BD1" s="389" t="s">
        <v>53</v>
      </c>
      <c r="BE1" s="389" t="s">
        <v>54</v>
      </c>
      <c r="BF1" s="389" t="s">
        <v>55</v>
      </c>
      <c r="BG1" s="389" t="s">
        <v>56</v>
      </c>
      <c r="BH1" s="389" t="s">
        <v>57</v>
      </c>
      <c r="BI1" s="389" t="s">
        <v>58</v>
      </c>
      <c r="BL1" s="389" t="s">
        <v>1187</v>
      </c>
      <c r="BM1" s="389" t="s">
        <v>1188</v>
      </c>
      <c r="BQ1" s="389" t="str">
        <f>IF('Summary | Sumário'!$D$6=Names!$B$3,Names!$BB$1,Names!$BC$1)</f>
        <v>Back to summary</v>
      </c>
      <c r="BS1" s="389" t="str">
        <f>IF('Summary | Sumário'!$D$6=Names!$B$3,Names!$G$2,Names!$H$2)</f>
        <v>Operational Data</v>
      </c>
      <c r="BV1" s="389" t="s">
        <v>1190</v>
      </c>
      <c r="BW1" s="389" t="s">
        <v>1189</v>
      </c>
      <c r="BZ1" s="392" t="s">
        <v>1096</v>
      </c>
      <c r="CA1" s="389" t="s">
        <v>1097</v>
      </c>
      <c r="CB1" s="389" t="s">
        <v>59</v>
      </c>
      <c r="CC1" s="389" t="s">
        <v>60</v>
      </c>
      <c r="CF1" s="389" t="s">
        <v>61</v>
      </c>
      <c r="CG1" s="389" t="s">
        <v>62</v>
      </c>
      <c r="CN1" s="389" t="s">
        <v>63</v>
      </c>
      <c r="CO1" s="389" t="s">
        <v>64</v>
      </c>
    </row>
    <row r="2" spans="1:93" ht="14" customHeight="1">
      <c r="A2" s="389">
        <v>1</v>
      </c>
      <c r="B2" s="389" t="s">
        <v>65</v>
      </c>
      <c r="C2" s="390">
        <v>2019</v>
      </c>
      <c r="D2" s="390">
        <v>2019</v>
      </c>
      <c r="E2" s="390" t="s">
        <v>66</v>
      </c>
      <c r="F2" s="390" t="s">
        <v>67</v>
      </c>
      <c r="G2" s="390" t="s">
        <v>68</v>
      </c>
      <c r="H2" s="390" t="s">
        <v>69</v>
      </c>
      <c r="I2" s="389" t="s">
        <v>70</v>
      </c>
      <c r="J2" s="389" t="s">
        <v>71</v>
      </c>
      <c r="K2" s="389" t="s">
        <v>72</v>
      </c>
      <c r="L2" s="389" t="s">
        <v>73</v>
      </c>
      <c r="M2" s="389" t="s">
        <v>74</v>
      </c>
      <c r="N2" s="389" t="s">
        <v>1165</v>
      </c>
      <c r="O2" s="389" t="s">
        <v>76</v>
      </c>
      <c r="P2" s="389" t="s">
        <v>77</v>
      </c>
      <c r="Q2" s="389" t="s">
        <v>78</v>
      </c>
      <c r="R2" s="389" t="s">
        <v>79</v>
      </c>
      <c r="S2" s="389" t="s">
        <v>80</v>
      </c>
      <c r="V2" s="389" t="s">
        <v>81</v>
      </c>
      <c r="W2" s="389" t="s">
        <v>82</v>
      </c>
      <c r="X2" s="389" t="s">
        <v>83</v>
      </c>
      <c r="Y2" s="389" t="s">
        <v>84</v>
      </c>
      <c r="Z2" s="389" t="s">
        <v>85</v>
      </c>
      <c r="AA2" s="389" t="s">
        <v>86</v>
      </c>
      <c r="AB2" s="389" t="s">
        <v>87</v>
      </c>
      <c r="AF2" s="389" t="s">
        <v>30</v>
      </c>
      <c r="AG2" s="389" t="s">
        <v>88</v>
      </c>
      <c r="AL2" s="389" t="s">
        <v>89</v>
      </c>
      <c r="AM2" s="389" t="s">
        <v>90</v>
      </c>
      <c r="AN2" s="389" t="s">
        <v>91</v>
      </c>
      <c r="AO2" s="389" t="s">
        <v>91</v>
      </c>
      <c r="AT2" s="389" t="s">
        <v>92</v>
      </c>
      <c r="AU2" s="389" t="s">
        <v>92</v>
      </c>
      <c r="AV2" s="389" t="s">
        <v>93</v>
      </c>
      <c r="AW2" s="389" t="s">
        <v>93</v>
      </c>
      <c r="AX2" s="389" t="s">
        <v>94</v>
      </c>
      <c r="AY2" s="389" t="s">
        <v>95</v>
      </c>
      <c r="AZ2" s="389" t="s">
        <v>49</v>
      </c>
      <c r="BA2" s="389" t="s">
        <v>96</v>
      </c>
      <c r="BD2" s="389" t="s">
        <v>97</v>
      </c>
      <c r="BE2" s="389" t="s">
        <v>98</v>
      </c>
      <c r="BQ2" s="389" t="str">
        <f>_xlfn.CONCAT("    ",BQ1)</f>
        <v xml:space="preserve">    Back to summary</v>
      </c>
      <c r="BS2" s="389" t="str">
        <f>IF('Summary | Sumário'!$D$6=Names!$B$3,Names!$G$3,Names!$H$3)</f>
        <v>Others</v>
      </c>
      <c r="BV2" s="389" t="s">
        <v>99</v>
      </c>
      <c r="BW2" s="389" t="s">
        <v>100</v>
      </c>
      <c r="BZ2" s="393" t="s">
        <v>1098</v>
      </c>
      <c r="CA2" s="388" t="s">
        <v>1099</v>
      </c>
      <c r="CB2" s="389" t="s">
        <v>101</v>
      </c>
      <c r="CC2" s="389" t="s">
        <v>102</v>
      </c>
    </row>
    <row r="3" spans="1:93">
      <c r="A3" s="389">
        <v>2</v>
      </c>
      <c r="B3" s="389" t="s">
        <v>103</v>
      </c>
      <c r="C3" s="390">
        <v>2020</v>
      </c>
      <c r="D3" s="390">
        <v>2020</v>
      </c>
      <c r="E3" s="390" t="s">
        <v>104</v>
      </c>
      <c r="F3" s="390" t="s">
        <v>105</v>
      </c>
      <c r="G3" s="390" t="s">
        <v>106</v>
      </c>
      <c r="H3" s="390" t="s">
        <v>107</v>
      </c>
      <c r="I3" s="389" t="s">
        <v>108</v>
      </c>
      <c r="J3" s="389" t="s">
        <v>109</v>
      </c>
      <c r="K3" s="389" t="s">
        <v>1139</v>
      </c>
      <c r="L3" s="389" t="s">
        <v>110</v>
      </c>
      <c r="M3" s="389" t="s">
        <v>111</v>
      </c>
      <c r="N3" s="389" t="s">
        <v>112</v>
      </c>
      <c r="O3" s="389" t="s">
        <v>113</v>
      </c>
      <c r="P3" s="389" t="s">
        <v>114</v>
      </c>
      <c r="Q3" s="389" t="s">
        <v>115</v>
      </c>
      <c r="R3" s="389" t="s">
        <v>116</v>
      </c>
      <c r="S3" s="389" t="s">
        <v>117</v>
      </c>
      <c r="V3" s="389" t="s">
        <v>1178</v>
      </c>
      <c r="W3" s="389" t="s">
        <v>118</v>
      </c>
      <c r="X3" s="389" t="s">
        <v>119</v>
      </c>
      <c r="Y3" s="389" t="s">
        <v>120</v>
      </c>
      <c r="Z3" s="389" t="s">
        <v>121</v>
      </c>
      <c r="AA3" s="389" t="s">
        <v>1145</v>
      </c>
      <c r="AB3" s="389" t="s">
        <v>122</v>
      </c>
      <c r="AC3" s="389" t="s">
        <v>123</v>
      </c>
      <c r="AD3" s="389" t="s">
        <v>124</v>
      </c>
      <c r="AE3" s="389" t="s">
        <v>125</v>
      </c>
      <c r="AF3" s="389" t="s">
        <v>126</v>
      </c>
      <c r="AG3" s="389" t="s">
        <v>127</v>
      </c>
      <c r="AH3" s="389" t="s">
        <v>128</v>
      </c>
      <c r="AI3" s="389" t="s">
        <v>129</v>
      </c>
      <c r="AJ3" s="389" t="s">
        <v>130</v>
      </c>
      <c r="AK3" s="389" t="s">
        <v>131</v>
      </c>
      <c r="AL3" s="389" t="s">
        <v>132</v>
      </c>
      <c r="AM3" s="389" t="s">
        <v>133</v>
      </c>
      <c r="AN3" s="389" t="s">
        <v>134</v>
      </c>
      <c r="AO3" s="389" t="s">
        <v>135</v>
      </c>
      <c r="AP3" s="389" t="s">
        <v>136</v>
      </c>
      <c r="AQ3" s="389" t="s">
        <v>137</v>
      </c>
      <c r="AR3" s="389" t="s">
        <v>138</v>
      </c>
      <c r="AS3" s="389" t="s">
        <v>139</v>
      </c>
      <c r="AT3" s="389" t="s">
        <v>140</v>
      </c>
      <c r="AU3" s="389" t="s">
        <v>141</v>
      </c>
      <c r="AV3" s="389" t="s">
        <v>142</v>
      </c>
      <c r="AW3" s="389" t="s">
        <v>143</v>
      </c>
      <c r="AX3" s="389" t="s">
        <v>144</v>
      </c>
      <c r="AY3" s="389" t="s">
        <v>145</v>
      </c>
      <c r="AZ3" s="389" t="s">
        <v>146</v>
      </c>
      <c r="BA3" s="389" t="s">
        <v>146</v>
      </c>
      <c r="BD3" s="389" t="s">
        <v>147</v>
      </c>
      <c r="BE3" s="389" t="s">
        <v>148</v>
      </c>
      <c r="BF3" s="389" t="s">
        <v>149</v>
      </c>
      <c r="BG3" s="389" t="s">
        <v>150</v>
      </c>
      <c r="BH3" s="389" t="s">
        <v>151</v>
      </c>
      <c r="BI3" s="389" t="s">
        <v>151</v>
      </c>
      <c r="BV3" s="389" t="s">
        <v>152</v>
      </c>
      <c r="BW3" s="389" t="s">
        <v>152</v>
      </c>
      <c r="BZ3" s="392" t="s">
        <v>153</v>
      </c>
      <c r="CA3" s="389" t="s">
        <v>154</v>
      </c>
      <c r="CF3" s="389" t="s">
        <v>155</v>
      </c>
      <c r="CG3" s="389" t="s">
        <v>155</v>
      </c>
      <c r="CN3" s="389" t="s">
        <v>156</v>
      </c>
      <c r="CO3" s="389" t="s">
        <v>157</v>
      </c>
    </row>
    <row r="4" spans="1:93">
      <c r="A4" s="389">
        <v>3</v>
      </c>
      <c r="C4" s="390">
        <v>2021</v>
      </c>
      <c r="D4" s="390">
        <v>2021</v>
      </c>
      <c r="E4" s="390" t="s">
        <v>158</v>
      </c>
      <c r="F4" s="390" t="s">
        <v>159</v>
      </c>
      <c r="G4" s="390"/>
      <c r="H4" s="390"/>
      <c r="I4" s="389" t="s">
        <v>160</v>
      </c>
      <c r="J4" s="389" t="s">
        <v>161</v>
      </c>
      <c r="K4" s="389" t="s">
        <v>1140</v>
      </c>
      <c r="L4" s="389" t="s">
        <v>1156</v>
      </c>
      <c r="M4" s="389" t="s">
        <v>1148</v>
      </c>
      <c r="N4" s="389" t="s">
        <v>1166</v>
      </c>
      <c r="O4" s="389" t="s">
        <v>166</v>
      </c>
      <c r="P4" s="389" t="s">
        <v>167</v>
      </c>
      <c r="Q4" s="389" t="s">
        <v>168</v>
      </c>
      <c r="R4" s="389" t="s">
        <v>169</v>
      </c>
      <c r="S4" s="389" t="s">
        <v>170</v>
      </c>
      <c r="V4" s="389" t="s">
        <v>171</v>
      </c>
      <c r="W4" s="389" t="s">
        <v>172</v>
      </c>
      <c r="Z4" s="389" t="s">
        <v>173</v>
      </c>
      <c r="AA4" s="389" t="s">
        <v>174</v>
      </c>
      <c r="AB4" s="389" t="s">
        <v>175</v>
      </c>
      <c r="AC4" s="389" t="s">
        <v>176</v>
      </c>
      <c r="AD4" s="389" t="s">
        <v>177</v>
      </c>
      <c r="AE4" s="389" t="s">
        <v>178</v>
      </c>
      <c r="AF4" s="389" t="s">
        <v>179</v>
      </c>
      <c r="AG4" s="389" t="s">
        <v>180</v>
      </c>
      <c r="AH4" s="389" t="s">
        <v>181</v>
      </c>
      <c r="AI4" s="389" t="s">
        <v>182</v>
      </c>
      <c r="AJ4" s="389" t="s">
        <v>183</v>
      </c>
      <c r="AK4" s="389" t="s">
        <v>184</v>
      </c>
      <c r="AL4" s="389" t="s">
        <v>185</v>
      </c>
      <c r="AM4" s="389" t="s">
        <v>186</v>
      </c>
      <c r="AN4" s="389" t="s">
        <v>187</v>
      </c>
      <c r="AO4" s="389" t="s">
        <v>188</v>
      </c>
      <c r="AP4" s="389" t="s">
        <v>189</v>
      </c>
      <c r="AQ4" s="389" t="s">
        <v>190</v>
      </c>
      <c r="AR4" s="389" t="s">
        <v>191</v>
      </c>
      <c r="AS4" s="389" t="s">
        <v>192</v>
      </c>
      <c r="AT4" s="389" t="s">
        <v>193</v>
      </c>
      <c r="AU4" s="389" t="s">
        <v>194</v>
      </c>
      <c r="AV4" s="389" t="s">
        <v>195</v>
      </c>
      <c r="AW4" s="389" t="s">
        <v>196</v>
      </c>
      <c r="AX4" s="389" t="s">
        <v>197</v>
      </c>
      <c r="AY4" s="389" t="s">
        <v>198</v>
      </c>
      <c r="AZ4" s="389" t="s">
        <v>199</v>
      </c>
      <c r="BA4" s="389" t="s">
        <v>199</v>
      </c>
      <c r="BD4" s="389" t="s">
        <v>200</v>
      </c>
      <c r="BE4" s="389" t="s">
        <v>201</v>
      </c>
      <c r="BF4" s="389" t="s">
        <v>202</v>
      </c>
      <c r="BG4" s="389" t="s">
        <v>203</v>
      </c>
      <c r="BH4" s="389" t="s">
        <v>204</v>
      </c>
      <c r="BI4" s="389" t="s">
        <v>205</v>
      </c>
      <c r="BV4" s="389" t="s">
        <v>206</v>
      </c>
      <c r="BW4" s="389" t="s">
        <v>206</v>
      </c>
      <c r="BZ4" s="389" t="s">
        <v>108</v>
      </c>
      <c r="CA4" s="389" t="s">
        <v>109</v>
      </c>
      <c r="CB4" s="392" t="s">
        <v>207</v>
      </c>
      <c r="CC4" s="392" t="s">
        <v>208</v>
      </c>
      <c r="CF4" s="389" t="s">
        <v>209</v>
      </c>
      <c r="CG4" s="389" t="s">
        <v>210</v>
      </c>
      <c r="CN4" s="389" t="s">
        <v>211</v>
      </c>
      <c r="CO4" s="389" t="s">
        <v>212</v>
      </c>
    </row>
    <row r="5" spans="1:93">
      <c r="A5" s="389">
        <v>4</v>
      </c>
      <c r="C5" s="390">
        <v>2022</v>
      </c>
      <c r="D5" s="390">
        <v>2022</v>
      </c>
      <c r="E5" s="390" t="s">
        <v>213</v>
      </c>
      <c r="F5" s="390" t="s">
        <v>214</v>
      </c>
      <c r="G5" s="390"/>
      <c r="H5" s="390"/>
      <c r="I5" s="389" t="s">
        <v>215</v>
      </c>
      <c r="J5" s="389" t="s">
        <v>215</v>
      </c>
      <c r="K5" s="389" t="s">
        <v>1141</v>
      </c>
      <c r="L5" s="389" t="s">
        <v>1157</v>
      </c>
      <c r="M5" s="389" t="s">
        <v>216</v>
      </c>
      <c r="N5" s="389" t="s">
        <v>1167</v>
      </c>
      <c r="O5" s="389" t="s">
        <v>218</v>
      </c>
      <c r="P5" s="389" t="s">
        <v>219</v>
      </c>
      <c r="Q5" s="389" t="s">
        <v>220</v>
      </c>
      <c r="R5" s="389" t="s">
        <v>221</v>
      </c>
      <c r="S5" s="389" t="s">
        <v>222</v>
      </c>
      <c r="V5" s="389" t="s">
        <v>223</v>
      </c>
      <c r="W5" s="389" t="s">
        <v>224</v>
      </c>
      <c r="Z5" s="389" t="s">
        <v>225</v>
      </c>
      <c r="AA5" s="389" t="s">
        <v>226</v>
      </c>
      <c r="AB5" s="389" t="s">
        <v>227</v>
      </c>
      <c r="AC5" s="389" t="s">
        <v>228</v>
      </c>
      <c r="AD5" s="389" t="s">
        <v>229</v>
      </c>
      <c r="AE5" s="389" t="s">
        <v>230</v>
      </c>
      <c r="AF5" s="389" t="s">
        <v>231</v>
      </c>
      <c r="AG5" s="389" t="s">
        <v>232</v>
      </c>
      <c r="AH5" s="389" t="s">
        <v>233</v>
      </c>
      <c r="AI5" s="389" t="s">
        <v>234</v>
      </c>
      <c r="AJ5" s="389" t="s">
        <v>235</v>
      </c>
      <c r="AK5" s="389" t="s">
        <v>235</v>
      </c>
      <c r="AL5" s="389" t="s">
        <v>236</v>
      </c>
      <c r="AM5" s="389" t="s">
        <v>237</v>
      </c>
      <c r="AN5" s="389" t="s">
        <v>238</v>
      </c>
      <c r="AO5" s="389" t="s">
        <v>239</v>
      </c>
      <c r="AP5" s="389" t="s">
        <v>240</v>
      </c>
      <c r="AQ5" s="389" t="s">
        <v>241</v>
      </c>
      <c r="AR5" s="389" t="s">
        <v>242</v>
      </c>
      <c r="AS5" s="389" t="s">
        <v>243</v>
      </c>
      <c r="AT5" s="389" t="s">
        <v>244</v>
      </c>
      <c r="AU5" s="389" t="s">
        <v>245</v>
      </c>
      <c r="AV5" s="389" t="s">
        <v>246</v>
      </c>
      <c r="AW5" s="389" t="s">
        <v>247</v>
      </c>
      <c r="AX5" s="389" t="s">
        <v>248</v>
      </c>
      <c r="AY5" s="389" t="s">
        <v>161</v>
      </c>
      <c r="AZ5" s="389" t="s">
        <v>249</v>
      </c>
      <c r="BA5" s="389" t="s">
        <v>250</v>
      </c>
      <c r="BF5" s="389" t="s">
        <v>251</v>
      </c>
      <c r="BG5" s="389" t="s">
        <v>252</v>
      </c>
      <c r="BH5" s="389" t="s">
        <v>253</v>
      </c>
      <c r="BI5" s="389" t="s">
        <v>254</v>
      </c>
      <c r="BV5" s="389" t="s">
        <v>255</v>
      </c>
      <c r="BW5" s="389" t="s">
        <v>256</v>
      </c>
      <c r="BZ5" s="389" t="s">
        <v>257</v>
      </c>
      <c r="CA5" s="389" t="s">
        <v>258</v>
      </c>
      <c r="CB5" s="389" t="s">
        <v>259</v>
      </c>
      <c r="CC5" s="389" t="s">
        <v>260</v>
      </c>
      <c r="CD5" s="389" t="s">
        <v>261</v>
      </c>
      <c r="CF5" s="389" t="s">
        <v>262</v>
      </c>
      <c r="CG5" s="389" t="s">
        <v>263</v>
      </c>
      <c r="CN5" s="389" t="s">
        <v>264</v>
      </c>
      <c r="CO5" s="389" t="s">
        <v>265</v>
      </c>
    </row>
    <row r="6" spans="1:93">
      <c r="A6" s="389">
        <v>5</v>
      </c>
      <c r="C6" s="390" t="s">
        <v>158</v>
      </c>
      <c r="D6" s="390" t="s">
        <v>159</v>
      </c>
      <c r="E6" s="390" t="s">
        <v>266</v>
      </c>
      <c r="F6" s="390" t="s">
        <v>267</v>
      </c>
      <c r="G6" s="390"/>
      <c r="H6" s="390"/>
      <c r="I6" s="389" t="s">
        <v>268</v>
      </c>
      <c r="J6" s="389" t="s">
        <v>269</v>
      </c>
      <c r="K6" s="389" t="s">
        <v>1142</v>
      </c>
      <c r="L6" s="389" t="s">
        <v>1158</v>
      </c>
      <c r="M6" s="389" t="s">
        <v>1149</v>
      </c>
      <c r="N6" s="389" t="s">
        <v>1168</v>
      </c>
      <c r="O6" s="389" t="s">
        <v>272</v>
      </c>
      <c r="P6" s="389" t="s">
        <v>273</v>
      </c>
      <c r="Q6" s="389" t="s">
        <v>1073</v>
      </c>
      <c r="R6" s="389" t="s">
        <v>274</v>
      </c>
      <c r="V6" s="389" t="s">
        <v>275</v>
      </c>
      <c r="W6" s="389" t="s">
        <v>276</v>
      </c>
      <c r="Z6" s="389" t="s">
        <v>277</v>
      </c>
      <c r="AA6" s="389" t="s">
        <v>278</v>
      </c>
      <c r="AB6" s="389" t="s">
        <v>279</v>
      </c>
      <c r="AC6" s="389" t="s">
        <v>280</v>
      </c>
      <c r="AD6" s="389" t="s">
        <v>281</v>
      </c>
      <c r="AE6" s="389" t="s">
        <v>282</v>
      </c>
      <c r="AF6" s="389" t="s">
        <v>283</v>
      </c>
      <c r="AG6" s="389" t="s">
        <v>284</v>
      </c>
      <c r="AH6" s="389" t="s">
        <v>285</v>
      </c>
      <c r="AI6" s="389" t="s">
        <v>286</v>
      </c>
      <c r="AJ6" s="389" t="s">
        <v>287</v>
      </c>
      <c r="AK6" s="389" t="s">
        <v>288</v>
      </c>
      <c r="AL6" s="389" t="s">
        <v>113</v>
      </c>
      <c r="AM6" s="389" t="s">
        <v>121</v>
      </c>
      <c r="AN6" s="389" t="s">
        <v>289</v>
      </c>
      <c r="AO6" s="389" t="s">
        <v>289</v>
      </c>
      <c r="AP6" s="389" t="s">
        <v>251</v>
      </c>
      <c r="AQ6" s="389" t="s">
        <v>252</v>
      </c>
      <c r="AR6" s="389" t="s">
        <v>74</v>
      </c>
      <c r="AS6" s="389" t="s">
        <v>288</v>
      </c>
      <c r="AT6" s="389" t="s">
        <v>290</v>
      </c>
      <c r="AU6" s="389" t="s">
        <v>291</v>
      </c>
      <c r="AV6" s="389" t="s">
        <v>292</v>
      </c>
      <c r="AW6" s="389" t="s">
        <v>293</v>
      </c>
      <c r="AX6" s="389" t="s">
        <v>294</v>
      </c>
      <c r="AY6" s="389" t="s">
        <v>295</v>
      </c>
      <c r="AZ6" s="389" t="s">
        <v>296</v>
      </c>
      <c r="BA6" s="389" t="s">
        <v>297</v>
      </c>
      <c r="BF6" s="389" t="s">
        <v>298</v>
      </c>
      <c r="BG6" s="389" t="s">
        <v>299</v>
      </c>
      <c r="BH6" s="389" t="s">
        <v>300</v>
      </c>
      <c r="BI6" s="389" t="s">
        <v>300</v>
      </c>
      <c r="BV6" s="389" t="s">
        <v>301</v>
      </c>
      <c r="BW6" s="389" t="s">
        <v>302</v>
      </c>
      <c r="BZ6" s="389" t="s">
        <v>303</v>
      </c>
      <c r="CA6" s="389" t="s">
        <v>304</v>
      </c>
      <c r="CB6" s="389" t="s">
        <v>305</v>
      </c>
      <c r="CC6" s="389" t="s">
        <v>306</v>
      </c>
      <c r="CD6" s="389" t="s">
        <v>261</v>
      </c>
      <c r="CF6" s="389" t="s">
        <v>307</v>
      </c>
      <c r="CG6" s="389" t="s">
        <v>308</v>
      </c>
      <c r="CN6" s="389" t="s">
        <v>309</v>
      </c>
      <c r="CO6" s="389" t="s">
        <v>310</v>
      </c>
    </row>
    <row r="7" spans="1:93">
      <c r="A7" s="389">
        <v>6</v>
      </c>
      <c r="C7" s="390" t="s">
        <v>213</v>
      </c>
      <c r="D7" s="390" t="s">
        <v>214</v>
      </c>
      <c r="E7" s="390" t="s">
        <v>311</v>
      </c>
      <c r="F7" s="390" t="s">
        <v>312</v>
      </c>
      <c r="G7" s="390"/>
      <c r="H7" s="390"/>
      <c r="I7" s="389" t="s">
        <v>313</v>
      </c>
      <c r="J7" s="389" t="s">
        <v>31</v>
      </c>
      <c r="K7" s="389" t="s">
        <v>314</v>
      </c>
      <c r="L7" s="389" t="s">
        <v>315</v>
      </c>
      <c r="M7" s="389" t="s">
        <v>316</v>
      </c>
      <c r="N7" s="389" t="s">
        <v>317</v>
      </c>
      <c r="O7" s="389" t="s">
        <v>318</v>
      </c>
      <c r="Q7" s="389" t="s">
        <v>1060</v>
      </c>
      <c r="R7" s="389" t="s">
        <v>1060</v>
      </c>
      <c r="V7" s="389" t="s">
        <v>319</v>
      </c>
      <c r="W7" s="389" t="s">
        <v>320</v>
      </c>
      <c r="Z7" s="389" t="s">
        <v>321</v>
      </c>
      <c r="AA7" s="389" t="s">
        <v>322</v>
      </c>
      <c r="AB7" s="389" t="s">
        <v>323</v>
      </c>
      <c r="AC7" s="389" t="s">
        <v>324</v>
      </c>
      <c r="AD7" s="389" t="s">
        <v>325</v>
      </c>
      <c r="AE7" s="389" t="s">
        <v>136</v>
      </c>
      <c r="AF7" s="389" t="s">
        <v>326</v>
      </c>
      <c r="AG7" s="389" t="s">
        <v>327</v>
      </c>
      <c r="AH7" s="389" t="s">
        <v>328</v>
      </c>
      <c r="AI7" s="389" t="s">
        <v>329</v>
      </c>
      <c r="AJ7" s="389" t="s">
        <v>330</v>
      </c>
      <c r="AK7" s="389" t="s">
        <v>331</v>
      </c>
      <c r="AL7" s="389" t="s">
        <v>332</v>
      </c>
      <c r="AM7" s="389" t="s">
        <v>333</v>
      </c>
      <c r="AP7" s="389" t="s">
        <v>298</v>
      </c>
      <c r="AQ7" s="389" t="s">
        <v>299</v>
      </c>
      <c r="AR7" s="389" t="s">
        <v>334</v>
      </c>
      <c r="AS7" s="389" t="s">
        <v>335</v>
      </c>
      <c r="AT7" s="389" t="s">
        <v>336</v>
      </c>
      <c r="AU7" s="389" t="s">
        <v>336</v>
      </c>
      <c r="AV7" s="389" t="s">
        <v>337</v>
      </c>
      <c r="AW7" s="389" t="s">
        <v>338</v>
      </c>
      <c r="AZ7" s="389" t="s">
        <v>339</v>
      </c>
      <c r="BA7" s="389" t="s">
        <v>340</v>
      </c>
      <c r="BF7" s="389" t="s">
        <v>341</v>
      </c>
      <c r="BG7" s="389" t="s">
        <v>342</v>
      </c>
      <c r="BH7" s="389" t="s">
        <v>343</v>
      </c>
      <c r="BI7" s="389" t="s">
        <v>344</v>
      </c>
      <c r="BV7" s="389" t="s">
        <v>345</v>
      </c>
      <c r="BW7" s="389" t="s">
        <v>346</v>
      </c>
      <c r="BZ7" s="389" t="s">
        <v>347</v>
      </c>
      <c r="CA7" s="389" t="s">
        <v>348</v>
      </c>
      <c r="CF7" s="389" t="s">
        <v>349</v>
      </c>
      <c r="CG7" s="389" t="s">
        <v>350</v>
      </c>
      <c r="CN7" s="389" t="s">
        <v>351</v>
      </c>
      <c r="CO7" s="389" t="s">
        <v>352</v>
      </c>
    </row>
    <row r="8" spans="1:93">
      <c r="A8" s="389">
        <v>7</v>
      </c>
      <c r="C8" s="390" t="s">
        <v>266</v>
      </c>
      <c r="D8" s="390" t="s">
        <v>267</v>
      </c>
      <c r="E8" s="390" t="s">
        <v>353</v>
      </c>
      <c r="F8" s="390" t="s">
        <v>354</v>
      </c>
      <c r="G8" s="390"/>
      <c r="H8" s="390"/>
      <c r="I8" s="389" t="s">
        <v>125</v>
      </c>
      <c r="J8" s="389" t="s">
        <v>355</v>
      </c>
      <c r="K8" s="389" t="s">
        <v>1143</v>
      </c>
      <c r="L8" s="389" t="s">
        <v>1159</v>
      </c>
      <c r="M8" s="389" t="s">
        <v>357</v>
      </c>
      <c r="N8" s="389" t="s">
        <v>358</v>
      </c>
      <c r="O8" s="389" t="s">
        <v>359</v>
      </c>
      <c r="Q8" s="389" t="s">
        <v>1060</v>
      </c>
      <c r="R8" s="389" t="s">
        <v>1060</v>
      </c>
      <c r="V8" s="389" t="s">
        <v>360</v>
      </c>
      <c r="W8" s="389" t="s">
        <v>361</v>
      </c>
      <c r="Z8" s="389" t="s">
        <v>362</v>
      </c>
      <c r="AA8" s="389" t="s">
        <v>363</v>
      </c>
      <c r="AB8" s="389" t="s">
        <v>364</v>
      </c>
      <c r="AC8" s="389" t="s">
        <v>365</v>
      </c>
      <c r="AD8" s="389" t="s">
        <v>107</v>
      </c>
      <c r="AE8" s="389" t="s">
        <v>366</v>
      </c>
      <c r="AF8" s="389" t="s">
        <v>367</v>
      </c>
      <c r="AG8" s="389" t="s">
        <v>368</v>
      </c>
      <c r="AH8" s="389" t="s">
        <v>369</v>
      </c>
      <c r="AI8" s="389" t="s">
        <v>370</v>
      </c>
      <c r="AJ8" s="389" t="s">
        <v>371</v>
      </c>
      <c r="AK8" s="389" t="s">
        <v>372</v>
      </c>
      <c r="AL8" s="389" t="s">
        <v>373</v>
      </c>
      <c r="AM8" s="389" t="s">
        <v>374</v>
      </c>
      <c r="AN8" s="389" t="s">
        <v>326</v>
      </c>
      <c r="AO8" s="389" t="s">
        <v>327</v>
      </c>
      <c r="AP8" s="389" t="s">
        <v>341</v>
      </c>
      <c r="AQ8" s="389" t="s">
        <v>342</v>
      </c>
      <c r="AR8" s="389" t="s">
        <v>123</v>
      </c>
      <c r="AS8" s="389" t="s">
        <v>124</v>
      </c>
      <c r="AT8" s="389" t="s">
        <v>375</v>
      </c>
      <c r="AU8" s="389" t="s">
        <v>376</v>
      </c>
      <c r="AV8" s="389" t="s">
        <v>377</v>
      </c>
      <c r="AW8" s="389" t="s">
        <v>377</v>
      </c>
      <c r="AX8" s="389" t="s">
        <v>378</v>
      </c>
      <c r="AY8" s="389" t="s">
        <v>379</v>
      </c>
      <c r="AZ8" s="389" t="s">
        <v>380</v>
      </c>
      <c r="BA8" s="389" t="s">
        <v>381</v>
      </c>
      <c r="BF8" s="389" t="s">
        <v>382</v>
      </c>
      <c r="BG8" s="389" t="s">
        <v>383</v>
      </c>
      <c r="BH8" s="389" t="s">
        <v>384</v>
      </c>
      <c r="BI8" s="389" t="s">
        <v>385</v>
      </c>
      <c r="BV8" s="389" t="s">
        <v>386</v>
      </c>
      <c r="BW8" s="389" t="s">
        <v>386</v>
      </c>
      <c r="BZ8" s="389" t="s">
        <v>91</v>
      </c>
      <c r="CA8" s="389" t="s">
        <v>91</v>
      </c>
      <c r="CF8" s="389" t="s">
        <v>387</v>
      </c>
      <c r="CG8" s="389" t="s">
        <v>388</v>
      </c>
      <c r="CN8" s="389" t="s">
        <v>389</v>
      </c>
      <c r="CO8" s="389" t="s">
        <v>390</v>
      </c>
    </row>
    <row r="9" spans="1:93">
      <c r="A9" s="389">
        <v>8</v>
      </c>
      <c r="C9" s="390" t="s">
        <v>311</v>
      </c>
      <c r="D9" s="390" t="s">
        <v>312</v>
      </c>
      <c r="E9" s="390" t="s">
        <v>391</v>
      </c>
      <c r="F9" s="390" t="s">
        <v>392</v>
      </c>
      <c r="G9" s="390"/>
      <c r="H9" s="390"/>
      <c r="I9" s="389" t="s">
        <v>393</v>
      </c>
      <c r="J9" s="389" t="s">
        <v>393</v>
      </c>
      <c r="K9" s="389" t="s">
        <v>394</v>
      </c>
      <c r="L9" s="389" t="s">
        <v>395</v>
      </c>
      <c r="M9" s="389" t="s">
        <v>330</v>
      </c>
      <c r="N9" s="389" t="s">
        <v>331</v>
      </c>
      <c r="O9" s="389" t="s">
        <v>396</v>
      </c>
      <c r="Q9" s="389" t="s">
        <v>875</v>
      </c>
      <c r="R9" s="389" t="s">
        <v>1067</v>
      </c>
      <c r="V9" s="389" t="s">
        <v>397</v>
      </c>
      <c r="W9" s="389" t="s">
        <v>398</v>
      </c>
      <c r="Z9" s="389" t="s">
        <v>399</v>
      </c>
      <c r="AA9" s="389" t="s">
        <v>400</v>
      </c>
      <c r="AB9" s="389" t="s">
        <v>401</v>
      </c>
      <c r="AC9" s="389" t="s">
        <v>402</v>
      </c>
      <c r="AD9" s="389" t="s">
        <v>403</v>
      </c>
      <c r="AE9" s="389" t="s">
        <v>404</v>
      </c>
      <c r="AF9" s="389" t="s">
        <v>405</v>
      </c>
      <c r="AG9" s="389" t="s">
        <v>406</v>
      </c>
      <c r="AH9" s="389" t="s">
        <v>407</v>
      </c>
      <c r="AI9" s="389" t="s">
        <v>408</v>
      </c>
      <c r="AJ9" s="389" t="s">
        <v>409</v>
      </c>
      <c r="AK9" s="389" t="s">
        <v>410</v>
      </c>
      <c r="AL9" s="389" t="s">
        <v>411</v>
      </c>
      <c r="AM9" s="389" t="s">
        <v>412</v>
      </c>
      <c r="AN9" s="389" t="s">
        <v>283</v>
      </c>
      <c r="AO9" s="389" t="s">
        <v>284</v>
      </c>
      <c r="AP9" s="389" t="s">
        <v>413</v>
      </c>
      <c r="AQ9" s="389" t="s">
        <v>414</v>
      </c>
      <c r="AR9" s="389" t="s">
        <v>330</v>
      </c>
      <c r="AS9" s="389" t="s">
        <v>331</v>
      </c>
      <c r="AT9" s="389" t="s">
        <v>415</v>
      </c>
      <c r="AU9" s="389" t="s">
        <v>416</v>
      </c>
      <c r="AV9" s="389" t="s">
        <v>417</v>
      </c>
      <c r="AW9" s="389" t="s">
        <v>417</v>
      </c>
      <c r="AX9" s="389" t="s">
        <v>418</v>
      </c>
      <c r="AY9" s="389" t="s">
        <v>350</v>
      </c>
      <c r="AZ9" s="389" t="s">
        <v>419</v>
      </c>
      <c r="BA9" s="389" t="s">
        <v>420</v>
      </c>
      <c r="BF9" s="389" t="s">
        <v>216</v>
      </c>
      <c r="BG9" s="389" t="s">
        <v>217</v>
      </c>
      <c r="BH9" s="389" t="s">
        <v>421</v>
      </c>
      <c r="BI9" s="389" t="s">
        <v>422</v>
      </c>
      <c r="BV9" s="389" t="s">
        <v>289</v>
      </c>
      <c r="BW9" s="389" t="s">
        <v>289</v>
      </c>
      <c r="BZ9" s="389" t="s">
        <v>283</v>
      </c>
      <c r="CA9" s="389" t="s">
        <v>284</v>
      </c>
      <c r="CB9" s="392" t="s">
        <v>423</v>
      </c>
      <c r="CC9" s="392" t="s">
        <v>423</v>
      </c>
      <c r="CF9" s="389" t="s">
        <v>424</v>
      </c>
      <c r="CG9" s="389" t="s">
        <v>425</v>
      </c>
    </row>
    <row r="10" spans="1:93">
      <c r="A10" s="389">
        <v>9</v>
      </c>
      <c r="C10" s="390" t="s">
        <v>353</v>
      </c>
      <c r="D10" s="390" t="s">
        <v>354</v>
      </c>
      <c r="E10" s="390" t="s">
        <v>426</v>
      </c>
      <c r="F10" s="390" t="s">
        <v>427</v>
      </c>
      <c r="G10" s="390"/>
      <c r="H10" s="390"/>
      <c r="I10" s="389" t="s">
        <v>282</v>
      </c>
      <c r="J10" s="389" t="s">
        <v>428</v>
      </c>
      <c r="K10" s="389" t="s">
        <v>429</v>
      </c>
      <c r="L10" s="389" t="s">
        <v>430</v>
      </c>
      <c r="M10" s="389" t="s">
        <v>431</v>
      </c>
      <c r="N10" s="389" t="s">
        <v>432</v>
      </c>
      <c r="O10" s="389" t="s">
        <v>1129</v>
      </c>
      <c r="P10" s="389" t="s">
        <v>434</v>
      </c>
      <c r="Q10" s="389" t="s">
        <v>1066</v>
      </c>
      <c r="R10" s="389" t="s">
        <v>1068</v>
      </c>
      <c r="V10" s="389" t="s">
        <v>162</v>
      </c>
      <c r="W10" s="389" t="s">
        <v>163</v>
      </c>
      <c r="Z10" s="389" t="s">
        <v>435</v>
      </c>
      <c r="AA10" s="389" t="s">
        <v>436</v>
      </c>
      <c r="AB10" s="389" t="s">
        <v>437</v>
      </c>
      <c r="AC10" s="389" t="s">
        <v>337</v>
      </c>
      <c r="AD10" s="389" t="s">
        <v>438</v>
      </c>
      <c r="AE10" s="389" t="s">
        <v>439</v>
      </c>
      <c r="AF10" s="389" t="s">
        <v>440</v>
      </c>
      <c r="AG10" s="389" t="s">
        <v>440</v>
      </c>
      <c r="AH10" s="389" t="s">
        <v>441</v>
      </c>
      <c r="AI10" s="389" t="s">
        <v>442</v>
      </c>
      <c r="AJ10" s="389" t="s">
        <v>162</v>
      </c>
      <c r="AK10" s="389" t="s">
        <v>163</v>
      </c>
      <c r="AN10" s="389" t="s">
        <v>257</v>
      </c>
      <c r="AO10" s="389" t="s">
        <v>258</v>
      </c>
      <c r="AP10" s="389" t="s">
        <v>443</v>
      </c>
      <c r="AQ10" s="389" t="s">
        <v>444</v>
      </c>
      <c r="AR10" s="389" t="s">
        <v>431</v>
      </c>
      <c r="AS10" s="389" t="s">
        <v>432</v>
      </c>
      <c r="AT10" s="389" t="s">
        <v>1055</v>
      </c>
      <c r="AU10" s="389" t="s">
        <v>1056</v>
      </c>
      <c r="AX10" s="389" t="s">
        <v>307</v>
      </c>
      <c r="AY10" s="389" t="s">
        <v>308</v>
      </c>
      <c r="AZ10" s="389" t="s">
        <v>445</v>
      </c>
      <c r="BA10" s="389" t="s">
        <v>446</v>
      </c>
      <c r="BF10" s="389" t="s">
        <v>357</v>
      </c>
      <c r="BG10" s="389" t="s">
        <v>358</v>
      </c>
      <c r="BH10" s="389" t="s">
        <v>447</v>
      </c>
      <c r="BI10" s="389" t="s">
        <v>448</v>
      </c>
      <c r="BZ10" s="389" t="s">
        <v>449</v>
      </c>
      <c r="CA10" s="389" t="s">
        <v>450</v>
      </c>
      <c r="CB10" s="389" t="s">
        <v>451</v>
      </c>
      <c r="CC10" s="389" t="s">
        <v>451</v>
      </c>
      <c r="CF10" s="389" t="s">
        <v>452</v>
      </c>
      <c r="CG10" s="389" t="s">
        <v>453</v>
      </c>
      <c r="CN10" s="389" t="s">
        <v>859</v>
      </c>
      <c r="CO10" s="389" t="s">
        <v>859</v>
      </c>
    </row>
    <row r="11" spans="1:93">
      <c r="A11" s="389">
        <v>10</v>
      </c>
      <c r="C11" s="390" t="s">
        <v>391</v>
      </c>
      <c r="D11" s="390" t="s">
        <v>392</v>
      </c>
      <c r="E11" s="390" t="s">
        <v>454</v>
      </c>
      <c r="F11" s="390" t="s">
        <v>455</v>
      </c>
      <c r="G11" s="390"/>
      <c r="H11" s="390"/>
      <c r="I11" s="389" t="s">
        <v>456</v>
      </c>
      <c r="J11" s="389" t="s">
        <v>457</v>
      </c>
      <c r="K11" s="389" t="s">
        <v>458</v>
      </c>
      <c r="L11" s="389" t="s">
        <v>459</v>
      </c>
      <c r="M11" s="389" t="s">
        <v>460</v>
      </c>
      <c r="N11" s="389" t="s">
        <v>461</v>
      </c>
      <c r="O11" s="389" t="s">
        <v>356</v>
      </c>
      <c r="P11" s="389" t="s">
        <v>462</v>
      </c>
      <c r="Q11" s="389" t="s">
        <v>463</v>
      </c>
      <c r="V11" s="389" t="s">
        <v>396</v>
      </c>
      <c r="W11" s="389" t="s">
        <v>464</v>
      </c>
      <c r="Z11" s="389" t="s">
        <v>465</v>
      </c>
      <c r="AA11" s="389" t="s">
        <v>466</v>
      </c>
      <c r="AB11" s="389" t="s">
        <v>467</v>
      </c>
      <c r="AC11" s="389" t="s">
        <v>1182</v>
      </c>
      <c r="AD11" s="389" t="s">
        <v>1182</v>
      </c>
      <c r="AE11" s="389" t="s">
        <v>468</v>
      </c>
      <c r="AF11" s="389" t="s">
        <v>469</v>
      </c>
      <c r="AG11" s="389" t="s">
        <v>469</v>
      </c>
      <c r="AH11" s="389" t="s">
        <v>470</v>
      </c>
      <c r="AI11" s="389" t="s">
        <v>471</v>
      </c>
      <c r="AJ11" s="389" t="s">
        <v>270</v>
      </c>
      <c r="AK11" s="389" t="s">
        <v>271</v>
      </c>
      <c r="AL11" s="389" t="s">
        <v>472</v>
      </c>
      <c r="AM11" s="389" t="s">
        <v>472</v>
      </c>
      <c r="AN11" s="389" t="s">
        <v>473</v>
      </c>
      <c r="AO11" s="389" t="s">
        <v>474</v>
      </c>
      <c r="AP11" s="389" t="s">
        <v>475</v>
      </c>
      <c r="AQ11" s="389" t="s">
        <v>476</v>
      </c>
      <c r="AR11" s="389" t="s">
        <v>477</v>
      </c>
      <c r="AS11" s="389" t="s">
        <v>478</v>
      </c>
      <c r="AX11" s="389" t="s">
        <v>387</v>
      </c>
      <c r="AY11" s="389" t="s">
        <v>388</v>
      </c>
      <c r="BF11" s="389" t="s">
        <v>330</v>
      </c>
      <c r="BG11" s="389" t="s">
        <v>331</v>
      </c>
      <c r="BV11" s="389" t="s">
        <v>108</v>
      </c>
      <c r="BW11" s="389" t="s">
        <v>109</v>
      </c>
      <c r="BZ11" s="389" t="s">
        <v>70</v>
      </c>
      <c r="CA11" s="389" t="s">
        <v>71</v>
      </c>
      <c r="CB11" s="389" t="s">
        <v>479</v>
      </c>
      <c r="CC11" s="389" t="s">
        <v>480</v>
      </c>
      <c r="CD11" s="389" t="s">
        <v>481</v>
      </c>
      <c r="CF11" s="389" t="s">
        <v>482</v>
      </c>
      <c r="CG11" s="389" t="s">
        <v>482</v>
      </c>
      <c r="CN11" s="389" t="s">
        <v>1131</v>
      </c>
      <c r="CO11" s="389" t="s">
        <v>1132</v>
      </c>
    </row>
    <row r="12" spans="1:93">
      <c r="A12" s="389">
        <v>11</v>
      </c>
      <c r="C12" s="390" t="s">
        <v>426</v>
      </c>
      <c r="D12" s="390" t="s">
        <v>427</v>
      </c>
      <c r="E12" s="390" t="s">
        <v>483</v>
      </c>
      <c r="F12" s="390" t="s">
        <v>484</v>
      </c>
      <c r="G12" s="390"/>
      <c r="H12" s="390"/>
      <c r="I12" s="389" t="s">
        <v>485</v>
      </c>
      <c r="J12" s="389" t="s">
        <v>485</v>
      </c>
      <c r="K12" s="389" t="s">
        <v>486</v>
      </c>
      <c r="L12" s="389" t="s">
        <v>487</v>
      </c>
      <c r="M12" s="389" t="s">
        <v>488</v>
      </c>
      <c r="N12" s="389" t="s">
        <v>489</v>
      </c>
      <c r="O12" s="389" t="s">
        <v>113</v>
      </c>
      <c r="Q12" s="389" t="s">
        <v>490</v>
      </c>
      <c r="V12" s="389" t="s">
        <v>491</v>
      </c>
      <c r="W12" s="389" t="s">
        <v>492</v>
      </c>
      <c r="Z12" s="389" t="s">
        <v>121</v>
      </c>
      <c r="AA12" s="389" t="s">
        <v>111</v>
      </c>
      <c r="AB12" s="389" t="s">
        <v>493</v>
      </c>
      <c r="AC12" s="389" t="s">
        <v>316</v>
      </c>
      <c r="AD12" s="389" t="s">
        <v>317</v>
      </c>
      <c r="AF12" s="389" t="s">
        <v>91</v>
      </c>
      <c r="AG12" s="389" t="s">
        <v>91</v>
      </c>
      <c r="AH12" s="389" t="s">
        <v>494</v>
      </c>
      <c r="AI12" s="389" t="s">
        <v>495</v>
      </c>
      <c r="AJ12" s="389" t="s">
        <v>356</v>
      </c>
      <c r="AK12" s="389" t="s">
        <v>465</v>
      </c>
      <c r="AL12" s="389" t="s">
        <v>132</v>
      </c>
      <c r="AM12" s="389" t="s">
        <v>133</v>
      </c>
      <c r="AN12" s="389" t="s">
        <v>496</v>
      </c>
      <c r="AO12" s="389" t="s">
        <v>497</v>
      </c>
      <c r="AP12" s="389" t="s">
        <v>498</v>
      </c>
      <c r="AQ12" s="389" t="s">
        <v>499</v>
      </c>
      <c r="AR12" s="389" t="s">
        <v>500</v>
      </c>
      <c r="AS12" s="389" t="s">
        <v>444</v>
      </c>
      <c r="AT12" s="389" t="s">
        <v>501</v>
      </c>
      <c r="AU12" s="389" t="s">
        <v>502</v>
      </c>
      <c r="AX12" s="389" t="s">
        <v>503</v>
      </c>
      <c r="AY12" s="389" t="s">
        <v>504</v>
      </c>
      <c r="BF12" s="389" t="s">
        <v>431</v>
      </c>
      <c r="BG12" s="389" t="s">
        <v>432</v>
      </c>
      <c r="BV12" s="389" t="s">
        <v>505</v>
      </c>
      <c r="BW12" s="389" t="s">
        <v>506</v>
      </c>
      <c r="BZ12" s="389" t="s">
        <v>507</v>
      </c>
      <c r="CA12" s="389" t="s">
        <v>508</v>
      </c>
      <c r="CB12" s="389" t="s">
        <v>509</v>
      </c>
      <c r="CC12" s="389" t="s">
        <v>510</v>
      </c>
      <c r="CD12" s="389" t="s">
        <v>481</v>
      </c>
      <c r="CN12" s="389" t="s">
        <v>511</v>
      </c>
      <c r="CO12" s="389" t="s">
        <v>512</v>
      </c>
    </row>
    <row r="13" spans="1:93">
      <c r="A13" s="389">
        <v>12</v>
      </c>
      <c r="C13" s="390" t="s">
        <v>454</v>
      </c>
      <c r="D13" s="390" t="s">
        <v>455</v>
      </c>
      <c r="E13" s="390" t="s">
        <v>513</v>
      </c>
      <c r="F13" s="389" t="s">
        <v>514</v>
      </c>
      <c r="G13" s="390"/>
      <c r="H13" s="390"/>
      <c r="I13" s="389" t="s">
        <v>515</v>
      </c>
      <c r="J13" s="389" t="s">
        <v>515</v>
      </c>
      <c r="K13" s="389" t="s">
        <v>516</v>
      </c>
      <c r="L13" s="389" t="s">
        <v>517</v>
      </c>
      <c r="M13" s="389" t="s">
        <v>185</v>
      </c>
      <c r="N13" s="389" t="s">
        <v>1170</v>
      </c>
      <c r="O13" s="389" t="s">
        <v>518</v>
      </c>
      <c r="V13" s="389" t="s">
        <v>519</v>
      </c>
      <c r="W13" s="389" t="s">
        <v>520</v>
      </c>
      <c r="Z13" s="389" t="s">
        <v>521</v>
      </c>
      <c r="AA13" s="389" t="s">
        <v>522</v>
      </c>
      <c r="AB13" s="389" t="s">
        <v>523</v>
      </c>
      <c r="AC13" s="389" t="s">
        <v>357</v>
      </c>
      <c r="AD13" s="389" t="s">
        <v>358</v>
      </c>
      <c r="AH13" s="389" t="s">
        <v>524</v>
      </c>
      <c r="AI13" s="389" t="s">
        <v>525</v>
      </c>
      <c r="AJ13" s="389" t="s">
        <v>314</v>
      </c>
      <c r="AK13" s="389" t="s">
        <v>315</v>
      </c>
      <c r="AL13" s="389" t="s">
        <v>185</v>
      </c>
      <c r="AM13" s="389" t="s">
        <v>186</v>
      </c>
      <c r="AN13" s="389" t="s">
        <v>526</v>
      </c>
      <c r="AO13" s="389" t="s">
        <v>527</v>
      </c>
      <c r="AP13" s="389" t="s">
        <v>326</v>
      </c>
      <c r="AQ13" s="389" t="s">
        <v>327</v>
      </c>
      <c r="AR13" s="389" t="s">
        <v>475</v>
      </c>
      <c r="AS13" s="389" t="s">
        <v>476</v>
      </c>
      <c r="AT13" s="389" t="s">
        <v>1057</v>
      </c>
      <c r="AU13" s="389" t="s">
        <v>1058</v>
      </c>
      <c r="BF13" s="389" t="s">
        <v>528</v>
      </c>
      <c r="BG13" s="389" t="s">
        <v>529</v>
      </c>
      <c r="BV13" s="389" t="s">
        <v>530</v>
      </c>
      <c r="BW13" s="389" t="s">
        <v>531</v>
      </c>
      <c r="BZ13" s="389" t="s">
        <v>532</v>
      </c>
      <c r="CA13" s="389" t="s">
        <v>533</v>
      </c>
      <c r="CN13" s="389" t="s">
        <v>534</v>
      </c>
      <c r="CO13" s="389" t="s">
        <v>535</v>
      </c>
    </row>
    <row r="14" spans="1:93">
      <c r="A14" s="389">
        <v>13</v>
      </c>
      <c r="C14" s="390" t="s">
        <v>483</v>
      </c>
      <c r="D14" s="390" t="s">
        <v>484</v>
      </c>
      <c r="E14" s="390" t="s">
        <v>536</v>
      </c>
      <c r="F14" s="390" t="s">
        <v>537</v>
      </c>
      <c r="G14" s="390"/>
      <c r="H14" s="390"/>
      <c r="I14" s="389" t="s">
        <v>538</v>
      </c>
      <c r="J14" s="389" t="s">
        <v>538</v>
      </c>
      <c r="K14" s="389" t="s">
        <v>539</v>
      </c>
      <c r="L14" s="389" t="s">
        <v>540</v>
      </c>
      <c r="M14" s="389" t="s">
        <v>251</v>
      </c>
      <c r="N14" s="389" t="s">
        <v>252</v>
      </c>
      <c r="O14" s="389" t="s">
        <v>356</v>
      </c>
      <c r="V14" s="389" t="s">
        <v>541</v>
      </c>
      <c r="W14" s="389" t="s">
        <v>541</v>
      </c>
      <c r="Z14" s="389" t="s">
        <v>465</v>
      </c>
      <c r="AA14" s="389" t="s">
        <v>400</v>
      </c>
      <c r="AB14" s="389" t="s">
        <v>401</v>
      </c>
      <c r="AF14" s="389" t="s">
        <v>542</v>
      </c>
      <c r="AG14" s="389" t="s">
        <v>543</v>
      </c>
      <c r="AH14" s="389" t="s">
        <v>544</v>
      </c>
      <c r="AI14" s="389" t="s">
        <v>545</v>
      </c>
      <c r="AJ14" s="389" t="s">
        <v>546</v>
      </c>
      <c r="AK14" s="389" t="s">
        <v>547</v>
      </c>
      <c r="AL14" s="389" t="s">
        <v>236</v>
      </c>
      <c r="AM14" s="389" t="s">
        <v>237</v>
      </c>
      <c r="AN14" s="389" t="s">
        <v>548</v>
      </c>
      <c r="AO14" s="389" t="s">
        <v>549</v>
      </c>
      <c r="AR14" s="389" t="s">
        <v>550</v>
      </c>
      <c r="AS14" s="389" t="s">
        <v>499</v>
      </c>
      <c r="AT14" s="389" t="s">
        <v>1059</v>
      </c>
      <c r="AU14" s="389" t="s">
        <v>317</v>
      </c>
      <c r="BF14" s="389" t="s">
        <v>551</v>
      </c>
      <c r="BG14" s="389" t="s">
        <v>284</v>
      </c>
      <c r="BV14" s="389" t="s">
        <v>552</v>
      </c>
      <c r="BW14" s="389" t="s">
        <v>553</v>
      </c>
      <c r="BZ14" s="389" t="s">
        <v>554</v>
      </c>
      <c r="CA14" s="389" t="s">
        <v>555</v>
      </c>
      <c r="CB14" s="389" t="s">
        <v>556</v>
      </c>
      <c r="CC14" s="389" t="s">
        <v>556</v>
      </c>
      <c r="CN14" s="389" t="s">
        <v>557</v>
      </c>
      <c r="CO14" s="389" t="s">
        <v>558</v>
      </c>
    </row>
    <row r="15" spans="1:93" ht="63" customHeight="1">
      <c r="A15" s="389">
        <v>14</v>
      </c>
      <c r="C15" s="390" t="s">
        <v>513</v>
      </c>
      <c r="D15" s="389" t="s">
        <v>514</v>
      </c>
      <c r="E15" s="390" t="s">
        <v>559</v>
      </c>
      <c r="F15" s="390" t="s">
        <v>560</v>
      </c>
      <c r="I15" s="389" t="s">
        <v>561</v>
      </c>
      <c r="J15" s="389" t="s">
        <v>561</v>
      </c>
      <c r="K15" s="389" t="s">
        <v>562</v>
      </c>
      <c r="L15" s="389" t="s">
        <v>563</v>
      </c>
      <c r="M15" s="389" t="s">
        <v>341</v>
      </c>
      <c r="N15" s="389" t="s">
        <v>342</v>
      </c>
      <c r="O15" s="389" t="s">
        <v>564</v>
      </c>
      <c r="V15" s="389" t="s">
        <v>565</v>
      </c>
      <c r="W15" s="389" t="s">
        <v>566</v>
      </c>
      <c r="Z15" s="389" t="s">
        <v>567</v>
      </c>
      <c r="AA15" s="389" t="s">
        <v>568</v>
      </c>
      <c r="AB15" s="389" t="s">
        <v>569</v>
      </c>
      <c r="AC15" s="389" t="s">
        <v>570</v>
      </c>
      <c r="AD15" s="389" t="s">
        <v>571</v>
      </c>
      <c r="AF15" s="389" t="s">
        <v>572</v>
      </c>
      <c r="AG15" s="389" t="s">
        <v>573</v>
      </c>
      <c r="AH15" s="389" t="s">
        <v>574</v>
      </c>
      <c r="AI15" s="389" t="s">
        <v>575</v>
      </c>
      <c r="AL15" s="389" t="s">
        <v>433</v>
      </c>
      <c r="AM15" s="389" t="s">
        <v>121</v>
      </c>
      <c r="AN15" s="389" t="s">
        <v>576</v>
      </c>
      <c r="AO15" s="389" t="s">
        <v>577</v>
      </c>
      <c r="AR15" s="389" t="s">
        <v>345</v>
      </c>
      <c r="AS15" s="389" t="s">
        <v>578</v>
      </c>
      <c r="BV15" s="389" t="s">
        <v>1053</v>
      </c>
      <c r="BW15" s="389" t="s">
        <v>1054</v>
      </c>
      <c r="BZ15" s="389" t="s">
        <v>579</v>
      </c>
      <c r="CA15" s="389" t="s">
        <v>579</v>
      </c>
      <c r="CB15" s="389" t="s">
        <v>580</v>
      </c>
      <c r="CC15" s="389" t="s">
        <v>581</v>
      </c>
      <c r="CD15" s="388" t="s">
        <v>582</v>
      </c>
      <c r="CN15" s="389" t="s">
        <v>859</v>
      </c>
      <c r="CO15" s="389" t="s">
        <v>859</v>
      </c>
    </row>
    <row r="16" spans="1:93" ht="176">
      <c r="A16" s="389">
        <v>15</v>
      </c>
      <c r="C16" s="390" t="s">
        <v>536</v>
      </c>
      <c r="D16" s="390" t="s">
        <v>537</v>
      </c>
      <c r="E16" s="390" t="s">
        <v>583</v>
      </c>
      <c r="F16" s="390" t="s">
        <v>584</v>
      </c>
      <c r="I16" s="389" t="s">
        <v>585</v>
      </c>
      <c r="J16" s="389" t="s">
        <v>586</v>
      </c>
      <c r="K16" s="389" t="s">
        <v>587</v>
      </c>
      <c r="L16" s="389" t="s">
        <v>588</v>
      </c>
      <c r="M16" s="389" t="s">
        <v>528</v>
      </c>
      <c r="N16" s="389" t="s">
        <v>589</v>
      </c>
      <c r="O16" s="389" t="s">
        <v>564</v>
      </c>
      <c r="R16" s="389" t="s">
        <v>6</v>
      </c>
      <c r="S16" s="389" t="s">
        <v>6</v>
      </c>
      <c r="V16" s="389" t="s">
        <v>590</v>
      </c>
      <c r="W16" s="389" t="s">
        <v>591</v>
      </c>
      <c r="Z16" s="389" t="s">
        <v>567</v>
      </c>
      <c r="AA16" s="389" t="s">
        <v>257</v>
      </c>
      <c r="AB16" s="389" t="s">
        <v>592</v>
      </c>
      <c r="AC16" s="389" t="s">
        <v>593</v>
      </c>
      <c r="AD16" s="389" t="s">
        <v>594</v>
      </c>
      <c r="AH16" s="389" t="s">
        <v>595</v>
      </c>
      <c r="AI16" s="389" t="s">
        <v>596</v>
      </c>
      <c r="AJ16" s="389" t="s">
        <v>597</v>
      </c>
      <c r="AK16" s="389" t="s">
        <v>598</v>
      </c>
      <c r="AL16" s="389" t="s">
        <v>599</v>
      </c>
      <c r="AM16" s="389" t="s">
        <v>333</v>
      </c>
      <c r="AN16" s="389" t="s">
        <v>600</v>
      </c>
      <c r="AO16" s="389" t="s">
        <v>601</v>
      </c>
      <c r="BV16" s="389" t="s">
        <v>1127</v>
      </c>
      <c r="BW16" s="389" t="s">
        <v>1128</v>
      </c>
      <c r="BZ16" s="389" t="s">
        <v>440</v>
      </c>
      <c r="CA16" s="389" t="s">
        <v>440</v>
      </c>
      <c r="CB16" s="389" t="s">
        <v>602</v>
      </c>
      <c r="CC16" s="389" t="s">
        <v>603</v>
      </c>
      <c r="CD16" s="388" t="s">
        <v>582</v>
      </c>
    </row>
    <row r="17" spans="1:82">
      <c r="A17" s="389">
        <v>16</v>
      </c>
      <c r="C17" s="390" t="s">
        <v>559</v>
      </c>
      <c r="D17" s="390" t="s">
        <v>560</v>
      </c>
      <c r="E17" s="390" t="s">
        <v>604</v>
      </c>
      <c r="F17" s="390" t="s">
        <v>605</v>
      </c>
      <c r="I17" s="389" t="s">
        <v>49</v>
      </c>
      <c r="J17" s="389" t="s">
        <v>50</v>
      </c>
      <c r="K17" s="389" t="s">
        <v>1144</v>
      </c>
      <c r="L17" s="389" t="s">
        <v>1160</v>
      </c>
      <c r="M17" s="389" t="s">
        <v>298</v>
      </c>
      <c r="N17" s="389" t="s">
        <v>299</v>
      </c>
      <c r="O17" s="389" t="s">
        <v>606</v>
      </c>
      <c r="V17" s="389" t="s">
        <v>1183</v>
      </c>
      <c r="W17" s="389" t="s">
        <v>607</v>
      </c>
      <c r="Z17" s="389" t="s">
        <v>608</v>
      </c>
      <c r="AA17" s="389" t="s">
        <v>609</v>
      </c>
      <c r="AB17" s="389" t="s">
        <v>610</v>
      </c>
      <c r="AC17" s="389" t="s">
        <v>611</v>
      </c>
      <c r="AD17" s="389" t="s">
        <v>612</v>
      </c>
      <c r="AH17" s="389" t="s">
        <v>613</v>
      </c>
      <c r="AI17" s="389" t="s">
        <v>614</v>
      </c>
      <c r="AJ17" s="389" t="s">
        <v>183</v>
      </c>
      <c r="AK17" s="389" t="s">
        <v>184</v>
      </c>
      <c r="AL17" s="389" t="s">
        <v>91</v>
      </c>
      <c r="AM17" s="389" t="s">
        <v>374</v>
      </c>
      <c r="AN17" s="389" t="s">
        <v>345</v>
      </c>
      <c r="AO17" s="389" t="s">
        <v>346</v>
      </c>
      <c r="AR17" s="389" t="s">
        <v>615</v>
      </c>
      <c r="AS17" s="389" t="s">
        <v>616</v>
      </c>
      <c r="BF17" s="389" t="s">
        <v>617</v>
      </c>
      <c r="BG17" s="389" t="s">
        <v>618</v>
      </c>
      <c r="BV17" s="389" t="s">
        <v>619</v>
      </c>
      <c r="BW17" s="389" t="s">
        <v>620</v>
      </c>
      <c r="BZ17" s="389" t="s">
        <v>576</v>
      </c>
      <c r="CA17" s="394" t="s">
        <v>621</v>
      </c>
    </row>
    <row r="18" spans="1:82">
      <c r="A18" s="389">
        <v>17</v>
      </c>
      <c r="C18" s="390">
        <v>2023</v>
      </c>
      <c r="D18" s="390">
        <v>2023</v>
      </c>
      <c r="E18" s="390" t="s">
        <v>622</v>
      </c>
      <c r="F18" s="390" t="s">
        <v>623</v>
      </c>
      <c r="I18" s="389" t="s">
        <v>624</v>
      </c>
      <c r="J18" s="389" t="s">
        <v>624</v>
      </c>
      <c r="K18" s="389" t="s">
        <v>1145</v>
      </c>
      <c r="L18" s="389" t="s">
        <v>1161</v>
      </c>
      <c r="M18" s="389" t="s">
        <v>625</v>
      </c>
      <c r="N18" s="389" t="s">
        <v>626</v>
      </c>
      <c r="O18" s="389" t="s">
        <v>134</v>
      </c>
      <c r="Q18" s="389" t="s">
        <v>827</v>
      </c>
      <c r="R18" s="389" t="s">
        <v>827</v>
      </c>
      <c r="V18" s="389" t="s">
        <v>627</v>
      </c>
      <c r="W18" s="389" t="s">
        <v>628</v>
      </c>
      <c r="Z18" s="389" t="s">
        <v>135</v>
      </c>
      <c r="AA18" s="389" t="s">
        <v>473</v>
      </c>
      <c r="AB18" s="389" t="s">
        <v>629</v>
      </c>
      <c r="AC18" s="389" t="s">
        <v>630</v>
      </c>
      <c r="AD18" s="389" t="s">
        <v>631</v>
      </c>
      <c r="AH18" s="389" t="s">
        <v>632</v>
      </c>
      <c r="AI18" s="389" t="s">
        <v>633</v>
      </c>
      <c r="AJ18" s="389" t="s">
        <v>235</v>
      </c>
      <c r="AK18" s="389" t="s">
        <v>235</v>
      </c>
      <c r="AN18" s="389" t="s">
        <v>634</v>
      </c>
      <c r="AO18" s="389" t="s">
        <v>635</v>
      </c>
      <c r="AR18" s="389" t="s">
        <v>636</v>
      </c>
      <c r="AS18" s="389" t="s">
        <v>637</v>
      </c>
      <c r="BF18" s="389" t="s">
        <v>251</v>
      </c>
      <c r="BG18" s="389" t="s">
        <v>252</v>
      </c>
      <c r="BV18" s="389" t="s">
        <v>638</v>
      </c>
      <c r="BW18" s="389" t="s">
        <v>639</v>
      </c>
      <c r="BZ18" s="392" t="s">
        <v>640</v>
      </c>
      <c r="CA18" s="392" t="s">
        <v>641</v>
      </c>
      <c r="CB18" s="389" t="s">
        <v>642</v>
      </c>
      <c r="CC18" s="389" t="s">
        <v>643</v>
      </c>
    </row>
    <row r="19" spans="1:82">
      <c r="A19" s="389">
        <v>18</v>
      </c>
      <c r="C19" s="390" t="s">
        <v>583</v>
      </c>
      <c r="D19" s="390" t="s">
        <v>584</v>
      </c>
      <c r="E19" s="390" t="s">
        <v>644</v>
      </c>
      <c r="F19" s="390" t="s">
        <v>645</v>
      </c>
      <c r="I19" s="389" t="s">
        <v>646</v>
      </c>
      <c r="J19" s="389" t="s">
        <v>647</v>
      </c>
      <c r="K19" s="389" t="s">
        <v>363</v>
      </c>
      <c r="L19" s="389" t="s">
        <v>364</v>
      </c>
      <c r="M19" s="389" t="s">
        <v>1152</v>
      </c>
      <c r="N19" s="389" t="s">
        <v>648</v>
      </c>
      <c r="O19" s="389" t="s">
        <v>649</v>
      </c>
      <c r="Q19" s="389" t="s">
        <v>1061</v>
      </c>
      <c r="R19" s="389" t="s">
        <v>827</v>
      </c>
      <c r="Z19" s="389" t="s">
        <v>650</v>
      </c>
      <c r="AC19" s="389" t="s">
        <v>651</v>
      </c>
      <c r="AD19" s="389" t="s">
        <v>652</v>
      </c>
      <c r="AH19" s="389" t="s">
        <v>653</v>
      </c>
      <c r="AI19" s="389" t="s">
        <v>654</v>
      </c>
      <c r="AJ19" s="389" t="s">
        <v>287</v>
      </c>
      <c r="AK19" s="389" t="s">
        <v>288</v>
      </c>
      <c r="AN19" s="389" t="s">
        <v>655</v>
      </c>
      <c r="AO19" s="389" t="s">
        <v>656</v>
      </c>
      <c r="AR19" s="389" t="s">
        <v>657</v>
      </c>
      <c r="AS19" s="389" t="s">
        <v>658</v>
      </c>
      <c r="BF19" s="389" t="s">
        <v>382</v>
      </c>
      <c r="BG19" s="389" t="s">
        <v>383</v>
      </c>
      <c r="BV19" s="389" t="s">
        <v>659</v>
      </c>
      <c r="BW19" s="389" t="s">
        <v>660</v>
      </c>
      <c r="BZ19" s="389" t="s">
        <v>661</v>
      </c>
      <c r="CA19" s="389" t="s">
        <v>662</v>
      </c>
    </row>
    <row r="20" spans="1:82">
      <c r="A20" s="389">
        <v>19</v>
      </c>
      <c r="C20" s="390" t="s">
        <v>604</v>
      </c>
      <c r="D20" s="390" t="s">
        <v>605</v>
      </c>
      <c r="E20" s="390" t="s">
        <v>663</v>
      </c>
      <c r="F20" s="389" t="s">
        <v>664</v>
      </c>
      <c r="I20" s="389" t="s">
        <v>665</v>
      </c>
      <c r="J20" s="389" t="s">
        <v>665</v>
      </c>
      <c r="K20" s="389" t="s">
        <v>666</v>
      </c>
      <c r="L20" s="389" t="s">
        <v>315</v>
      </c>
      <c r="M20" s="389" t="s">
        <v>667</v>
      </c>
      <c r="N20" s="389" t="s">
        <v>668</v>
      </c>
      <c r="O20" s="389" t="s">
        <v>669</v>
      </c>
      <c r="Q20" s="389" t="s">
        <v>862</v>
      </c>
      <c r="R20" s="389" t="s">
        <v>1070</v>
      </c>
      <c r="Z20" s="389" t="s">
        <v>670</v>
      </c>
      <c r="AA20" s="389" t="s">
        <v>1175</v>
      </c>
      <c r="AB20" s="389" t="s">
        <v>671</v>
      </c>
      <c r="AC20" s="389" t="s">
        <v>672</v>
      </c>
      <c r="AD20" s="389" t="s">
        <v>673</v>
      </c>
      <c r="AH20" s="389" t="s">
        <v>674</v>
      </c>
      <c r="AI20" s="389" t="s">
        <v>675</v>
      </c>
      <c r="AJ20" s="389" t="s">
        <v>330</v>
      </c>
      <c r="AK20" s="389" t="s">
        <v>331</v>
      </c>
      <c r="AN20" s="389" t="s">
        <v>130</v>
      </c>
      <c r="AO20" s="389" t="s">
        <v>131</v>
      </c>
      <c r="AR20" s="389" t="s">
        <v>74</v>
      </c>
      <c r="AS20" s="389" t="s">
        <v>288</v>
      </c>
      <c r="BF20" s="389" t="s">
        <v>287</v>
      </c>
      <c r="BG20" s="389" t="s">
        <v>288</v>
      </c>
      <c r="BV20" s="389" t="s">
        <v>676</v>
      </c>
      <c r="BW20" s="389" t="s">
        <v>677</v>
      </c>
      <c r="BZ20" s="389" t="s">
        <v>678</v>
      </c>
      <c r="CA20" s="389" t="s">
        <v>678</v>
      </c>
      <c r="CB20" s="389" t="s">
        <v>679</v>
      </c>
      <c r="CC20" s="389" t="s">
        <v>680</v>
      </c>
      <c r="CD20" s="389" t="s">
        <v>681</v>
      </c>
    </row>
    <row r="21" spans="1:82">
      <c r="A21" s="389">
        <v>20</v>
      </c>
      <c r="C21" s="390" t="s">
        <v>622</v>
      </c>
      <c r="D21" s="390" t="s">
        <v>623</v>
      </c>
      <c r="E21" s="390" t="s">
        <v>1075</v>
      </c>
      <c r="F21" s="389" t="s">
        <v>1076</v>
      </c>
      <c r="G21" s="389" t="s">
        <v>1123</v>
      </c>
      <c r="I21" s="389" t="s">
        <v>682</v>
      </c>
      <c r="J21" s="389" t="s">
        <v>683</v>
      </c>
      <c r="K21" s="389" t="s">
        <v>1153</v>
      </c>
      <c r="L21" s="389" t="s">
        <v>684</v>
      </c>
      <c r="M21" s="389" t="s">
        <v>685</v>
      </c>
      <c r="N21" s="389" t="s">
        <v>686</v>
      </c>
      <c r="O21" s="389" t="s">
        <v>687</v>
      </c>
      <c r="Q21" s="389" t="s">
        <v>1069</v>
      </c>
      <c r="R21" s="389" t="s">
        <v>1071</v>
      </c>
      <c r="Z21" s="389" t="s">
        <v>670</v>
      </c>
      <c r="AA21" s="389" t="s">
        <v>688</v>
      </c>
      <c r="AB21" s="389" t="s">
        <v>689</v>
      </c>
      <c r="AC21" s="389" t="s">
        <v>431</v>
      </c>
      <c r="AD21" s="389" t="s">
        <v>432</v>
      </c>
      <c r="AH21" s="389" t="s">
        <v>690</v>
      </c>
      <c r="AI21" s="389" t="s">
        <v>691</v>
      </c>
      <c r="AJ21" s="389" t="s">
        <v>692</v>
      </c>
      <c r="AK21" s="389" t="s">
        <v>693</v>
      </c>
      <c r="AN21" s="389" t="s">
        <v>597</v>
      </c>
      <c r="AO21" s="389" t="s">
        <v>598</v>
      </c>
      <c r="AR21" s="389" t="s">
        <v>334</v>
      </c>
      <c r="AS21" s="389" t="s">
        <v>335</v>
      </c>
      <c r="BF21" s="389" t="s">
        <v>357</v>
      </c>
      <c r="BG21" s="389" t="s">
        <v>358</v>
      </c>
      <c r="BV21" s="389" t="s">
        <v>694</v>
      </c>
      <c r="BW21" s="389" t="s">
        <v>695</v>
      </c>
      <c r="BZ21" s="389" t="s">
        <v>661</v>
      </c>
      <c r="CA21" s="389" t="s">
        <v>662</v>
      </c>
    </row>
    <row r="22" spans="1:82">
      <c r="A22" s="389">
        <v>21</v>
      </c>
      <c r="C22" s="390" t="s">
        <v>644</v>
      </c>
      <c r="D22" s="390" t="s">
        <v>645</v>
      </c>
      <c r="E22" s="389" t="s">
        <v>1123</v>
      </c>
      <c r="F22" s="389" t="s">
        <v>1124</v>
      </c>
      <c r="G22" s="389" t="s">
        <v>1124</v>
      </c>
      <c r="I22" s="389" t="s">
        <v>696</v>
      </c>
      <c r="J22" s="389" t="s">
        <v>697</v>
      </c>
      <c r="K22" s="389" t="s">
        <v>698</v>
      </c>
      <c r="L22" s="389" t="s">
        <v>699</v>
      </c>
      <c r="M22" s="389" t="s">
        <v>700</v>
      </c>
      <c r="N22" s="389" t="s">
        <v>701</v>
      </c>
      <c r="O22" s="389" t="s">
        <v>702</v>
      </c>
      <c r="Q22" s="389" t="s">
        <v>1064</v>
      </c>
      <c r="R22" s="389" t="s">
        <v>1065</v>
      </c>
      <c r="Z22" s="389" t="s">
        <v>703</v>
      </c>
      <c r="AA22" s="389" t="s">
        <v>1153</v>
      </c>
      <c r="AB22" s="389" t="s">
        <v>684</v>
      </c>
      <c r="AH22" s="389" t="s">
        <v>1078</v>
      </c>
      <c r="AI22" s="389" t="s">
        <v>1077</v>
      </c>
      <c r="AJ22" s="389" t="s">
        <v>704</v>
      </c>
      <c r="AK22" s="389" t="s">
        <v>705</v>
      </c>
      <c r="AN22" s="389" t="s">
        <v>667</v>
      </c>
      <c r="AO22" s="389" t="s">
        <v>668</v>
      </c>
      <c r="AR22" s="389" t="s">
        <v>123</v>
      </c>
      <c r="AS22" s="389" t="s">
        <v>124</v>
      </c>
      <c r="BF22" s="389" t="s">
        <v>330</v>
      </c>
      <c r="BG22" s="389" t="s">
        <v>331</v>
      </c>
      <c r="BZ22" s="392" t="s">
        <v>706</v>
      </c>
      <c r="CA22" s="389" t="s">
        <v>707</v>
      </c>
      <c r="CB22" s="389" t="s">
        <v>708</v>
      </c>
      <c r="CC22" s="389" t="s">
        <v>709</v>
      </c>
      <c r="CD22" s="389" t="s">
        <v>710</v>
      </c>
    </row>
    <row r="23" spans="1:82">
      <c r="A23" s="389">
        <v>22</v>
      </c>
      <c r="C23" s="390">
        <v>2024</v>
      </c>
      <c r="D23" s="390">
        <v>2024</v>
      </c>
      <c r="E23" s="389">
        <v>2025</v>
      </c>
      <c r="F23" s="389">
        <v>2025</v>
      </c>
      <c r="G23" s="389" t="s">
        <v>1186</v>
      </c>
      <c r="K23" s="389" t="s">
        <v>711</v>
      </c>
      <c r="L23" s="389" t="s">
        <v>712</v>
      </c>
      <c r="M23" s="389" t="s">
        <v>713</v>
      </c>
      <c r="N23" s="389" t="s">
        <v>714</v>
      </c>
      <c r="O23" s="389" t="s">
        <v>187</v>
      </c>
      <c r="Q23" s="389" t="s">
        <v>1062</v>
      </c>
      <c r="R23" s="389" t="s">
        <v>1063</v>
      </c>
      <c r="Z23" s="389" t="s">
        <v>188</v>
      </c>
      <c r="AC23" s="389" t="s">
        <v>715</v>
      </c>
      <c r="AD23" s="389" t="s">
        <v>716</v>
      </c>
      <c r="AJ23" s="389" t="s">
        <v>162</v>
      </c>
      <c r="AK23" s="389" t="s">
        <v>163</v>
      </c>
      <c r="AN23" s="389" t="s">
        <v>717</v>
      </c>
      <c r="AO23" s="389" t="s">
        <v>718</v>
      </c>
      <c r="AR23" s="389" t="s">
        <v>330</v>
      </c>
      <c r="AS23" s="389" t="s">
        <v>331</v>
      </c>
      <c r="BF23" s="389" t="s">
        <v>431</v>
      </c>
      <c r="BG23" s="389" t="s">
        <v>432</v>
      </c>
      <c r="BV23" s="389" t="s">
        <v>719</v>
      </c>
      <c r="BW23" s="389" t="s">
        <v>720</v>
      </c>
      <c r="BZ23" s="389" t="s">
        <v>721</v>
      </c>
      <c r="CA23" s="389" t="s">
        <v>722</v>
      </c>
      <c r="CB23" s="389" t="s">
        <v>218</v>
      </c>
      <c r="CC23" s="389" t="s">
        <v>225</v>
      </c>
      <c r="CD23" s="389" t="s">
        <v>723</v>
      </c>
    </row>
    <row r="24" spans="1:82">
      <c r="A24" s="389">
        <v>23</v>
      </c>
      <c r="C24" s="390" t="s">
        <v>663</v>
      </c>
      <c r="D24" s="389" t="s">
        <v>664</v>
      </c>
      <c r="I24" s="389" t="s">
        <v>724</v>
      </c>
      <c r="J24" s="389" t="s">
        <v>725</v>
      </c>
      <c r="K24" s="389" t="s">
        <v>726</v>
      </c>
      <c r="L24" s="1" t="s">
        <v>1162</v>
      </c>
      <c r="M24" s="389" t="s">
        <v>1151</v>
      </c>
      <c r="N24" s="389" t="s">
        <v>718</v>
      </c>
      <c r="O24" s="389" t="s">
        <v>727</v>
      </c>
      <c r="Z24" s="389" t="s">
        <v>728</v>
      </c>
      <c r="AA24" s="389" t="s">
        <v>1176</v>
      </c>
      <c r="AB24" s="389" t="s">
        <v>1177</v>
      </c>
      <c r="AC24" s="389" t="s">
        <v>357</v>
      </c>
      <c r="AD24" s="389" t="s">
        <v>124</v>
      </c>
      <c r="AJ24" s="389" t="s">
        <v>270</v>
      </c>
      <c r="AK24" s="389" t="s">
        <v>271</v>
      </c>
      <c r="AN24" s="389" t="s">
        <v>469</v>
      </c>
      <c r="AO24" s="389" t="s">
        <v>469</v>
      </c>
      <c r="AR24" s="389" t="s">
        <v>431</v>
      </c>
      <c r="AS24" s="389" t="s">
        <v>432</v>
      </c>
      <c r="BF24" s="389" t="s">
        <v>528</v>
      </c>
      <c r="BG24" s="389" t="s">
        <v>529</v>
      </c>
      <c r="BV24" s="389" t="s">
        <v>729</v>
      </c>
      <c r="BW24" s="389" t="s">
        <v>730</v>
      </c>
      <c r="BZ24" s="389" t="s">
        <v>111</v>
      </c>
      <c r="CA24" s="389" t="s">
        <v>112</v>
      </c>
      <c r="CB24" s="389" t="s">
        <v>731</v>
      </c>
      <c r="CC24" s="389" t="s">
        <v>173</v>
      </c>
      <c r="CD24" s="389" t="s">
        <v>732</v>
      </c>
    </row>
    <row r="25" spans="1:82">
      <c r="A25" s="389">
        <v>24</v>
      </c>
      <c r="C25" s="390" t="s">
        <v>1075</v>
      </c>
      <c r="D25" s="389" t="s">
        <v>1076</v>
      </c>
      <c r="I25" s="389" t="s">
        <v>733</v>
      </c>
      <c r="J25" s="389" t="s">
        <v>734</v>
      </c>
      <c r="K25" s="389" t="s">
        <v>735</v>
      </c>
      <c r="L25" s="389" t="s">
        <v>736</v>
      </c>
      <c r="M25" s="389" t="s">
        <v>737</v>
      </c>
      <c r="N25" s="389" t="s">
        <v>738</v>
      </c>
      <c r="O25" s="389" t="s">
        <v>739</v>
      </c>
      <c r="Q25" s="389" t="s">
        <v>1072</v>
      </c>
      <c r="R25" s="389" t="s">
        <v>1074</v>
      </c>
      <c r="Z25" s="389" t="s">
        <v>740</v>
      </c>
      <c r="AC25" s="389" t="s">
        <v>431</v>
      </c>
      <c r="AD25" s="389" t="s">
        <v>432</v>
      </c>
      <c r="AJ25" s="389" t="s">
        <v>741</v>
      </c>
      <c r="AK25" s="389" t="s">
        <v>742</v>
      </c>
      <c r="AR25" s="389" t="s">
        <v>477</v>
      </c>
      <c r="AS25" s="389" t="s">
        <v>478</v>
      </c>
      <c r="BF25" s="389" t="s">
        <v>743</v>
      </c>
      <c r="BG25" s="389" t="s">
        <v>744</v>
      </c>
      <c r="BV25" s="389" t="s">
        <v>745</v>
      </c>
      <c r="BW25" s="389" t="s">
        <v>745</v>
      </c>
      <c r="BZ25" s="389" t="s">
        <v>287</v>
      </c>
      <c r="CA25" s="389" t="s">
        <v>746</v>
      </c>
      <c r="CB25" s="389" t="s">
        <v>747</v>
      </c>
      <c r="CC25" s="389" t="s">
        <v>277</v>
      </c>
      <c r="CD25" s="389" t="s">
        <v>748</v>
      </c>
    </row>
    <row r="26" spans="1:82">
      <c r="A26" s="389">
        <v>25</v>
      </c>
      <c r="C26" s="390" t="s">
        <v>1123</v>
      </c>
      <c r="D26" s="389" t="s">
        <v>1124</v>
      </c>
      <c r="E26" s="390" t="s">
        <v>1185</v>
      </c>
      <c r="F26" s="389" t="s">
        <v>1186</v>
      </c>
      <c r="K26" s="389" t="s">
        <v>749</v>
      </c>
      <c r="L26" s="389" t="s">
        <v>1163</v>
      </c>
      <c r="M26" s="389" t="s">
        <v>496</v>
      </c>
      <c r="N26" s="389" t="s">
        <v>1169</v>
      </c>
      <c r="O26" s="389" t="s">
        <v>750</v>
      </c>
      <c r="Z26" s="389" t="s">
        <v>751</v>
      </c>
      <c r="AC26" s="389" t="s">
        <v>752</v>
      </c>
      <c r="AD26" s="389" t="s">
        <v>753</v>
      </c>
      <c r="AJ26" s="389" t="s">
        <v>356</v>
      </c>
      <c r="AK26" s="389" t="s">
        <v>465</v>
      </c>
      <c r="AR26" s="389" t="s">
        <v>111</v>
      </c>
      <c r="AS26" s="389" t="s">
        <v>112</v>
      </c>
      <c r="BV26" s="389" t="s">
        <v>754</v>
      </c>
      <c r="BW26" s="389" t="s">
        <v>755</v>
      </c>
      <c r="CB26" s="389" t="s">
        <v>106</v>
      </c>
      <c r="CC26" s="389" t="s">
        <v>107</v>
      </c>
    </row>
    <row r="27" spans="1:82">
      <c r="A27" s="389">
        <v>26</v>
      </c>
      <c r="C27" s="390" t="s">
        <v>1185</v>
      </c>
      <c r="D27" s="389" t="s">
        <v>1186</v>
      </c>
      <c r="I27" s="389" t="s">
        <v>756</v>
      </c>
      <c r="J27" s="389" t="s">
        <v>757</v>
      </c>
      <c r="K27" s="389" t="s">
        <v>758</v>
      </c>
      <c r="L27" s="389" t="s">
        <v>759</v>
      </c>
      <c r="M27" s="389" t="s">
        <v>1150</v>
      </c>
      <c r="N27" s="389" t="s">
        <v>712</v>
      </c>
      <c r="O27" s="389" t="s">
        <v>760</v>
      </c>
      <c r="Z27" s="389" t="s">
        <v>761</v>
      </c>
      <c r="AA27" s="389" t="s">
        <v>762</v>
      </c>
      <c r="AB27" s="389" t="s">
        <v>227</v>
      </c>
      <c r="AJ27" s="389" t="s">
        <v>763</v>
      </c>
      <c r="AK27" s="389" t="s">
        <v>764</v>
      </c>
      <c r="AR27" s="389" t="s">
        <v>443</v>
      </c>
      <c r="AS27" s="389" t="s">
        <v>444</v>
      </c>
      <c r="BF27" s="389" t="s">
        <v>765</v>
      </c>
      <c r="BG27" s="389" t="s">
        <v>766</v>
      </c>
      <c r="BZ27" s="389" t="s">
        <v>767</v>
      </c>
      <c r="CA27" s="389" t="s">
        <v>768</v>
      </c>
    </row>
    <row r="28" spans="1:82">
      <c r="A28" s="389">
        <v>27</v>
      </c>
      <c r="K28" s="389" t="s">
        <v>769</v>
      </c>
      <c r="L28" s="389" t="s">
        <v>1164</v>
      </c>
      <c r="O28" s="389" t="s">
        <v>770</v>
      </c>
      <c r="Z28" s="389" t="s">
        <v>771</v>
      </c>
      <c r="AA28" s="389" t="s">
        <v>772</v>
      </c>
      <c r="AB28" s="389" t="s">
        <v>773</v>
      </c>
      <c r="AC28" s="389" t="s">
        <v>774</v>
      </c>
      <c r="AD28" s="389" t="s">
        <v>775</v>
      </c>
      <c r="AJ28" s="389" t="s">
        <v>314</v>
      </c>
      <c r="AK28" s="389" t="s">
        <v>315</v>
      </c>
      <c r="AR28" s="389" t="s">
        <v>475</v>
      </c>
      <c r="AS28" s="389" t="s">
        <v>476</v>
      </c>
      <c r="BF28" s="389" t="s">
        <v>298</v>
      </c>
      <c r="BG28" s="389" t="s">
        <v>299</v>
      </c>
      <c r="BV28" s="389" t="s">
        <v>38</v>
      </c>
      <c r="BW28" s="389" t="s">
        <v>38</v>
      </c>
      <c r="BZ28" s="389" t="s">
        <v>496</v>
      </c>
      <c r="CA28" s="389" t="s">
        <v>497</v>
      </c>
    </row>
    <row r="29" spans="1:82">
      <c r="A29" s="389">
        <v>28</v>
      </c>
      <c r="K29" s="389" t="s">
        <v>776</v>
      </c>
      <c r="L29" s="389" t="s">
        <v>777</v>
      </c>
      <c r="M29" s="389" t="s">
        <v>778</v>
      </c>
      <c r="N29" s="389" t="s">
        <v>779</v>
      </c>
      <c r="O29" s="389" t="s">
        <v>780</v>
      </c>
      <c r="Z29" s="389" t="s">
        <v>781</v>
      </c>
      <c r="AA29" s="389" t="s">
        <v>782</v>
      </c>
      <c r="AB29" s="389" t="s">
        <v>689</v>
      </c>
      <c r="AC29" s="389" t="s">
        <v>752</v>
      </c>
      <c r="AD29" s="389" t="s">
        <v>783</v>
      </c>
      <c r="AJ29" s="389" t="s">
        <v>784</v>
      </c>
      <c r="AK29" s="389" t="s">
        <v>785</v>
      </c>
      <c r="AR29" s="389" t="s">
        <v>550</v>
      </c>
      <c r="AS29" s="389" t="s">
        <v>499</v>
      </c>
      <c r="BF29" s="389" t="s">
        <v>382</v>
      </c>
      <c r="BG29" s="389" t="s">
        <v>383</v>
      </c>
      <c r="BV29" s="389" t="s">
        <v>606</v>
      </c>
      <c r="BW29" s="389" t="s">
        <v>567</v>
      </c>
      <c r="CB29" s="389" t="s">
        <v>786</v>
      </c>
      <c r="CC29" s="389" t="s">
        <v>787</v>
      </c>
    </row>
    <row r="30" spans="1:82">
      <c r="A30" s="389">
        <v>29</v>
      </c>
      <c r="I30" s="599" t="s">
        <v>696</v>
      </c>
      <c r="J30" s="599" t="s">
        <v>697</v>
      </c>
      <c r="K30" s="389" t="s">
        <v>557</v>
      </c>
      <c r="L30" s="389" t="s">
        <v>558</v>
      </c>
      <c r="M30" s="389" t="s">
        <v>788</v>
      </c>
      <c r="N30" s="389" t="s">
        <v>789</v>
      </c>
      <c r="O30" s="389" t="s">
        <v>790</v>
      </c>
      <c r="Z30" s="389" t="s">
        <v>791</v>
      </c>
      <c r="AA30" s="389" t="s">
        <v>792</v>
      </c>
      <c r="AB30" s="389" t="s">
        <v>279</v>
      </c>
      <c r="AC30" s="389" t="s">
        <v>793</v>
      </c>
      <c r="AD30" s="389" t="s">
        <v>794</v>
      </c>
      <c r="AR30" s="389" t="s">
        <v>634</v>
      </c>
      <c r="AS30" s="389" t="s">
        <v>795</v>
      </c>
      <c r="BF30" s="389" t="s">
        <v>287</v>
      </c>
      <c r="BG30" s="389" t="s">
        <v>288</v>
      </c>
      <c r="BV30" s="389" t="s">
        <v>702</v>
      </c>
      <c r="BW30" s="389" t="s">
        <v>796</v>
      </c>
      <c r="BZ30" s="389" t="s">
        <v>185</v>
      </c>
      <c r="CA30" s="389" t="s">
        <v>186</v>
      </c>
      <c r="CB30" s="389" t="s">
        <v>797</v>
      </c>
      <c r="CC30" s="389" t="s">
        <v>798</v>
      </c>
    </row>
    <row r="31" spans="1:82">
      <c r="A31" s="389">
        <v>30</v>
      </c>
      <c r="I31" s="389" t="s">
        <v>70</v>
      </c>
      <c r="J31" s="389" t="s">
        <v>71</v>
      </c>
      <c r="K31" s="389" t="s">
        <v>799</v>
      </c>
      <c r="L31" s="389" t="s">
        <v>800</v>
      </c>
      <c r="M31" s="389" t="s">
        <v>801</v>
      </c>
      <c r="N31" s="389" t="s">
        <v>802</v>
      </c>
      <c r="O31" s="389" t="s">
        <v>74</v>
      </c>
      <c r="Z31" s="389" t="s">
        <v>75</v>
      </c>
      <c r="AA31" s="389" t="s">
        <v>106</v>
      </c>
      <c r="AB31" s="389" t="s">
        <v>107</v>
      </c>
      <c r="AC31" s="389" t="s">
        <v>235</v>
      </c>
      <c r="AD31" s="389" t="s">
        <v>235</v>
      </c>
      <c r="AJ31" s="389" t="s">
        <v>803</v>
      </c>
      <c r="AK31" s="389" t="s">
        <v>804</v>
      </c>
      <c r="BF31" s="389" t="s">
        <v>357</v>
      </c>
      <c r="BG31" s="389" t="s">
        <v>358</v>
      </c>
      <c r="BV31" s="389" t="s">
        <v>805</v>
      </c>
      <c r="BW31" s="389" t="s">
        <v>806</v>
      </c>
      <c r="BZ31" s="389" t="s">
        <v>737</v>
      </c>
      <c r="CA31" s="389" t="s">
        <v>738</v>
      </c>
    </row>
    <row r="32" spans="1:82">
      <c r="A32" s="389">
        <v>31</v>
      </c>
      <c r="I32" s="389" t="s">
        <v>108</v>
      </c>
      <c r="J32" s="389" t="s">
        <v>109</v>
      </c>
      <c r="K32" s="389" t="s">
        <v>807</v>
      </c>
      <c r="L32" s="389" t="s">
        <v>808</v>
      </c>
      <c r="O32" s="389" t="s">
        <v>74</v>
      </c>
      <c r="Z32" s="389" t="s">
        <v>75</v>
      </c>
      <c r="AC32" s="389" t="s">
        <v>287</v>
      </c>
      <c r="AD32" s="389" t="s">
        <v>288</v>
      </c>
      <c r="AJ32" s="389" t="s">
        <v>809</v>
      </c>
      <c r="AK32" s="389" t="s">
        <v>810</v>
      </c>
      <c r="AR32" s="389" t="s">
        <v>1184</v>
      </c>
      <c r="AS32" s="389" t="s">
        <v>1184</v>
      </c>
      <c r="BF32" s="389" t="s">
        <v>330</v>
      </c>
      <c r="BG32" s="389" t="s">
        <v>331</v>
      </c>
    </row>
    <row r="33" spans="1:79">
      <c r="A33" s="389">
        <v>32</v>
      </c>
      <c r="I33" s="389" t="s">
        <v>215</v>
      </c>
      <c r="J33" s="389" t="s">
        <v>215</v>
      </c>
      <c r="K33" s="389" t="s">
        <v>1146</v>
      </c>
      <c r="L33" s="389" t="s">
        <v>811</v>
      </c>
      <c r="O33" s="389" t="s">
        <v>812</v>
      </c>
      <c r="Z33" s="389" t="s">
        <v>121</v>
      </c>
      <c r="AA33" s="389" t="s">
        <v>813</v>
      </c>
      <c r="AB33" s="389" t="s">
        <v>814</v>
      </c>
      <c r="AC33" s="389" t="s">
        <v>330</v>
      </c>
      <c r="AD33" s="389" t="s">
        <v>331</v>
      </c>
      <c r="AJ33" s="389" t="s">
        <v>815</v>
      </c>
      <c r="AK33" s="389" t="s">
        <v>816</v>
      </c>
      <c r="BF33" s="389" t="s">
        <v>431</v>
      </c>
      <c r="BG33" s="389" t="s">
        <v>432</v>
      </c>
      <c r="BV33" s="389" t="s">
        <v>817</v>
      </c>
      <c r="BW33" s="389" t="s">
        <v>818</v>
      </c>
      <c r="BZ33" s="389" t="s">
        <v>819</v>
      </c>
      <c r="CA33" s="389" t="s">
        <v>820</v>
      </c>
    </row>
    <row r="34" spans="1:79">
      <c r="A34" s="389">
        <v>33</v>
      </c>
      <c r="I34" s="389" t="s">
        <v>821</v>
      </c>
      <c r="J34" s="389" t="s">
        <v>822</v>
      </c>
      <c r="K34" s="389" t="s">
        <v>823</v>
      </c>
      <c r="L34" s="389" t="s">
        <v>824</v>
      </c>
      <c r="O34" s="389" t="s">
        <v>731</v>
      </c>
      <c r="Z34" s="389" t="s">
        <v>173</v>
      </c>
      <c r="AA34" s="389" t="s">
        <v>825</v>
      </c>
      <c r="AB34" s="389" t="s">
        <v>826</v>
      </c>
      <c r="AC34" s="389" t="s">
        <v>752</v>
      </c>
      <c r="AD34" s="389" t="s">
        <v>783</v>
      </c>
      <c r="AJ34" s="389" t="s">
        <v>185</v>
      </c>
      <c r="AK34" s="389" t="s">
        <v>186</v>
      </c>
      <c r="BF34" s="389" t="s">
        <v>528</v>
      </c>
      <c r="BG34" s="389" t="s">
        <v>529</v>
      </c>
      <c r="BV34" s="389" t="s">
        <v>827</v>
      </c>
      <c r="BW34" s="389" t="s">
        <v>827</v>
      </c>
      <c r="BZ34" s="389" t="s">
        <v>528</v>
      </c>
      <c r="CA34" s="389" t="s">
        <v>589</v>
      </c>
    </row>
    <row r="35" spans="1:79">
      <c r="A35" s="389">
        <v>34</v>
      </c>
      <c r="I35" s="389" t="s">
        <v>828</v>
      </c>
      <c r="J35" s="389" t="s">
        <v>829</v>
      </c>
      <c r="K35" s="389" t="s">
        <v>830</v>
      </c>
      <c r="L35" s="389" t="s">
        <v>831</v>
      </c>
      <c r="O35" s="389" t="s">
        <v>218</v>
      </c>
      <c r="Z35" s="389" t="s">
        <v>225</v>
      </c>
      <c r="AA35" s="389" t="s">
        <v>832</v>
      </c>
      <c r="AC35" s="389" t="s">
        <v>576</v>
      </c>
      <c r="AD35" s="389" t="s">
        <v>833</v>
      </c>
      <c r="AJ35" s="389" t="s">
        <v>834</v>
      </c>
      <c r="AK35" s="389" t="s">
        <v>835</v>
      </c>
      <c r="BF35" s="389" t="s">
        <v>836</v>
      </c>
      <c r="BG35" s="389" t="s">
        <v>837</v>
      </c>
      <c r="BV35" s="389" t="s">
        <v>838</v>
      </c>
      <c r="BW35" s="389" t="s">
        <v>839</v>
      </c>
      <c r="BZ35" s="389" t="s">
        <v>840</v>
      </c>
      <c r="CA35" s="389" t="s">
        <v>841</v>
      </c>
    </row>
    <row r="36" spans="1:79">
      <c r="A36" s="389">
        <v>35</v>
      </c>
      <c r="I36" s="389" t="s">
        <v>268</v>
      </c>
      <c r="J36" s="389" t="s">
        <v>1051</v>
      </c>
      <c r="K36" s="389" t="s">
        <v>351</v>
      </c>
      <c r="L36" s="389" t="s">
        <v>352</v>
      </c>
      <c r="O36" s="389" t="s">
        <v>272</v>
      </c>
      <c r="Z36" s="389" t="s">
        <v>277</v>
      </c>
      <c r="AA36" s="389" t="s">
        <v>842</v>
      </c>
      <c r="AJ36" s="389" t="s">
        <v>843</v>
      </c>
      <c r="AK36" s="389" t="s">
        <v>844</v>
      </c>
      <c r="BV36" s="389" t="s">
        <v>845</v>
      </c>
      <c r="BW36" s="389" t="s">
        <v>846</v>
      </c>
      <c r="BZ36" s="389" t="s">
        <v>667</v>
      </c>
      <c r="CA36" s="389" t="s">
        <v>718</v>
      </c>
    </row>
    <row r="37" spans="1:79">
      <c r="A37" s="389">
        <v>36</v>
      </c>
      <c r="I37" s="389" t="s">
        <v>847</v>
      </c>
      <c r="J37" s="389" t="s">
        <v>848</v>
      </c>
      <c r="K37" s="389" t="s">
        <v>849</v>
      </c>
      <c r="L37" s="389" t="s">
        <v>850</v>
      </c>
      <c r="O37" s="389" t="s">
        <v>708</v>
      </c>
      <c r="Z37" s="389" t="s">
        <v>321</v>
      </c>
      <c r="AA37" s="389" t="s">
        <v>851</v>
      </c>
      <c r="AJ37" s="389" t="s">
        <v>852</v>
      </c>
      <c r="AK37" s="389" t="s">
        <v>853</v>
      </c>
      <c r="BF37" s="389" t="s">
        <v>854</v>
      </c>
      <c r="BG37" s="389" t="s">
        <v>855</v>
      </c>
      <c r="BV37" s="389" t="s">
        <v>856</v>
      </c>
      <c r="BW37" s="389" t="s">
        <v>857</v>
      </c>
    </row>
    <row r="38" spans="1:79">
      <c r="A38" s="389">
        <v>37</v>
      </c>
      <c r="I38" s="389" t="s">
        <v>313</v>
      </c>
      <c r="J38" s="389" t="s">
        <v>31</v>
      </c>
      <c r="K38" s="389" t="s">
        <v>1147</v>
      </c>
      <c r="L38" s="389" t="s">
        <v>858</v>
      </c>
      <c r="O38" s="389" t="s">
        <v>359</v>
      </c>
      <c r="Z38" s="389" t="s">
        <v>362</v>
      </c>
      <c r="AC38" s="389" t="s">
        <v>1180</v>
      </c>
      <c r="AD38" s="389" t="s">
        <v>1181</v>
      </c>
      <c r="BV38" s="389" t="s">
        <v>859</v>
      </c>
      <c r="BW38" s="389" t="s">
        <v>859</v>
      </c>
      <c r="BZ38" s="389" t="s">
        <v>711</v>
      </c>
      <c r="CA38" s="389" t="s">
        <v>714</v>
      </c>
    </row>
    <row r="39" spans="1:79">
      <c r="A39" s="389">
        <v>38</v>
      </c>
      <c r="I39" s="389" t="s">
        <v>38</v>
      </c>
      <c r="J39" s="389" t="s">
        <v>38</v>
      </c>
      <c r="O39" s="389" t="s">
        <v>162</v>
      </c>
      <c r="Z39" s="389" t="s">
        <v>163</v>
      </c>
      <c r="AC39" s="389" t="s">
        <v>860</v>
      </c>
      <c r="AD39" s="389" t="s">
        <v>861</v>
      </c>
      <c r="BV39" s="389" t="s">
        <v>862</v>
      </c>
      <c r="BW39" s="389" t="s">
        <v>863</v>
      </c>
      <c r="BZ39" s="392" t="s">
        <v>717</v>
      </c>
      <c r="CA39" s="389" t="s">
        <v>864</v>
      </c>
    </row>
    <row r="40" spans="1:79">
      <c r="A40" s="389">
        <v>39</v>
      </c>
      <c r="I40" s="389" t="s">
        <v>865</v>
      </c>
      <c r="J40" s="389" t="s">
        <v>866</v>
      </c>
      <c r="O40" s="389" t="s">
        <v>867</v>
      </c>
      <c r="Z40" s="389" t="s">
        <v>868</v>
      </c>
      <c r="AC40" s="389" t="s">
        <v>869</v>
      </c>
      <c r="AD40" s="389" t="s">
        <v>870</v>
      </c>
      <c r="AJ40" s="389" t="s">
        <v>871</v>
      </c>
      <c r="AK40" s="389" t="s">
        <v>872</v>
      </c>
      <c r="BF40" s="389" t="s">
        <v>873</v>
      </c>
      <c r="BG40" s="389" t="s">
        <v>874</v>
      </c>
      <c r="BV40" s="389" t="s">
        <v>875</v>
      </c>
      <c r="BW40" s="389" t="s">
        <v>876</v>
      </c>
    </row>
    <row r="41" spans="1:79">
      <c r="A41" s="389">
        <v>40</v>
      </c>
      <c r="I41" s="389" t="s">
        <v>877</v>
      </c>
      <c r="J41" s="389" t="s">
        <v>877</v>
      </c>
      <c r="O41" s="389" t="s">
        <v>878</v>
      </c>
      <c r="Z41" s="389" t="s">
        <v>107</v>
      </c>
      <c r="AJ41" s="389" t="s">
        <v>879</v>
      </c>
      <c r="AK41" s="389" t="s">
        <v>880</v>
      </c>
      <c r="BF41" s="389" t="s">
        <v>881</v>
      </c>
      <c r="BG41" s="389" t="s">
        <v>882</v>
      </c>
      <c r="BV41" s="389" t="s">
        <v>156</v>
      </c>
      <c r="BW41" s="389" t="s">
        <v>157</v>
      </c>
      <c r="BZ41" s="389" t="s">
        <v>883</v>
      </c>
      <c r="CA41" s="389" t="s">
        <v>884</v>
      </c>
    </row>
    <row r="42" spans="1:79">
      <c r="A42" s="389">
        <v>41</v>
      </c>
      <c r="I42" s="389" t="s">
        <v>282</v>
      </c>
      <c r="J42" s="389" t="s">
        <v>428</v>
      </c>
      <c r="O42" s="389" t="s">
        <v>111</v>
      </c>
      <c r="Z42" s="389" t="s">
        <v>112</v>
      </c>
      <c r="AC42" s="389" t="s">
        <v>885</v>
      </c>
      <c r="AD42" s="389" t="s">
        <v>886</v>
      </c>
      <c r="AJ42" s="389" t="s">
        <v>887</v>
      </c>
      <c r="AK42" s="389" t="s">
        <v>888</v>
      </c>
      <c r="BF42" s="389" t="s">
        <v>889</v>
      </c>
      <c r="BG42" s="389" t="s">
        <v>890</v>
      </c>
      <c r="BV42" s="389" t="s">
        <v>859</v>
      </c>
      <c r="BW42" s="389" t="s">
        <v>859</v>
      </c>
      <c r="BZ42" s="389" t="s">
        <v>72</v>
      </c>
      <c r="CA42" s="389" t="s">
        <v>73</v>
      </c>
    </row>
    <row r="43" spans="1:79">
      <c r="I43" s="389" t="s">
        <v>456</v>
      </c>
      <c r="J43" s="389" t="s">
        <v>457</v>
      </c>
      <c r="K43" s="389" t="s">
        <v>891</v>
      </c>
      <c r="L43" s="389" t="s">
        <v>1052</v>
      </c>
      <c r="O43" s="389" t="s">
        <v>164</v>
      </c>
      <c r="Z43" s="389" t="s">
        <v>165</v>
      </c>
      <c r="AJ43" s="389" t="s">
        <v>892</v>
      </c>
      <c r="AK43" s="389" t="s">
        <v>893</v>
      </c>
      <c r="BF43" s="389" t="s">
        <v>894</v>
      </c>
      <c r="BG43" s="389" t="s">
        <v>895</v>
      </c>
      <c r="BZ43" s="389" t="s">
        <v>896</v>
      </c>
      <c r="CA43" s="389" t="s">
        <v>897</v>
      </c>
    </row>
    <row r="44" spans="1:79">
      <c r="I44" s="389" t="s">
        <v>485</v>
      </c>
      <c r="J44" s="389" t="s">
        <v>485</v>
      </c>
      <c r="K44" s="389" t="s">
        <v>1138</v>
      </c>
      <c r="L44" s="389" t="s">
        <v>1137</v>
      </c>
      <c r="M44" s="735" t="s">
        <v>1154</v>
      </c>
      <c r="N44" s="735" t="s">
        <v>1155</v>
      </c>
      <c r="O44" s="389" t="s">
        <v>216</v>
      </c>
      <c r="Z44" s="389" t="s">
        <v>217</v>
      </c>
      <c r="AJ44" s="389" t="s">
        <v>898</v>
      </c>
      <c r="AK44" s="389" t="s">
        <v>899</v>
      </c>
      <c r="BF44" s="389" t="s">
        <v>900</v>
      </c>
      <c r="BG44" s="389" t="s">
        <v>901</v>
      </c>
      <c r="BZ44" s="389" t="s">
        <v>539</v>
      </c>
      <c r="CA44" s="389" t="s">
        <v>540</v>
      </c>
    </row>
    <row r="45" spans="1:79">
      <c r="I45" s="389" t="s">
        <v>902</v>
      </c>
      <c r="J45" s="389" t="s">
        <v>903</v>
      </c>
      <c r="M45" s="389" t="s">
        <v>830</v>
      </c>
      <c r="N45" s="389" t="s">
        <v>1130</v>
      </c>
      <c r="O45" s="389" t="s">
        <v>396</v>
      </c>
      <c r="Z45" s="389" t="s">
        <v>904</v>
      </c>
      <c r="AJ45" s="389" t="s">
        <v>879</v>
      </c>
      <c r="AK45" s="389" t="s">
        <v>880</v>
      </c>
      <c r="BF45" s="389" t="s">
        <v>905</v>
      </c>
      <c r="BG45" s="389" t="s">
        <v>906</v>
      </c>
      <c r="BZ45" s="389" t="s">
        <v>562</v>
      </c>
      <c r="CA45" s="389" t="s">
        <v>563</v>
      </c>
    </row>
    <row r="46" spans="1:79">
      <c r="I46" s="389" t="s">
        <v>907</v>
      </c>
      <c r="J46" s="389" t="s">
        <v>907</v>
      </c>
      <c r="M46" s="389" t="s">
        <v>1134</v>
      </c>
      <c r="N46" s="389" t="s">
        <v>1133</v>
      </c>
      <c r="AJ46" s="389" t="s">
        <v>887</v>
      </c>
      <c r="AK46" s="389" t="s">
        <v>888</v>
      </c>
      <c r="BF46" s="389" t="s">
        <v>908</v>
      </c>
      <c r="BG46" s="389" t="s">
        <v>909</v>
      </c>
    </row>
    <row r="47" spans="1:79">
      <c r="O47" s="389" t="s">
        <v>910</v>
      </c>
      <c r="Z47" s="389" t="s">
        <v>911</v>
      </c>
      <c r="AJ47" s="389" t="s">
        <v>912</v>
      </c>
      <c r="AK47" s="389" t="s">
        <v>913</v>
      </c>
      <c r="BZ47" s="389" t="s">
        <v>849</v>
      </c>
      <c r="CA47" s="389" t="s">
        <v>850</v>
      </c>
    </row>
    <row r="48" spans="1:79">
      <c r="I48" s="389" t="s">
        <v>914</v>
      </c>
      <c r="J48" s="389" t="s">
        <v>915</v>
      </c>
      <c r="O48" s="389" t="s">
        <v>780</v>
      </c>
      <c r="Z48" s="389" t="s">
        <v>781</v>
      </c>
      <c r="AJ48" s="389" t="s">
        <v>916</v>
      </c>
      <c r="AK48" s="389" t="s">
        <v>917</v>
      </c>
      <c r="BF48" s="389" t="s">
        <v>918</v>
      </c>
      <c r="BG48" s="389" t="s">
        <v>919</v>
      </c>
      <c r="BZ48" s="389" t="s">
        <v>400</v>
      </c>
      <c r="CA48" s="389" t="s">
        <v>401</v>
      </c>
    </row>
    <row r="49" spans="9:79">
      <c r="I49" s="389" t="s">
        <v>68</v>
      </c>
      <c r="J49" s="389" t="s">
        <v>69</v>
      </c>
      <c r="AJ49" s="389" t="s">
        <v>920</v>
      </c>
      <c r="AK49" s="389" t="s">
        <v>810</v>
      </c>
      <c r="BZ49" s="389" t="s">
        <v>758</v>
      </c>
      <c r="CA49" s="389" t="s">
        <v>759</v>
      </c>
    </row>
    <row r="50" spans="9:79">
      <c r="I50" s="389" t="s">
        <v>106</v>
      </c>
      <c r="J50" s="389" t="s">
        <v>107</v>
      </c>
      <c r="O50" s="389" t="s">
        <v>111</v>
      </c>
      <c r="Z50" s="389" t="s">
        <v>112</v>
      </c>
      <c r="AJ50" s="389" t="s">
        <v>921</v>
      </c>
      <c r="AK50" s="389" t="s">
        <v>922</v>
      </c>
      <c r="BF50" s="389" t="s">
        <v>1174</v>
      </c>
      <c r="BG50" s="389" t="s">
        <v>1173</v>
      </c>
      <c r="BZ50" s="389" t="s">
        <v>776</v>
      </c>
      <c r="CA50" s="389" t="s">
        <v>777</v>
      </c>
    </row>
    <row r="51" spans="9:79">
      <c r="I51" s="389" t="str">
        <f>IF('Summary | Sumário'!D6=Names!B3,Names!I48,Names!J48)</f>
        <v>Discontinued Data</v>
      </c>
      <c r="O51" s="389" t="s">
        <v>762</v>
      </c>
      <c r="Z51" s="389" t="s">
        <v>227</v>
      </c>
      <c r="AJ51" s="389" t="s">
        <v>923</v>
      </c>
      <c r="AK51" s="389" t="s">
        <v>924</v>
      </c>
      <c r="BF51" s="389" t="s">
        <v>1084</v>
      </c>
      <c r="BG51" s="389" t="s">
        <v>1085</v>
      </c>
      <c r="BZ51" s="389" t="s">
        <v>769</v>
      </c>
      <c r="CA51" s="389" t="s">
        <v>925</v>
      </c>
    </row>
    <row r="52" spans="9:79">
      <c r="I52" s="389" t="str">
        <f>IF('Summary | Sumário'!D7=Names!B4,Names!I49,Names!J49)</f>
        <v>Operational Data</v>
      </c>
      <c r="O52" s="389" t="s">
        <v>1179</v>
      </c>
      <c r="Z52" s="389" t="s">
        <v>773</v>
      </c>
      <c r="AJ52" s="389" t="s">
        <v>926</v>
      </c>
      <c r="AK52" s="389" t="s">
        <v>927</v>
      </c>
      <c r="BF52" s="389" t="s">
        <v>1086</v>
      </c>
      <c r="BG52" s="389" t="s">
        <v>1087</v>
      </c>
    </row>
    <row r="53" spans="9:79">
      <c r="I53" s="389" t="str">
        <f>IF('Summary | Sumário'!D8=Names!B5,Names!I50,Names!J50)</f>
        <v>Others</v>
      </c>
      <c r="O53" s="389" t="s">
        <v>928</v>
      </c>
      <c r="Z53" s="389" t="s">
        <v>689</v>
      </c>
      <c r="BF53" s="389" t="s">
        <v>1171</v>
      </c>
      <c r="BG53" s="389" t="s">
        <v>1172</v>
      </c>
      <c r="BZ53" s="389" t="s">
        <v>99</v>
      </c>
      <c r="CA53" s="389" t="s">
        <v>929</v>
      </c>
    </row>
    <row r="54" spans="9:79">
      <c r="O54" s="389" t="s">
        <v>930</v>
      </c>
      <c r="Z54" s="389" t="s">
        <v>279</v>
      </c>
    </row>
    <row r="55" spans="9:79">
      <c r="O55" s="389" t="s">
        <v>878</v>
      </c>
      <c r="Z55" s="389" t="s">
        <v>107</v>
      </c>
      <c r="AJ55" s="389" t="s">
        <v>918</v>
      </c>
      <c r="AK55" s="389" t="s">
        <v>931</v>
      </c>
      <c r="BF55" s="389" t="s">
        <v>1088</v>
      </c>
      <c r="BG55" s="389" t="s">
        <v>1089</v>
      </c>
      <c r="BZ55" s="389" t="s">
        <v>932</v>
      </c>
      <c r="CA55" s="389" t="s">
        <v>932</v>
      </c>
    </row>
    <row r="56" spans="9:79">
      <c r="O56" s="389" t="s">
        <v>1148</v>
      </c>
      <c r="Z56" s="389" t="s">
        <v>165</v>
      </c>
      <c r="BF56" s="389" t="s">
        <v>1095</v>
      </c>
      <c r="BG56" s="389" t="s">
        <v>1094</v>
      </c>
      <c r="BZ56" s="389" t="s">
        <v>933</v>
      </c>
      <c r="CA56" s="389" t="s">
        <v>934</v>
      </c>
    </row>
    <row r="57" spans="9:79">
      <c r="O57" s="389" t="s">
        <v>935</v>
      </c>
      <c r="Z57" s="389" t="s">
        <v>936</v>
      </c>
      <c r="AJ57" s="389" t="s">
        <v>937</v>
      </c>
      <c r="AK57" s="389" t="s">
        <v>938</v>
      </c>
      <c r="BZ57" s="389" t="s">
        <v>939</v>
      </c>
      <c r="CA57" s="389" t="s">
        <v>939</v>
      </c>
    </row>
    <row r="58" spans="9:79">
      <c r="O58" s="389" t="s">
        <v>940</v>
      </c>
      <c r="Z58" s="389" t="s">
        <v>941</v>
      </c>
      <c r="BF58" s="389" t="s">
        <v>1090</v>
      </c>
      <c r="BG58" s="389" t="s">
        <v>1091</v>
      </c>
      <c r="BZ58" s="389" t="s">
        <v>942</v>
      </c>
      <c r="CA58" s="389" t="s">
        <v>943</v>
      </c>
    </row>
    <row r="59" spans="9:79">
      <c r="O59" s="389" t="s">
        <v>944</v>
      </c>
      <c r="Z59" s="389" t="s">
        <v>945</v>
      </c>
      <c r="BF59" s="389" t="s">
        <v>1092</v>
      </c>
      <c r="BG59" s="389" t="s">
        <v>1093</v>
      </c>
    </row>
    <row r="60" spans="9:79">
      <c r="O60" s="389" t="s">
        <v>946</v>
      </c>
      <c r="Z60" s="389" t="s">
        <v>947</v>
      </c>
      <c r="BZ60" s="389" t="s">
        <v>948</v>
      </c>
      <c r="CA60" s="389" t="s">
        <v>949</v>
      </c>
    </row>
    <row r="61" spans="9:79">
      <c r="O61" s="389" t="s">
        <v>950</v>
      </c>
      <c r="Z61" s="389" t="s">
        <v>951</v>
      </c>
      <c r="BF61" s="389" t="s">
        <v>1102</v>
      </c>
      <c r="BG61" s="389" t="s">
        <v>1103</v>
      </c>
    </row>
    <row r="62" spans="9:79">
      <c r="O62" s="389" t="s">
        <v>952</v>
      </c>
      <c r="Z62" s="389" t="s">
        <v>953</v>
      </c>
    </row>
    <row r="63" spans="9:79">
      <c r="O63" s="389" t="s">
        <v>954</v>
      </c>
      <c r="Z63" s="389" t="s">
        <v>955</v>
      </c>
      <c r="BZ63" s="389" t="s">
        <v>113</v>
      </c>
      <c r="CA63" s="389" t="s">
        <v>121</v>
      </c>
    </row>
    <row r="64" spans="9:79">
      <c r="O64" s="389" t="s">
        <v>956</v>
      </c>
      <c r="Z64" s="389" t="s">
        <v>957</v>
      </c>
      <c r="BF64" s="389" t="s">
        <v>1100</v>
      </c>
      <c r="BG64" s="389" t="s">
        <v>1101</v>
      </c>
      <c r="BZ64" s="389" t="s">
        <v>958</v>
      </c>
      <c r="CA64" s="389" t="s">
        <v>959</v>
      </c>
    </row>
    <row r="65" spans="15:59">
      <c r="O65" s="389" t="s">
        <v>960</v>
      </c>
      <c r="Z65" s="389" t="s">
        <v>961</v>
      </c>
      <c r="BF65" s="389" t="s">
        <v>711</v>
      </c>
      <c r="BG65" s="389" t="s">
        <v>712</v>
      </c>
    </row>
    <row r="66" spans="15:59">
      <c r="O66" s="389" t="s">
        <v>962</v>
      </c>
      <c r="Z66" s="389" t="s">
        <v>963</v>
      </c>
      <c r="BF66" s="389" t="s">
        <v>1104</v>
      </c>
      <c r="BG66" s="389" t="s">
        <v>1105</v>
      </c>
    </row>
    <row r="67" spans="15:59">
      <c r="O67" s="389" t="s">
        <v>964</v>
      </c>
      <c r="Z67" s="389" t="s">
        <v>965</v>
      </c>
    </row>
    <row r="68" spans="15:59">
      <c r="O68" s="389" t="s">
        <v>966</v>
      </c>
      <c r="Z68" s="389" t="s">
        <v>967</v>
      </c>
      <c r="BF68" s="389" t="s">
        <v>667</v>
      </c>
      <c r="BG68" s="389" t="s">
        <v>668</v>
      </c>
    </row>
    <row r="69" spans="15:59">
      <c r="O69" s="389" t="s">
        <v>968</v>
      </c>
      <c r="Z69" s="389" t="s">
        <v>969</v>
      </c>
      <c r="BF69" s="389" t="s">
        <v>1110</v>
      </c>
      <c r="BG69" s="389" t="s">
        <v>1111</v>
      </c>
    </row>
    <row r="70" spans="15:59">
      <c r="O70" s="389" t="s">
        <v>968</v>
      </c>
      <c r="Z70" s="389" t="s">
        <v>969</v>
      </c>
    </row>
    <row r="71" spans="15:59">
      <c r="O71" s="389" t="s">
        <v>970</v>
      </c>
      <c r="Z71" s="389" t="s">
        <v>971</v>
      </c>
      <c r="BF71" s="389" t="s">
        <v>1116</v>
      </c>
      <c r="BG71" s="389" t="s">
        <v>1115</v>
      </c>
    </row>
    <row r="72" spans="15:59">
      <c r="O72" s="389" t="s">
        <v>166</v>
      </c>
      <c r="Z72" s="389" t="s">
        <v>173</v>
      </c>
      <c r="BF72" s="389" t="s">
        <v>1108</v>
      </c>
      <c r="BG72" s="389" t="s">
        <v>1109</v>
      </c>
    </row>
    <row r="73" spans="15:59">
      <c r="O73" s="389" t="s">
        <v>972</v>
      </c>
      <c r="Z73" s="389" t="s">
        <v>973</v>
      </c>
    </row>
    <row r="74" spans="15:59">
      <c r="O74" s="389" t="s">
        <v>974</v>
      </c>
      <c r="Z74" s="389" t="s">
        <v>975</v>
      </c>
      <c r="BF74" s="389" t="s">
        <v>1106</v>
      </c>
      <c r="BG74" s="389" t="s">
        <v>1107</v>
      </c>
    </row>
    <row r="75" spans="15:59">
      <c r="O75" s="389" t="s">
        <v>218</v>
      </c>
      <c r="Z75" s="389" t="s">
        <v>225</v>
      </c>
    </row>
    <row r="76" spans="15:59">
      <c r="O76" s="389" t="s">
        <v>976</v>
      </c>
      <c r="Z76" s="389" t="s">
        <v>977</v>
      </c>
      <c r="BF76" s="389" t="s">
        <v>711</v>
      </c>
      <c r="BG76" s="389" t="s">
        <v>1112</v>
      </c>
    </row>
    <row r="77" spans="15:59">
      <c r="O77" s="389" t="s">
        <v>272</v>
      </c>
      <c r="Z77" s="389" t="s">
        <v>277</v>
      </c>
    </row>
    <row r="78" spans="15:59">
      <c r="O78" s="389" t="s">
        <v>708</v>
      </c>
      <c r="Z78" s="389" t="s">
        <v>321</v>
      </c>
      <c r="BF78" s="389" t="s">
        <v>1113</v>
      </c>
      <c r="BG78" s="389" t="s">
        <v>1114</v>
      </c>
    </row>
    <row r="79" spans="15:59">
      <c r="O79" s="389" t="s">
        <v>359</v>
      </c>
      <c r="Z79" s="389" t="s">
        <v>362</v>
      </c>
    </row>
    <row r="80" spans="15:59">
      <c r="O80" s="389" t="s">
        <v>396</v>
      </c>
      <c r="Z80" s="389" t="s">
        <v>399</v>
      </c>
    </row>
    <row r="81" spans="15:59">
      <c r="O81" s="389" t="s">
        <v>162</v>
      </c>
      <c r="Z81" s="389" t="s">
        <v>978</v>
      </c>
      <c r="BF81" s="389" t="s">
        <v>1117</v>
      </c>
      <c r="BG81" s="389" t="s">
        <v>1118</v>
      </c>
    </row>
    <row r="82" spans="15:59">
      <c r="O82" s="389" t="s">
        <v>979</v>
      </c>
      <c r="Z82" s="389" t="s">
        <v>980</v>
      </c>
      <c r="BF82" s="389" t="s">
        <v>1119</v>
      </c>
      <c r="BG82" s="389" t="s">
        <v>1115</v>
      </c>
    </row>
    <row r="83" spans="15:59">
      <c r="O83" s="389" t="s">
        <v>981</v>
      </c>
      <c r="Z83" s="389" t="s">
        <v>982</v>
      </c>
    </row>
    <row r="84" spans="15:59">
      <c r="O84" s="389" t="s">
        <v>983</v>
      </c>
      <c r="Z84" s="389" t="s">
        <v>984</v>
      </c>
      <c r="BF84" s="389" t="s">
        <v>1121</v>
      </c>
      <c r="BG84" s="389" t="s">
        <v>1122</v>
      </c>
    </row>
    <row r="85" spans="15:59">
      <c r="O85" s="389" t="s">
        <v>985</v>
      </c>
      <c r="Z85" s="389" t="s">
        <v>986</v>
      </c>
    </row>
    <row r="86" spans="15:59">
      <c r="O86" s="389" t="s">
        <v>987</v>
      </c>
      <c r="Z86" s="389" t="s">
        <v>988</v>
      </c>
    </row>
    <row r="87" spans="15:59">
      <c r="O87" s="389" t="s">
        <v>989</v>
      </c>
      <c r="Z87" s="389" t="s">
        <v>990</v>
      </c>
    </row>
    <row r="88" spans="15:59">
      <c r="O88" s="389" t="s">
        <v>991</v>
      </c>
      <c r="Z88" s="389" t="s">
        <v>992</v>
      </c>
    </row>
    <row r="89" spans="15:59">
      <c r="O89" s="389" t="s">
        <v>993</v>
      </c>
      <c r="Z89" s="389" t="s">
        <v>994</v>
      </c>
    </row>
    <row r="90" spans="15:59">
      <c r="O90" s="389" t="s">
        <v>995</v>
      </c>
      <c r="Z90" s="389" t="s">
        <v>996</v>
      </c>
    </row>
    <row r="91" spans="15:59">
      <c r="O91" s="389" t="s">
        <v>997</v>
      </c>
      <c r="Z91" s="389" t="s">
        <v>998</v>
      </c>
    </row>
    <row r="92" spans="15:59">
      <c r="O92" s="389" t="s">
        <v>999</v>
      </c>
      <c r="Z92" s="389" t="s">
        <v>1000</v>
      </c>
    </row>
    <row r="93" spans="15:59">
      <c r="O93" s="389" t="s">
        <v>166</v>
      </c>
      <c r="Z93" s="389" t="s">
        <v>173</v>
      </c>
    </row>
    <row r="94" spans="15:59">
      <c r="O94" s="389" t="s">
        <v>218</v>
      </c>
      <c r="Z94" s="389" t="s">
        <v>225</v>
      </c>
    </row>
    <row r="95" spans="15:59">
      <c r="O95" s="389" t="s">
        <v>272</v>
      </c>
      <c r="Z95" s="389" t="s">
        <v>277</v>
      </c>
    </row>
    <row r="96" spans="15:59">
      <c r="O96" s="389" t="s">
        <v>1001</v>
      </c>
      <c r="Z96" s="389" t="s">
        <v>1002</v>
      </c>
    </row>
    <row r="97" spans="15:26">
      <c r="O97" s="389" t="s">
        <v>318</v>
      </c>
      <c r="Z97" s="389" t="s">
        <v>321</v>
      </c>
    </row>
    <row r="98" spans="15:26">
      <c r="O98" s="389" t="s">
        <v>1003</v>
      </c>
      <c r="Z98" s="389" t="s">
        <v>1004</v>
      </c>
    </row>
    <row r="99" spans="15:26">
      <c r="O99" s="389" t="s">
        <v>359</v>
      </c>
      <c r="Z99" s="389" t="s">
        <v>362</v>
      </c>
    </row>
    <row r="100" spans="15:26">
      <c r="O100" s="389" t="s">
        <v>396</v>
      </c>
      <c r="Z100" s="389" t="s">
        <v>399</v>
      </c>
    </row>
    <row r="102" spans="15:26">
      <c r="O102" s="389" t="s">
        <v>1005</v>
      </c>
      <c r="Z102" s="389" t="s">
        <v>1006</v>
      </c>
    </row>
    <row r="103" spans="15:26">
      <c r="O103" s="389" t="s">
        <v>1007</v>
      </c>
      <c r="Z103" s="389" t="s">
        <v>1008</v>
      </c>
    </row>
    <row r="104" spans="15:26">
      <c r="O104" s="389" t="s">
        <v>1009</v>
      </c>
      <c r="Z104" s="389" t="s">
        <v>1010</v>
      </c>
    </row>
    <row r="106" spans="15:26">
      <c r="O106" s="389" t="s">
        <v>1011</v>
      </c>
      <c r="Z106" s="389" t="s">
        <v>806</v>
      </c>
    </row>
    <row r="107" spans="15:26">
      <c r="O107" s="389" t="s">
        <v>1012</v>
      </c>
      <c r="Z107" s="389" t="s">
        <v>1013</v>
      </c>
    </row>
    <row r="108" spans="15:26">
      <c r="O108" s="389" t="s">
        <v>1014</v>
      </c>
      <c r="Z108" s="389" t="s">
        <v>1015</v>
      </c>
    </row>
    <row r="109" spans="15:26">
      <c r="O109" s="389" t="s">
        <v>1016</v>
      </c>
      <c r="Z109" s="389" t="s">
        <v>1017</v>
      </c>
    </row>
    <row r="112" spans="15:26">
      <c r="O112" s="389" t="s">
        <v>1018</v>
      </c>
      <c r="Z112" s="389" t="s">
        <v>1019</v>
      </c>
    </row>
    <row r="113" spans="15:26">
      <c r="O113" s="389" t="s">
        <v>270</v>
      </c>
      <c r="Z113" s="389" t="s">
        <v>1019</v>
      </c>
    </row>
    <row r="116" spans="15:26">
      <c r="O116" s="389" t="s">
        <v>1020</v>
      </c>
      <c r="Z116" s="389" t="s">
        <v>1021</v>
      </c>
    </row>
    <row r="117" spans="15:26">
      <c r="O117" s="389" t="s">
        <v>918</v>
      </c>
      <c r="Z117" s="389" t="s">
        <v>931</v>
      </c>
    </row>
    <row r="118" spans="15:26">
      <c r="O118" s="389" t="s">
        <v>935</v>
      </c>
      <c r="Z118" s="389" t="s">
        <v>936</v>
      </c>
    </row>
    <row r="122" spans="15:26">
      <c r="O122" s="389" t="s">
        <v>1011</v>
      </c>
      <c r="Z122" s="389" t="s">
        <v>806</v>
      </c>
    </row>
    <row r="123" spans="15:26">
      <c r="O123" s="389" t="s">
        <v>1022</v>
      </c>
      <c r="Z123" s="389" t="s">
        <v>1023</v>
      </c>
    </row>
    <row r="124" spans="15:26">
      <c r="O124" s="389" t="s">
        <v>1014</v>
      </c>
      <c r="Z124" s="389" t="s">
        <v>1015</v>
      </c>
    </row>
    <row r="125" spans="15:26">
      <c r="O125" s="389" t="s">
        <v>1016</v>
      </c>
      <c r="Z125" s="389" t="s">
        <v>1017</v>
      </c>
    </row>
    <row r="126" spans="15:26">
      <c r="O126" s="389" t="s">
        <v>649</v>
      </c>
      <c r="Z126" s="389" t="s">
        <v>650</v>
      </c>
    </row>
    <row r="127" spans="15:26">
      <c r="O127" s="389" t="s">
        <v>1024</v>
      </c>
      <c r="Z127" s="389" t="s">
        <v>1025</v>
      </c>
    </row>
    <row r="129" spans="15:26">
      <c r="O129" s="676" t="s">
        <v>1083</v>
      </c>
      <c r="Z129" s="676" t="s">
        <v>1082</v>
      </c>
    </row>
    <row r="130" spans="15:26">
      <c r="O130" s="676" t="s">
        <v>1080</v>
      </c>
      <c r="Z130" s="676" t="s">
        <v>1081</v>
      </c>
    </row>
  </sheetData>
  <sheetProtection algorithmName="SHA-512" hashValue="XrQBivAbR6ZwlN03IfKb4+iDIIDejYt1EPMUOIly4PD8dIdqswqUTieVwp34w8rgUb1/TeoeJpyQG1aKcpZjZg==" saltValue="XBDGxM3a28YfzOCe5XvFkA==" spinCount="100000" sheet="1" objects="1" scenarios="1" selectLockedCells="1" selectUnlockedCells="1"/>
  <phoneticPr fontId="6" type="noConversion"/>
  <hyperlinks>
    <hyperlink ref="BB1" location="Summary!A1" display="Back to summary" xr:uid="{01D50603-9891-594D-ACF6-3472A9D2145C}"/>
  </hyperlinks>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BD92-4370-5547-86EB-6AF7D5DB47F8}">
  <sheetPr codeName="Sheet11">
    <tabColor rgb="FFEC7100"/>
  </sheetPr>
  <dimension ref="B1:AK13"/>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2.83203125" style="117" customWidth="1"/>
    <col min="11" max="30" width="10.83203125" style="117" customWidth="1"/>
    <col min="31" max="31" width="5.83203125" style="117" customWidth="1"/>
    <col min="32" max="33" width="10.83203125" style="117" customWidth="1"/>
    <col min="34" max="16384" width="10.83203125" style="116"/>
  </cols>
  <sheetData>
    <row r="1" spans="2:37" ht="13" customHeight="1">
      <c r="AH1" s="117"/>
    </row>
    <row r="2" spans="2:37" s="10" customFormat="1" ht="13" customHeight="1">
      <c r="B2" s="267" t="str">
        <f>IF('Summary | Sumário'!D$6=Names!B$3,Names!X1,Names!Y1)</f>
        <v>Expenses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2:37" ht="13" customHeight="1">
      <c r="B4" s="3" t="str">
        <f>IF('Summary | Sumário'!D$6=Names!B$3,Names!X2,Names!Y2)</f>
        <v>Total Expenses</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row>
    <row r="5" spans="2:37" ht="13" customHeight="1">
      <c r="B5" s="288" t="str">
        <f>IF('Summary | Sumário'!D$6=Names!B$3,Names!M13,Names!N13)</f>
        <v>Impairment losses on financial assets</v>
      </c>
      <c r="C5" s="289">
        <f>'3. IS | DRE'!C14</f>
        <v>-138570</v>
      </c>
      <c r="D5" s="289">
        <f>'3. IS | DRE'!D14</f>
        <v>-213688</v>
      </c>
      <c r="E5" s="289">
        <f>'3. IS | DRE'!E14</f>
        <v>-595581</v>
      </c>
      <c r="F5" s="289">
        <f>'3. IS | DRE'!F14</f>
        <v>-1083237</v>
      </c>
      <c r="G5" s="289">
        <f>'3. IS | DRE'!G14</f>
        <v>-1541584</v>
      </c>
      <c r="H5" s="289">
        <f>'3. IS | DRE'!H14</f>
        <v>-1799452.3359999999</v>
      </c>
      <c r="I5" s="289">
        <f>'3. IS | DRE'!I14</f>
        <v>-2416353</v>
      </c>
      <c r="J5" s="179"/>
      <c r="K5" s="289">
        <f>'3. IS | DRE'!K14</f>
        <v>-106669</v>
      </c>
      <c r="L5" s="289">
        <f>'3. IS | DRE'!L14</f>
        <v>-167441</v>
      </c>
      <c r="M5" s="289">
        <f>'3. IS | DRE'!M14</f>
        <v>-138005</v>
      </c>
      <c r="N5" s="289">
        <f>'3. IS | DRE'!N14</f>
        <v>-183466</v>
      </c>
      <c r="O5" s="289">
        <f>'3. IS | DRE'!O14</f>
        <v>-312946</v>
      </c>
      <c r="P5" s="289">
        <f>'3. IS | DRE'!P14</f>
        <v>-242464</v>
      </c>
      <c r="Q5" s="289">
        <f>'3. IS | DRE'!Q14</f>
        <v>-263113</v>
      </c>
      <c r="R5" s="289">
        <f>'3. IS | DRE'!R14</f>
        <v>-264714</v>
      </c>
      <c r="S5" s="289">
        <f>'3. IS | DRE'!S14</f>
        <v>-350681</v>
      </c>
      <c r="T5" s="289">
        <f>'3. IS | DRE'!T14</f>
        <v>-398560</v>
      </c>
      <c r="U5" s="289">
        <f>'3. IS | DRE'!U14</f>
        <v>-407899</v>
      </c>
      <c r="V5" s="289">
        <f>'3. IS | DRE'!V14</f>
        <v>-384444</v>
      </c>
      <c r="W5" s="289">
        <f>'3. IS | DRE'!W14</f>
        <v>-411048</v>
      </c>
      <c r="X5" s="289">
        <f>'3. IS | DRE'!X14</f>
        <v>-421247.66100000002</v>
      </c>
      <c r="Y5" s="289">
        <f>'3. IS | DRE'!Y14</f>
        <v>-471426.65</v>
      </c>
      <c r="Z5" s="289">
        <f>'3. IS | DRE'!Z14</f>
        <v>-495730.02499999967</v>
      </c>
      <c r="AA5" s="289">
        <f>'3. IS | DRE'!AA14</f>
        <v>-513681.4</v>
      </c>
      <c r="AB5" s="289">
        <f>'3. IS | DRE'!AB14</f>
        <v>-569249</v>
      </c>
      <c r="AC5" s="289">
        <f>'3. IS | DRE'!AC14</f>
        <v>-640796</v>
      </c>
      <c r="AD5" s="289">
        <f>'3. IS | DRE'!AD14</f>
        <v>-692626.60000000009</v>
      </c>
      <c r="AE5" s="179"/>
      <c r="AF5" s="357">
        <f t="shared" ref="AF5:AF10" si="0">AD5/AC5-1</f>
        <v>8.0884712139276838E-2</v>
      </c>
      <c r="AG5" s="357">
        <f t="shared" ref="AG5:AG10" si="1">AD5/Z5-1</f>
        <v>0.39718509081631792</v>
      </c>
    </row>
    <row r="6" spans="2:37" ht="13" customHeight="1">
      <c r="B6" s="51" t="str">
        <f>IF('Summary | Sumário'!D$6=Names!B$3,Names!BF4,Names!BG4)</f>
        <v>Total operational expenses</v>
      </c>
      <c r="C6" s="179">
        <f>SUM(C7:C9)</f>
        <v>-572970</v>
      </c>
      <c r="D6" s="179">
        <f t="shared" ref="D6:AA6" si="2">SUM(D7:D9)</f>
        <v>-914082</v>
      </c>
      <c r="E6" s="179">
        <f t="shared" si="2"/>
        <v>-1701818.2949999999</v>
      </c>
      <c r="F6" s="179">
        <f t="shared" si="2"/>
        <v>-2392061</v>
      </c>
      <c r="G6" s="179">
        <f>SUM(G7:G9)</f>
        <v>-2412527</v>
      </c>
      <c r="H6" s="179">
        <f>SUM(H7:H9)</f>
        <v>-2915645.6869999999</v>
      </c>
      <c r="I6" s="179">
        <f>SUM(I7:I9)</f>
        <v>-3631664</v>
      </c>
      <c r="J6" s="179"/>
      <c r="K6" s="179">
        <f t="shared" si="2"/>
        <v>-320122.31299999997</v>
      </c>
      <c r="L6" s="179">
        <f t="shared" si="2"/>
        <v>-391145</v>
      </c>
      <c r="M6" s="179">
        <f t="shared" si="2"/>
        <v>-387488.18799999997</v>
      </c>
      <c r="N6" s="179">
        <f t="shared" si="2"/>
        <v>-603062.79399999999</v>
      </c>
      <c r="O6" s="179">
        <f t="shared" si="2"/>
        <v>-558404</v>
      </c>
      <c r="P6" s="179">
        <f t="shared" si="2"/>
        <v>-556595</v>
      </c>
      <c r="Q6" s="179">
        <f t="shared" si="2"/>
        <v>-591798</v>
      </c>
      <c r="R6" s="179">
        <f t="shared" si="2"/>
        <v>-685264</v>
      </c>
      <c r="S6" s="179">
        <f t="shared" si="2"/>
        <v>-595604</v>
      </c>
      <c r="T6" s="179">
        <f t="shared" si="2"/>
        <v>-575247</v>
      </c>
      <c r="U6" s="179">
        <f t="shared" si="2"/>
        <v>-614129</v>
      </c>
      <c r="V6" s="179">
        <f t="shared" si="2"/>
        <v>-627547</v>
      </c>
      <c r="W6" s="179">
        <f t="shared" si="2"/>
        <v>-627607</v>
      </c>
      <c r="X6" s="179">
        <f t="shared" si="2"/>
        <v>-660068.69851999998</v>
      </c>
      <c r="Y6" s="179">
        <f t="shared" si="2"/>
        <v>-787129.60447999998</v>
      </c>
      <c r="Z6" s="179">
        <f t="shared" si="2"/>
        <v>-840840.38400000008</v>
      </c>
      <c r="AA6" s="179">
        <f t="shared" si="2"/>
        <v>-830517.8</v>
      </c>
      <c r="AB6" s="179">
        <f t="shared" ref="AB6:AC6" si="3">SUM(AB7:AB9)</f>
        <v>-873425.6</v>
      </c>
      <c r="AC6" s="179">
        <f t="shared" si="3"/>
        <v>-913115</v>
      </c>
      <c r="AD6" s="179">
        <f t="shared" ref="AD6" si="4">SUM(AD7:AD9)</f>
        <v>-1014605.6000000001</v>
      </c>
      <c r="AE6" s="179"/>
      <c r="AF6" s="349">
        <f t="shared" si="0"/>
        <v>0.11114766486149064</v>
      </c>
      <c r="AG6" s="349">
        <f t="shared" si="1"/>
        <v>0.20665660130805508</v>
      </c>
    </row>
    <row r="7" spans="2:37" ht="13" customHeight="1">
      <c r="B7" s="606" t="str">
        <f>IF('Summary | Sumário'!D$6=Names!B$3,Names!BF5,Names!BG5)</f>
        <v>Personnel expenses</v>
      </c>
      <c r="C7" s="174">
        <v>-169198</v>
      </c>
      <c r="D7" s="174">
        <v>-229096</v>
      </c>
      <c r="E7" s="174">
        <v>-443328</v>
      </c>
      <c r="F7" s="174">
        <v>-733605</v>
      </c>
      <c r="G7" s="174">
        <v>-790739</v>
      </c>
      <c r="H7" s="174">
        <v>-937761.13</v>
      </c>
      <c r="I7" s="174">
        <v>-1090333</v>
      </c>
      <c r="J7" s="179"/>
      <c r="K7" s="174">
        <v>-81861</v>
      </c>
      <c r="L7" s="174">
        <v>-93046</v>
      </c>
      <c r="M7" s="174">
        <v>-121250</v>
      </c>
      <c r="N7" s="174">
        <v>-147171</v>
      </c>
      <c r="O7" s="174">
        <v>-145120</v>
      </c>
      <c r="P7" s="174">
        <v>-172466</v>
      </c>
      <c r="Q7" s="174">
        <v>-176232</v>
      </c>
      <c r="R7" s="174">
        <v>-239787</v>
      </c>
      <c r="S7" s="174">
        <v>-172412</v>
      </c>
      <c r="T7" s="174">
        <v>-186249</v>
      </c>
      <c r="U7" s="174">
        <v>-210661</v>
      </c>
      <c r="V7" s="174">
        <v>-221417</v>
      </c>
      <c r="W7" s="174">
        <v>-190463</v>
      </c>
      <c r="X7" s="174">
        <v>-204206.56551999997</v>
      </c>
      <c r="Y7" s="174">
        <v>-258954.60447999998</v>
      </c>
      <c r="Z7" s="174">
        <v>-284136.96000000008</v>
      </c>
      <c r="AA7" s="174">
        <v>-234873.2</v>
      </c>
      <c r="AB7" s="174">
        <v>-256765</v>
      </c>
      <c r="AC7" s="174">
        <v>-285248</v>
      </c>
      <c r="AD7" s="174">
        <v>-313446.80000000005</v>
      </c>
      <c r="AE7" s="179"/>
      <c r="AF7" s="350">
        <f t="shared" si="0"/>
        <v>9.8857134844065664E-2</v>
      </c>
      <c r="AG7" s="350">
        <f t="shared" si="1"/>
        <v>0.10315391563279896</v>
      </c>
    </row>
    <row r="8" spans="2:37" ht="13" customHeight="1">
      <c r="B8" s="550" t="str">
        <f>IF('Summary | Sumário'!D$6=Names!B$3,Names!BF6,Names!BG6)</f>
        <v>Administrative expenses</v>
      </c>
      <c r="C8" s="179">
        <v>-386309</v>
      </c>
      <c r="D8" s="179">
        <v>-641327</v>
      </c>
      <c r="E8" s="179">
        <v>-1164239.7749999999</v>
      </c>
      <c r="F8" s="179">
        <v>-1494484</v>
      </c>
      <c r="G8" s="179">
        <v>-1461348</v>
      </c>
      <c r="H8" s="179">
        <v>-1769055.128</v>
      </c>
      <c r="I8" s="179">
        <v>-2200604</v>
      </c>
      <c r="J8" s="179"/>
      <c r="K8" s="179">
        <v>-219095.31299999999</v>
      </c>
      <c r="L8" s="179">
        <v>-272761</v>
      </c>
      <c r="M8" s="179">
        <v>-235355.18799999999</v>
      </c>
      <c r="N8" s="179">
        <v>-437028.27399999998</v>
      </c>
      <c r="O8" s="179">
        <v>-376806</v>
      </c>
      <c r="P8" s="179">
        <v>-348618</v>
      </c>
      <c r="Q8" s="179">
        <v>-379946</v>
      </c>
      <c r="R8" s="179">
        <v>-389114</v>
      </c>
      <c r="S8" s="179">
        <v>-385615</v>
      </c>
      <c r="T8" s="179">
        <v>-347868</v>
      </c>
      <c r="U8" s="179">
        <v>-362877</v>
      </c>
      <c r="V8" s="179">
        <v>-364988</v>
      </c>
      <c r="W8" s="179">
        <v>-395244</v>
      </c>
      <c r="X8" s="179">
        <v>-402827.25400000002</v>
      </c>
      <c r="Y8" s="179">
        <v>-474826</v>
      </c>
      <c r="Z8" s="179">
        <v>-496157.87400000007</v>
      </c>
      <c r="AA8" s="179">
        <v>-528199.6</v>
      </c>
      <c r="AB8" s="179">
        <v>-540029.6</v>
      </c>
      <c r="AC8" s="179">
        <v>-543343</v>
      </c>
      <c r="AD8" s="179">
        <v>-589031.80000000005</v>
      </c>
      <c r="AE8" s="179"/>
      <c r="AF8" s="349">
        <f t="shared" si="0"/>
        <v>8.408831990105714E-2</v>
      </c>
      <c r="AG8" s="349">
        <f t="shared" si="1"/>
        <v>0.18718623822545633</v>
      </c>
    </row>
    <row r="9" spans="2:37" ht="13" customHeight="1">
      <c r="B9" s="606" t="str">
        <f>IF('Summary | Sumário'!D$6=Names!B$3,Names!BF7,Names!BG7)</f>
        <v>Depreciation and amortization</v>
      </c>
      <c r="C9" s="174">
        <v>-17463</v>
      </c>
      <c r="D9" s="174">
        <v>-43659</v>
      </c>
      <c r="E9" s="174">
        <v>-94250.52</v>
      </c>
      <c r="F9" s="174">
        <v>-163972</v>
      </c>
      <c r="G9" s="174">
        <v>-160440</v>
      </c>
      <c r="H9" s="174">
        <v>-208829.429</v>
      </c>
      <c r="I9" s="174">
        <v>-340727</v>
      </c>
      <c r="J9" s="179"/>
      <c r="K9" s="174">
        <v>-19166</v>
      </c>
      <c r="L9" s="174">
        <v>-25338</v>
      </c>
      <c r="M9" s="174">
        <v>-30883</v>
      </c>
      <c r="N9" s="174">
        <v>-18863.520000000004</v>
      </c>
      <c r="O9" s="174">
        <v>-36478</v>
      </c>
      <c r="P9" s="174">
        <v>-35511</v>
      </c>
      <c r="Q9" s="174">
        <v>-35620</v>
      </c>
      <c r="R9" s="174">
        <v>-56363</v>
      </c>
      <c r="S9" s="174">
        <v>-37577</v>
      </c>
      <c r="T9" s="174">
        <v>-41130</v>
      </c>
      <c r="U9" s="174">
        <v>-40591</v>
      </c>
      <c r="V9" s="174">
        <v>-41142</v>
      </c>
      <c r="W9" s="174">
        <v>-41900</v>
      </c>
      <c r="X9" s="174">
        <v>-53034.879000000001</v>
      </c>
      <c r="Y9" s="174">
        <v>-53349</v>
      </c>
      <c r="Z9" s="174">
        <v>-60545.549999999988</v>
      </c>
      <c r="AA9" s="174">
        <v>-67445</v>
      </c>
      <c r="AB9" s="174">
        <v>-76631</v>
      </c>
      <c r="AC9" s="174">
        <v>-84524</v>
      </c>
      <c r="AD9" s="174">
        <v>-112127</v>
      </c>
      <c r="AE9" s="179"/>
      <c r="AF9" s="350">
        <f t="shared" si="0"/>
        <v>0.3265699682930292</v>
      </c>
      <c r="AG9" s="350">
        <f t="shared" si="1"/>
        <v>0.85194452771508433</v>
      </c>
    </row>
    <row r="10" spans="2:37" ht="13" customHeight="1">
      <c r="B10" s="51" t="str">
        <f>IF('Summary | Sumário'!D$6=Names!B$3,Names!BF13,Names!BG13)</f>
        <v>Tax expenses</v>
      </c>
      <c r="C10" s="179">
        <v>0</v>
      </c>
      <c r="D10" s="179">
        <v>0</v>
      </c>
      <c r="E10" s="179">
        <v>-146721.22500000001</v>
      </c>
      <c r="F10" s="179">
        <v>-248588</v>
      </c>
      <c r="G10" s="179">
        <v>-326584</v>
      </c>
      <c r="H10" s="179">
        <v>-477037.39600000001</v>
      </c>
      <c r="I10" s="179">
        <v>-728734</v>
      </c>
      <c r="J10" s="179"/>
      <c r="K10" s="179">
        <v>-27534.687000000002</v>
      </c>
      <c r="L10" s="179">
        <v>-30373</v>
      </c>
      <c r="M10" s="179">
        <v>-40645.811999999998</v>
      </c>
      <c r="N10" s="179">
        <v>-48167.726000000002</v>
      </c>
      <c r="O10" s="179">
        <v>-56693</v>
      </c>
      <c r="P10" s="179">
        <v>-61600</v>
      </c>
      <c r="Q10" s="179">
        <v>-61544</v>
      </c>
      <c r="R10" s="179">
        <v>-68751</v>
      </c>
      <c r="S10" s="179">
        <v>-68871</v>
      </c>
      <c r="T10" s="179">
        <v>-72463</v>
      </c>
      <c r="U10" s="179">
        <v>-94072</v>
      </c>
      <c r="V10" s="179">
        <v>-91178</v>
      </c>
      <c r="W10" s="179">
        <v>-86331</v>
      </c>
      <c r="X10" s="179">
        <v>-99417.270999999993</v>
      </c>
      <c r="Y10" s="179">
        <v>-123632.909</v>
      </c>
      <c r="Z10" s="179">
        <v>-167656.21600000001</v>
      </c>
      <c r="AA10" s="179">
        <v>-136055</v>
      </c>
      <c r="AB10" s="179">
        <v>-176879.6</v>
      </c>
      <c r="AC10" s="179">
        <v>-190327.6</v>
      </c>
      <c r="AD10" s="179">
        <v>-225471.80000000005</v>
      </c>
      <c r="AE10" s="327"/>
      <c r="AF10" s="349">
        <f t="shared" si="0"/>
        <v>0.18465109632023968</v>
      </c>
      <c r="AG10" s="349">
        <f t="shared" si="1"/>
        <v>0.34484605092124965</v>
      </c>
      <c r="AI10" s="185"/>
      <c r="AJ10" s="185"/>
    </row>
    <row r="11" spans="2:37" ht="13" customHeight="1">
      <c r="B11" s="177" t="str">
        <f>IF('Summary | Sumário'!D$6=Names!B$3,Names!M19,Names!N19)</f>
        <v>Income from equity interests in associates</v>
      </c>
      <c r="C11" s="174">
        <f>'3. IS | DRE'!C22</f>
        <v>0</v>
      </c>
      <c r="D11" s="174">
        <f>'3. IS | DRE'!D22</f>
        <v>0</v>
      </c>
      <c r="E11" s="174">
        <f>'3. IS | DRE'!E22</f>
        <v>-8764</v>
      </c>
      <c r="F11" s="174">
        <f>'3. IS | DRE'!F22</f>
        <v>-17384</v>
      </c>
      <c r="G11" s="174">
        <f>'3. IS | DRE'!G22</f>
        <v>-32040</v>
      </c>
      <c r="H11" s="174">
        <f>'3. IS | DRE'!H22</f>
        <v>-2480</v>
      </c>
      <c r="I11" s="174">
        <f>'3. IS | DRE'!I22</f>
        <v>0</v>
      </c>
      <c r="J11" s="179"/>
      <c r="K11" s="174">
        <f>'3. IS | DRE'!K22</f>
        <v>0</v>
      </c>
      <c r="L11" s="174">
        <f>'3. IS | DRE'!L22</f>
        <v>3893</v>
      </c>
      <c r="M11" s="174">
        <f>'3. IS | DRE'!M22</f>
        <v>-5454</v>
      </c>
      <c r="N11" s="174">
        <f>'3. IS | DRE'!N22</f>
        <v>-7203</v>
      </c>
      <c r="O11" s="174">
        <f>'3. IS | DRE'!O22</f>
        <v>-5572</v>
      </c>
      <c r="P11" s="174">
        <f>'3. IS | DRE'!P22</f>
        <v>-4490</v>
      </c>
      <c r="Q11" s="174">
        <f>'3. IS | DRE'!Q22</f>
        <v>-3892</v>
      </c>
      <c r="R11" s="174">
        <f>'3. IS | DRE'!R22</f>
        <v>-3430</v>
      </c>
      <c r="S11" s="174">
        <f>'3. IS | DRE'!S22</f>
        <v>-3061</v>
      </c>
      <c r="T11" s="174">
        <f>'3. IS | DRE'!T22</f>
        <v>-23465</v>
      </c>
      <c r="U11" s="174">
        <f>'3. IS | DRE'!U22</f>
        <v>-4070.8986899999982</v>
      </c>
      <c r="V11" s="174">
        <f>'3. IS | DRE'!V22</f>
        <v>-1443.1013100000018</v>
      </c>
      <c r="W11" s="174">
        <f>'3. IS | DRE'!W22</f>
        <v>-2223</v>
      </c>
      <c r="X11" s="174">
        <f>'3. IS | DRE'!X22</f>
        <v>-257.02199999999999</v>
      </c>
      <c r="Y11" s="174">
        <f>'3. IS | DRE'!Y22</f>
        <v>0</v>
      </c>
      <c r="Z11" s="700">
        <f>'3. IS | DRE'!Z22</f>
        <v>0</v>
      </c>
      <c r="AA11" s="174">
        <f>'3. IS | DRE'!AA22</f>
        <v>0</v>
      </c>
      <c r="AB11" s="174">
        <f>'3. IS | DRE'!AB22</f>
        <v>0</v>
      </c>
      <c r="AC11" s="174">
        <f>'3. IS | DRE'!AC22</f>
        <v>0</v>
      </c>
      <c r="AD11" s="174">
        <f>'3. IS | DRE'!AD22</f>
        <v>0</v>
      </c>
      <c r="AE11" s="116"/>
      <c r="AF11" s="174">
        <v>0</v>
      </c>
      <c r="AG11" s="174">
        <v>0</v>
      </c>
    </row>
    <row r="12" spans="2:37" ht="13" customHeight="1">
      <c r="B12" s="116" t="str">
        <f>IF('Summary | Sumário'!D$6=Names!B$3,Names!M27,Names!N27)</f>
        <v>Income tax</v>
      </c>
      <c r="C12" s="179">
        <f>'3. IS | DRE'!C25</f>
        <v>29686</v>
      </c>
      <c r="D12" s="179">
        <f>'3. IS | DRE'!D25</f>
        <v>37709</v>
      </c>
      <c r="E12" s="179">
        <f>'3. IS | DRE'!E25</f>
        <v>175993</v>
      </c>
      <c r="F12" s="179">
        <f>'3. IS | DRE'!F25</f>
        <v>164494</v>
      </c>
      <c r="G12" s="179">
        <f>'3. IS | DRE'!G25</f>
        <v>-87581</v>
      </c>
      <c r="H12" s="179">
        <f>'3. IS | DRE'!H25</f>
        <v>-232708.78587989899</v>
      </c>
      <c r="I12" s="179">
        <f>'3. IS | DRE'!I25</f>
        <v>-226866</v>
      </c>
      <c r="J12" s="179"/>
      <c r="K12" s="179">
        <f>'3. IS | DRE'!K25</f>
        <v>34867</v>
      </c>
      <c r="L12" s="179">
        <f>'3. IS | DRE'!L25</f>
        <v>87154</v>
      </c>
      <c r="M12" s="179">
        <f>'3. IS | DRE'!M25</f>
        <v>-568.73549999999886</v>
      </c>
      <c r="N12" s="179">
        <f>'3. IS | DRE'!N25</f>
        <v>54540.735499999995</v>
      </c>
      <c r="O12" s="179">
        <f>'3. IS | DRE'!O25</f>
        <v>71272</v>
      </c>
      <c r="P12" s="179">
        <f>'3. IS | DRE'!P25</f>
        <v>3654</v>
      </c>
      <c r="Q12" s="179">
        <f>'3. IS | DRE'!Q25</f>
        <v>40448</v>
      </c>
      <c r="R12" s="179">
        <f>'3. IS | DRE'!R25</f>
        <v>49120</v>
      </c>
      <c r="S12" s="179">
        <f>'3. IS | DRE'!S25</f>
        <v>18319</v>
      </c>
      <c r="T12" s="179">
        <f>'3. IS | DRE'!T25</f>
        <v>-16127</v>
      </c>
      <c r="U12" s="179">
        <f>'3. IS | DRE'!U25</f>
        <v>-41194</v>
      </c>
      <c r="V12" s="179">
        <f>'3. IS | DRE'!V25</f>
        <v>-48579</v>
      </c>
      <c r="W12" s="179">
        <f>'3. IS | DRE'!W25</f>
        <v>-78512</v>
      </c>
      <c r="X12" s="179">
        <f>'3. IS | DRE'!X25</f>
        <v>-74943.733999999997</v>
      </c>
      <c r="Y12" s="179">
        <f>'3. IS | DRE'!Y25</f>
        <v>-33942</v>
      </c>
      <c r="Z12" s="179">
        <f>'3. IS | DRE'!Z25</f>
        <v>-45311.051879898987</v>
      </c>
      <c r="AA12" s="179">
        <f>'3. IS | DRE'!AA25</f>
        <v>-50759</v>
      </c>
      <c r="AB12" s="179">
        <f>'3. IS | DRE'!AB25</f>
        <v>-51361</v>
      </c>
      <c r="AC12" s="179">
        <f>'3. IS | DRE'!AC25</f>
        <v>-61920</v>
      </c>
      <c r="AD12" s="179">
        <f>'3. IS | DRE'!AD25</f>
        <v>-62826</v>
      </c>
      <c r="AE12" s="116"/>
      <c r="AF12" s="349">
        <f>AD12/AC12-1</f>
        <v>1.4631782945736527E-2</v>
      </c>
      <c r="AG12" s="349">
        <f>AD12/Z12-1</f>
        <v>0.38654913963432058</v>
      </c>
    </row>
    <row r="13" spans="2:37" ht="13" customHeight="1">
      <c r="B13" s="298" t="str">
        <f>IF('Summary | Sumário'!D$6=Names!B$3,Names!X3,Names!Y3)</f>
        <v>Total expenses</v>
      </c>
      <c r="C13" s="282">
        <f t="shared" ref="C13:G13" si="5">C5+C6+C10+C11+C12</f>
        <v>-681854</v>
      </c>
      <c r="D13" s="282">
        <f t="shared" si="5"/>
        <v>-1090061</v>
      </c>
      <c r="E13" s="282">
        <f t="shared" si="5"/>
        <v>-2276891.52</v>
      </c>
      <c r="F13" s="282">
        <f t="shared" si="5"/>
        <v>-3576776</v>
      </c>
      <c r="G13" s="282">
        <f t="shared" si="5"/>
        <v>-4400316</v>
      </c>
      <c r="H13" s="282">
        <f>H5+H6+H10+H11+H12</f>
        <v>-5427324.2048798986</v>
      </c>
      <c r="I13" s="282">
        <f>I5+I6+I10+I11+I12</f>
        <v>-7003617</v>
      </c>
      <c r="J13" s="227"/>
      <c r="K13" s="282">
        <f t="shared" ref="K13:Z13" si="6">K5+K6+K10+K11+K12</f>
        <v>-419458.99999999994</v>
      </c>
      <c r="L13" s="282">
        <f t="shared" si="6"/>
        <v>-497912</v>
      </c>
      <c r="M13" s="282">
        <f t="shared" si="6"/>
        <v>-572161.73549999995</v>
      </c>
      <c r="N13" s="282">
        <f t="shared" si="6"/>
        <v>-787358.78450000007</v>
      </c>
      <c r="O13" s="282">
        <f t="shared" si="6"/>
        <v>-862343</v>
      </c>
      <c r="P13" s="282">
        <f t="shared" si="6"/>
        <v>-861495</v>
      </c>
      <c r="Q13" s="282">
        <f t="shared" si="6"/>
        <v>-879899</v>
      </c>
      <c r="R13" s="282">
        <f t="shared" si="6"/>
        <v>-973039</v>
      </c>
      <c r="S13" s="282">
        <f t="shared" si="6"/>
        <v>-999898</v>
      </c>
      <c r="T13" s="282">
        <f t="shared" si="6"/>
        <v>-1085862</v>
      </c>
      <c r="U13" s="282">
        <f t="shared" si="6"/>
        <v>-1161364.8986899999</v>
      </c>
      <c r="V13" s="282">
        <f t="shared" si="6"/>
        <v>-1153191.1013100001</v>
      </c>
      <c r="W13" s="282">
        <f t="shared" si="6"/>
        <v>-1205721</v>
      </c>
      <c r="X13" s="282">
        <f t="shared" si="6"/>
        <v>-1255934.3865199999</v>
      </c>
      <c r="Y13" s="282">
        <f t="shared" si="6"/>
        <v>-1416131.1634800001</v>
      </c>
      <c r="Z13" s="282">
        <f t="shared" si="6"/>
        <v>-1549537.6768798986</v>
      </c>
      <c r="AA13" s="282">
        <f>AA5+AA6+AA10+AA11+AA12</f>
        <v>-1531013.2000000002</v>
      </c>
      <c r="AB13" s="282">
        <f>AB5+AB6+AB10+AB11+AB12</f>
        <v>-1670915.2000000002</v>
      </c>
      <c r="AC13" s="282">
        <f>AC5+AC6+AC10+AC11+AC12</f>
        <v>-1806158.6</v>
      </c>
      <c r="AD13" s="282">
        <f>AD5+AD6+AD10+AD11+AD12</f>
        <v>-1995530.0000000002</v>
      </c>
      <c r="AE13" s="227"/>
      <c r="AF13" s="360">
        <f>AD13/AC13-1</f>
        <v>0.10484760308424756</v>
      </c>
      <c r="AG13" s="360">
        <f>AD13/Z13-1</f>
        <v>0.28782283243227624</v>
      </c>
    </row>
  </sheetData>
  <sheetProtection algorithmName="SHA-512" hashValue="rBiBftHhi7TK9Q7/CEfN4UV8906HsfC4geBZXIxqse8M/MppFKGqEHOpxpLWEFv6IUw0FPkrT8USNMA/SM9icQ==" saltValue="9QSlYOHtm7XuCKH3Hlo3t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8134-02C1-4344-8523-0BA3F217A95A}">
  <sheetPr codeName="Sheet12">
    <tabColor rgb="FFF7CAB0"/>
  </sheetPr>
  <dimension ref="B1:AK31"/>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2.83203125" style="117" customWidth="1"/>
    <col min="11" max="30" width="10.83203125" style="117" customWidth="1"/>
    <col min="31" max="31" width="5.83203125" style="117" customWidth="1"/>
    <col min="32" max="33" width="10.83203125" style="117" customWidth="1"/>
    <col min="34" max="16384" width="10.83203125" style="116"/>
  </cols>
  <sheetData>
    <row r="1" spans="2:37" ht="13" customHeight="1">
      <c r="AH1" s="117"/>
    </row>
    <row r="2" spans="2:37" s="10" customFormat="1" ht="13" customHeight="1">
      <c r="B2" s="267" t="str">
        <f>IF('Summary | Sumário'!D$6=Names!B$3,Names!AF1,Names!AG1)</f>
        <v>Financials KPIs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2:37" ht="13" customHeight="1">
      <c r="B4" s="270" t="str">
        <f>IF('Summary | Sumário'!D$6=Names!B$3,Names!AF2,Names!AG2)</f>
        <v>Financials KPIs</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row>
    <row r="5" spans="2:37" ht="13" customHeight="1">
      <c r="B5" s="288" t="str">
        <f>IF('Summary | Sumário'!D$6=Names!B$3,Names!O22,Names!Z22)</f>
        <v>NPL 15-90 days (%)</v>
      </c>
      <c r="C5" s="337">
        <f>'9.1 Asset Quality'!C21</f>
        <v>9.5370982442912824E-2</v>
      </c>
      <c r="D5" s="337">
        <f>'9.1 Asset Quality'!D21</f>
        <v>5.0796743357097301E-2</v>
      </c>
      <c r="E5" s="337">
        <f>'9.1 Asset Quality'!E21</f>
        <v>4.2605297450119241E-2</v>
      </c>
      <c r="F5" s="337">
        <f>'9.1 Asset Quality'!F21</f>
        <v>4.1430841865461747E-2</v>
      </c>
      <c r="G5" s="337">
        <f>'9.1 Asset Quality'!G21</f>
        <v>4.0071198175600488E-2</v>
      </c>
      <c r="H5" s="337">
        <f>'9.1 Asset Quality'!H21</f>
        <v>3.4280430547543803E-2</v>
      </c>
      <c r="I5" s="337">
        <f>'9.1 Asset Quality'!I21</f>
        <v>3.6843038419415323E-2</v>
      </c>
      <c r="J5" s="204"/>
      <c r="K5" s="337">
        <f>'9.1 Asset Quality'!K21</f>
        <v>5.7741669034963569E-2</v>
      </c>
      <c r="L5" s="337">
        <f>'9.1 Asset Quality'!L21</f>
        <v>4.9041696604805549E-2</v>
      </c>
      <c r="M5" s="337">
        <f>'9.1 Asset Quality'!M21</f>
        <v>4.345700639486462E-2</v>
      </c>
      <c r="N5" s="337">
        <f>'9.1 Asset Quality'!N21</f>
        <v>4.2605297450119241E-2</v>
      </c>
      <c r="O5" s="337">
        <f>'9.1 Asset Quality'!O21</f>
        <v>4.5114029137614607E-2</v>
      </c>
      <c r="P5" s="337">
        <f>'9.1 Asset Quality'!P21</f>
        <v>4.5433557125597483E-2</v>
      </c>
      <c r="Q5" s="337">
        <f>'9.1 Asset Quality'!Q21</f>
        <v>4.314105737204002E-2</v>
      </c>
      <c r="R5" s="337">
        <f>'9.1 Asset Quality'!R21</f>
        <v>4.1430841865461747E-2</v>
      </c>
      <c r="S5" s="337">
        <f>'9.1 Asset Quality'!S21</f>
        <v>4.3458095606172524E-2</v>
      </c>
      <c r="T5" s="337">
        <f>'9.1 Asset Quality'!T21</f>
        <v>4.1964720582480561E-2</v>
      </c>
      <c r="U5" s="337">
        <f>'9.1 Asset Quality'!U21</f>
        <v>4.2636576262433189E-2</v>
      </c>
      <c r="V5" s="337">
        <f>'9.1 Asset Quality'!V21</f>
        <v>4.0071198175600488E-2</v>
      </c>
      <c r="W5" s="337">
        <f>'9.1 Asset Quality'!W21</f>
        <v>4.4087392795071748E-2</v>
      </c>
      <c r="X5" s="337">
        <f>'9.1 Asset Quality'!X21</f>
        <v>3.9289590020879214E-2</v>
      </c>
      <c r="Y5" s="337">
        <f>'9.1 Asset Quality'!Y21</f>
        <v>3.6008983670181932E-2</v>
      </c>
      <c r="Z5" s="337">
        <f>'9.1 Asset Quality'!Z21</f>
        <v>3.4280430547543803E-2</v>
      </c>
      <c r="AA5" s="337">
        <f>'9.1 Asset Quality'!AA21</f>
        <v>3.7539033898415307E-2</v>
      </c>
      <c r="AB5" s="337">
        <f>'9.1 Asset Quality'!AB21</f>
        <v>3.7498374725471094E-2</v>
      </c>
      <c r="AC5" s="337">
        <f>'9.1 Asset Quality'!AC21</f>
        <v>3.8018117748348602E-2</v>
      </c>
      <c r="AD5" s="337">
        <f>'9.1 Asset Quality'!AD21</f>
        <v>3.6843038419415323E-2</v>
      </c>
      <c r="AE5" s="179"/>
      <c r="AF5" s="609">
        <f t="shared" ref="AF5:AF12" si="0">(AD5-AC5)*100</f>
        <v>-0.11750793289332789</v>
      </c>
      <c r="AG5" s="609">
        <f t="shared" ref="AG5:AG12" si="1">(AD5-Z5)*100</f>
        <v>0.25626078718715206</v>
      </c>
    </row>
    <row r="6" spans="2:37" ht="13" customHeight="1">
      <c r="B6" s="51" t="str">
        <f>IF('Summary | Sumário'!D$6=Names!B$3,Names!O17,Names!Z17)</f>
        <v>NPL &gt; 90 days (%)</v>
      </c>
      <c r="C6" s="204">
        <f>'9.1 Asset Quality'!C26</f>
        <v>4.613178731386007E-2</v>
      </c>
      <c r="D6" s="204">
        <f>'9.1 Asset Quality'!D26</f>
        <v>3.0609729310091011E-2</v>
      </c>
      <c r="E6" s="204">
        <f>'9.1 Asset Quality'!E26</f>
        <v>2.9686127241903896E-2</v>
      </c>
      <c r="F6" s="204">
        <f>'9.1 Asset Quality'!F26</f>
        <v>4.07236995153967E-2</v>
      </c>
      <c r="G6" s="204">
        <f>'9.1 Asset Quality'!G26</f>
        <v>4.5948866208864708E-2</v>
      </c>
      <c r="H6" s="204">
        <f>'9.1 Asset Quality'!H26</f>
        <v>4.2179708903771096E-2</v>
      </c>
      <c r="I6" s="204">
        <f>'9.1 Asset Quality'!I26</f>
        <v>4.3104860050226429E-2</v>
      </c>
      <c r="J6" s="204"/>
      <c r="K6" s="204">
        <f>'9.1 Asset Quality'!K26</f>
        <v>2.7518698219089782E-2</v>
      </c>
      <c r="L6" s="204">
        <f>'9.1 Asset Quality'!L26</f>
        <v>2.982128363105719E-2</v>
      </c>
      <c r="M6" s="204">
        <f>'9.1 Asset Quality'!M26</f>
        <v>3.0204543180505222E-2</v>
      </c>
      <c r="N6" s="204">
        <f>'9.1 Asset Quality'!N26</f>
        <v>2.9686127241903896E-2</v>
      </c>
      <c r="O6" s="204">
        <f>'9.1 Asset Quality'!O26</f>
        <v>3.428186408174301E-2</v>
      </c>
      <c r="P6" s="204">
        <f>'9.1 Asset Quality'!P26</f>
        <v>3.8004014778354349E-2</v>
      </c>
      <c r="Q6" s="204">
        <f>'9.1 Asset Quality'!Q26</f>
        <v>3.8069376847907885E-2</v>
      </c>
      <c r="R6" s="204">
        <f>'9.1 Asset Quality'!R26</f>
        <v>4.07236995153967E-2</v>
      </c>
      <c r="S6" s="204">
        <f>'9.1 Asset Quality'!S26</f>
        <v>4.425561390533074E-2</v>
      </c>
      <c r="T6" s="204">
        <f>'9.1 Asset Quality'!T26</f>
        <v>4.6937273988870744E-2</v>
      </c>
      <c r="U6" s="204">
        <f>'9.1 Asset Quality'!U26</f>
        <v>4.6873218175344886E-2</v>
      </c>
      <c r="V6" s="204">
        <f>'9.1 Asset Quality'!V26</f>
        <v>4.5948866208864708E-2</v>
      </c>
      <c r="W6" s="204">
        <f>'9.1 Asset Quality'!W26</f>
        <v>4.8307930395170035E-2</v>
      </c>
      <c r="X6" s="204">
        <f>'9.1 Asset Quality'!X26</f>
        <v>4.6618172011492563E-2</v>
      </c>
      <c r="Y6" s="204">
        <f>'9.1 Asset Quality'!Y26</f>
        <v>4.5182000499596732E-2</v>
      </c>
      <c r="Z6" s="204">
        <f>'9.1 Asset Quality'!Z26</f>
        <v>4.2179708903771096E-2</v>
      </c>
      <c r="AA6" s="204">
        <f>'9.1 Asset Quality'!AA26</f>
        <v>4.0718360845246861E-2</v>
      </c>
      <c r="AB6" s="204">
        <f>'9.1 Asset Quality'!AB26</f>
        <v>4.2012384903609853E-2</v>
      </c>
      <c r="AC6" s="204">
        <f>'9.1 Asset Quality'!AC26</f>
        <v>4.2470166612367834E-2</v>
      </c>
      <c r="AD6" s="204">
        <f>'9.1 Asset Quality'!AD26</f>
        <v>4.3104860050226429E-2</v>
      </c>
      <c r="AF6" s="364">
        <f t="shared" si="0"/>
        <v>6.3469343785859528E-2</v>
      </c>
      <c r="AG6" s="364">
        <f t="shared" si="1"/>
        <v>9.2515114645533303E-2</v>
      </c>
    </row>
    <row r="7" spans="2:37" ht="13" customHeight="1">
      <c r="B7" s="53" t="str">
        <f>IF('Summary | Sumário'!D$6=Names!B$3,Names!O126,Names!Z126)</f>
        <v>Coverage ratio (%)</v>
      </c>
      <c r="C7" s="341">
        <f>'9.1 Asset Quality'!C34</f>
        <v>1.2955774675319989</v>
      </c>
      <c r="D7" s="341">
        <f>'9.1 Asset Quality'!D34</f>
        <v>1.2362993155399116</v>
      </c>
      <c r="E7" s="341">
        <f>'9.1 Asset Quality'!E34</f>
        <v>1.3695865756226624</v>
      </c>
      <c r="F7" s="341">
        <f>'9.1 Asset Quality'!F34</f>
        <v>1.3483872650445294</v>
      </c>
      <c r="G7" s="341">
        <f>'9.1 Asset Quality'!G34</f>
        <v>1.343397801947867</v>
      </c>
      <c r="H7" s="341">
        <f>'9.1 Asset Quality'!H34</f>
        <v>1.3625649121395018</v>
      </c>
      <c r="I7" s="341">
        <f>'9.1 Asset Quality'!I34</f>
        <v>1.4144886243011037</v>
      </c>
      <c r="J7" s="342"/>
      <c r="K7" s="341">
        <f>'9.1 Asset Quality'!K34</f>
        <v>1.1778723729850911</v>
      </c>
      <c r="L7" s="341">
        <f>'9.1 Asset Quality'!L34</f>
        <v>1.2955774675319989</v>
      </c>
      <c r="M7" s="341">
        <f>'9.1 Asset Quality'!M34</f>
        <v>1.2362993155399116</v>
      </c>
      <c r="N7" s="341">
        <f>'9.1 Asset Quality'!N34</f>
        <v>1.3695865756226624</v>
      </c>
      <c r="O7" s="341">
        <f>'9.1 Asset Quality'!O34</f>
        <v>1.3153093610626549</v>
      </c>
      <c r="P7" s="341">
        <f>'9.1 Asset Quality'!P34</f>
        <v>1.3402206202440683</v>
      </c>
      <c r="Q7" s="341">
        <f>'9.1 Asset Quality'!Q34</f>
        <v>1.4508092842877671</v>
      </c>
      <c r="R7" s="341">
        <f>'9.1 Asset Quality'!R34</f>
        <v>1.3483872650445294</v>
      </c>
      <c r="S7" s="341">
        <f>'9.1 Asset Quality'!S34</f>
        <v>1.3416430321424944</v>
      </c>
      <c r="T7" s="341">
        <f>'9.1 Asset Quality'!T34</f>
        <v>1.3296856642590198</v>
      </c>
      <c r="U7" s="341">
        <f>'9.1 Asset Quality'!U34</f>
        <v>1.3188960574080884</v>
      </c>
      <c r="V7" s="341">
        <f>'9.1 Asset Quality'!V34</f>
        <v>1.343397801947867</v>
      </c>
      <c r="W7" s="341">
        <f>'9.1 Asset Quality'!W34</f>
        <v>1.325796015185797</v>
      </c>
      <c r="X7" s="341">
        <f>'9.1 Asset Quality'!X34</f>
        <v>1.3017531336546826</v>
      </c>
      <c r="Y7" s="341">
        <f>'9.1 Asset Quality'!Y34</f>
        <v>1.2953231740838689</v>
      </c>
      <c r="Z7" s="341">
        <f>'9.1 Asset Quality'!Z34</f>
        <v>1.3625649121395018</v>
      </c>
      <c r="AA7" s="341">
        <f>'9.1 Asset Quality'!AA34</f>
        <v>1.4254534411552315</v>
      </c>
      <c r="AB7" s="341">
        <f>'9.1 Asset Quality'!AB34</f>
        <v>1.4339593935505011</v>
      </c>
      <c r="AC7" s="341">
        <f>'9.1 Asset Quality'!AC34</f>
        <v>1.4631857564609239</v>
      </c>
      <c r="AD7" s="341">
        <f>'9.1 Asset Quality'!AD34</f>
        <v>1.4144886243011037</v>
      </c>
      <c r="AF7" s="363">
        <f t="shared" si="0"/>
        <v>-4.8697132159820189</v>
      </c>
      <c r="AG7" s="363">
        <f t="shared" si="1"/>
        <v>5.1923712161601854</v>
      </c>
      <c r="AH7" s="208"/>
    </row>
    <row r="8" spans="2:37" ht="13" customHeight="1">
      <c r="B8" s="51" t="str">
        <f>IF('Summary | Sumário'!D$6=Names!B$3,Names!R5,Names!S5)</f>
        <v>All-in cost of risk (%)</v>
      </c>
      <c r="C8" s="607">
        <f>'9.1 Asset Quality'!C43</f>
        <v>2.9005395627358637E-2</v>
      </c>
      <c r="D8" s="607">
        <f>'9.1 Asset Quality'!D43</f>
        <v>3.1500109268915409E-2</v>
      </c>
      <c r="E8" s="607">
        <f>'9.1 Asset Quality'!E43</f>
        <v>4.2473822514589699E-2</v>
      </c>
      <c r="F8" s="607">
        <f>'9.1 Asset Quality'!F43</f>
        <v>4.6317183838668459E-2</v>
      </c>
      <c r="G8" s="607">
        <f>'9.1 Asset Quality'!G43</f>
        <v>5.0763660863218409E-2</v>
      </c>
      <c r="H8" s="607">
        <f>'9.1 Asset Quality'!H43</f>
        <v>4.6974431184395926E-2</v>
      </c>
      <c r="I8" s="607">
        <f>'9.1 Asset Quality'!I43</f>
        <v>4.8953797731420758E-2</v>
      </c>
      <c r="J8" s="342"/>
      <c r="K8" s="607">
        <f>'9.1 Asset Quality'!K43</f>
        <v>3.6294785137454662E-2</v>
      </c>
      <c r="L8" s="607">
        <f>'9.1 Asset Quality'!L43</f>
        <v>5.1689493991981396E-2</v>
      </c>
      <c r="M8" s="607">
        <f>'9.1 Asset Quality'!M43</f>
        <v>3.5989203377592288E-2</v>
      </c>
      <c r="N8" s="607">
        <f>'9.1 Asset Quality'!N43</f>
        <v>4.1029523187723967E-2</v>
      </c>
      <c r="O8" s="607">
        <f>'9.1 Asset Quality'!O43</f>
        <v>6.3011912919397436E-2</v>
      </c>
      <c r="P8" s="607">
        <f>'9.1 Asset Quality'!P43</f>
        <v>4.5258610425504199E-2</v>
      </c>
      <c r="Q8" s="607">
        <f>'9.1 Asset Quality'!Q43</f>
        <v>4.4313443197696145E-2</v>
      </c>
      <c r="R8" s="607">
        <f>'9.1 Asset Quality'!R43</f>
        <v>4.0230685016000328E-2</v>
      </c>
      <c r="S8" s="607">
        <f>'9.1 Asset Quality'!S43</f>
        <v>5.0543650227926271E-2</v>
      </c>
      <c r="T8" s="607">
        <f>'9.1 Asset Quality'!T43</f>
        <v>5.5909005204313231E-2</v>
      </c>
      <c r="U8" s="607">
        <f>'9.1 Asset Quality'!U43</f>
        <v>5.5000173940667627E-2</v>
      </c>
      <c r="V8" s="607">
        <f>'9.1 Asset Quality'!V43</f>
        <v>4.8432678565455717E-2</v>
      </c>
      <c r="W8" s="607">
        <f>'9.1 Asset Quality'!W43</f>
        <v>4.8569182560775234E-2</v>
      </c>
      <c r="X8" s="607">
        <f>'9.1 Asset Quality'!X43</f>
        <v>4.6726508416808088E-2</v>
      </c>
      <c r="Y8" s="607">
        <f>'9.1 Asset Quality'!Y43</f>
        <v>4.8574047314921272E-2</v>
      </c>
      <c r="Z8" s="607">
        <f>'9.1 Asset Quality'!Z43</f>
        <v>4.7546725119791959E-2</v>
      </c>
      <c r="AA8" s="607">
        <f>'9.1 Asset Quality'!AA43</f>
        <v>4.6474056852563637E-2</v>
      </c>
      <c r="AB8" s="607">
        <f>'9.1 Asset Quality'!AB43</f>
        <v>4.9775789895540309E-2</v>
      </c>
      <c r="AC8" s="607">
        <f>'9.1 Asset Quality'!AC43</f>
        <v>5.3529851769126745E-2</v>
      </c>
      <c r="AD8" s="607">
        <f>'9.1 Asset Quality'!AD43</f>
        <v>5.2961375647574631E-2</v>
      </c>
      <c r="AF8" s="364">
        <f t="shared" si="0"/>
        <v>-5.6847612155211391E-2</v>
      </c>
      <c r="AG8" s="364">
        <f t="shared" si="1"/>
        <v>0.54146505277826718</v>
      </c>
    </row>
    <row r="9" spans="2:37" ht="13" customHeight="1">
      <c r="B9" s="53" t="str">
        <f>IF('Summary | Sumário'!D$6=Names!B$3,Names!Q7,Names!R7)</f>
        <v>NIM 2.0 (%)</v>
      </c>
      <c r="C9" s="341">
        <f>'9.2 NIM &amp; Yields'!C9</f>
        <v>6.3020680026689813E-2</v>
      </c>
      <c r="D9" s="341">
        <f>'9.2 NIM &amp; Yields'!D9</f>
        <v>5.5495979335055338E-2</v>
      </c>
      <c r="E9" s="341">
        <f>'9.2 NIM &amp; Yields'!E9</f>
        <v>6.8360492746172299E-2</v>
      </c>
      <c r="F9" s="341">
        <f>'9.2 NIM &amp; Yields'!F9</f>
        <v>7.267746383265955E-2</v>
      </c>
      <c r="G9" s="341">
        <f>'9.2 NIM &amp; Yields'!G9</f>
        <v>7.7824527213777778E-2</v>
      </c>
      <c r="H9" s="341">
        <f>'9.2 NIM &amp; Yields'!H9</f>
        <v>8.2436165002568437E-2</v>
      </c>
      <c r="I9" s="341">
        <f>'9.2 NIM &amp; Yields'!I9</f>
        <v>9.0232223754691906E-2</v>
      </c>
      <c r="J9" s="342"/>
      <c r="K9" s="341">
        <f>'9.2 NIM &amp; Yields'!K9</f>
        <v>6.8733691830851179E-2</v>
      </c>
      <c r="L9" s="341">
        <f>'9.2 NIM &amp; Yields'!L9</f>
        <v>5.7239372741286251E-2</v>
      </c>
      <c r="M9" s="341">
        <f>'9.2 NIM &amp; Yields'!M9</f>
        <v>6.7054588581747704E-2</v>
      </c>
      <c r="N9" s="341">
        <f>'9.2 NIM &amp; Yields'!N9</f>
        <v>7.5645922678885091E-2</v>
      </c>
      <c r="O9" s="341">
        <f>'9.2 NIM &amp; Yields'!O9</f>
        <v>7.4233407062940196E-2</v>
      </c>
      <c r="P9" s="341">
        <f>'9.2 NIM &amp; Yields'!P9</f>
        <v>7.5588216731602362E-2</v>
      </c>
      <c r="Q9" s="341">
        <f>'9.2 NIM &amp; Yields'!Q9</f>
        <v>7.0166279314210447E-2</v>
      </c>
      <c r="R9" s="341">
        <f>'9.2 NIM &amp; Yields'!R9</f>
        <v>7.8094470161594251E-2</v>
      </c>
      <c r="S9" s="341">
        <f>'9.2 NIM &amp; Yields'!S9</f>
        <v>7.7923974174730459E-2</v>
      </c>
      <c r="T9" s="341">
        <f>'9.2 NIM &amp; Yields'!T9</f>
        <v>8.5539472440613981E-2</v>
      </c>
      <c r="U9" s="341">
        <f>'9.2 NIM &amp; Yields'!U9</f>
        <v>8.1482839464113735E-2</v>
      </c>
      <c r="V9" s="341">
        <f>'9.2 NIM &amp; Yields'!V9</f>
        <v>7.8697434892860935E-2</v>
      </c>
      <c r="W9" s="341">
        <f>'9.2 NIM &amp; Yields'!W9</f>
        <v>8.2180472229888515E-2</v>
      </c>
      <c r="X9" s="341">
        <f>'9.2 NIM &amp; Yields'!X9</f>
        <v>8.2371027681412398E-2</v>
      </c>
      <c r="Y9" s="341">
        <f>'9.2 NIM &amp; Yields'!Y9</f>
        <v>8.6757681580365315E-2</v>
      </c>
      <c r="Z9" s="341">
        <f>'9.2 NIM &amp; Yields'!Z9</f>
        <v>8.7425087440085245E-2</v>
      </c>
      <c r="AA9" s="341">
        <f>'9.2 NIM &amp; Yields'!AA9</f>
        <v>8.8434242308333022E-2</v>
      </c>
      <c r="AB9" s="341">
        <f>'9.2 NIM &amp; Yields'!AB9</f>
        <v>9.0695418380868989E-2</v>
      </c>
      <c r="AC9" s="341">
        <f>'9.2 NIM &amp; Yields'!AC9</f>
        <v>9.279500492766278E-2</v>
      </c>
      <c r="AD9" s="341">
        <f>'9.2 NIM &amp; Yields'!AD9</f>
        <v>9.5655044278617249E-2</v>
      </c>
      <c r="AF9" s="363">
        <f t="shared" si="0"/>
        <v>0.28600393509544686</v>
      </c>
      <c r="AG9" s="363">
        <f t="shared" si="1"/>
        <v>0.82299568385320043</v>
      </c>
    </row>
    <row r="10" spans="2:37" ht="13" customHeight="1">
      <c r="B10" s="51" t="str">
        <f>IF('Summary | Sumário'!D$6=Names!B$3,Names!Q10,Names!R10)</f>
        <v>Risk-adjusted NIM 2.0 (%)</v>
      </c>
      <c r="C10" s="607">
        <f>'9.2 NIM &amp; Yields'!C18</f>
        <v>4.8257574316724908E-2</v>
      </c>
      <c r="D10" s="607">
        <f>'9.2 NIM &amp; Yields'!D18</f>
        <v>3.9323698139541174E-2</v>
      </c>
      <c r="E10" s="607">
        <f>'9.2 NIM &amp; Yields'!E18</f>
        <v>4.3136944003390354E-2</v>
      </c>
      <c r="F10" s="607">
        <f>'9.2 NIM &amp; Yields'!F18</f>
        <v>4.034885798859994E-2</v>
      </c>
      <c r="G10" s="607">
        <f>'9.2 NIM &amp; Yields'!G18</f>
        <v>4.1433737564831138E-2</v>
      </c>
      <c r="H10" s="607">
        <f>'9.2 NIM &amp; Yields'!H18</f>
        <v>4.9151794487335095E-2</v>
      </c>
      <c r="I10" s="607">
        <f>'9.2 NIM &amp; Yields'!I18</f>
        <v>5.5479403412517378E-2</v>
      </c>
      <c r="J10" s="342"/>
      <c r="K10" s="607">
        <f>'9.2 NIM &amp; Yields'!K18</f>
        <v>4.4085605491636447E-2</v>
      </c>
      <c r="L10" s="607">
        <f>'9.2 NIM &amp; Yields'!L18</f>
        <v>2.6220915320290392E-2</v>
      </c>
      <c r="M10" s="607">
        <f>'9.2 NIM &amp; Yields'!M18</f>
        <v>4.6633875087625939E-2</v>
      </c>
      <c r="N10" s="607">
        <f>'9.2 NIM &amp; Yields'!N18</f>
        <v>5.061860921319894E-2</v>
      </c>
      <c r="O10" s="607">
        <f>'9.2 NIM &amp; Yields'!O18</f>
        <v>3.2782259071434061E-2</v>
      </c>
      <c r="P10" s="607">
        <f>'9.2 NIM &amp; Yields'!P18</f>
        <v>4.4347422960658245E-2</v>
      </c>
      <c r="Q10" s="607">
        <f>'9.2 NIM &amp; Yields'!Q18</f>
        <v>3.8700640351518531E-2</v>
      </c>
      <c r="R10" s="607">
        <f>'9.2 NIM &amp; Yields'!R18</f>
        <v>4.8620585417595272E-2</v>
      </c>
      <c r="S10" s="607">
        <f>'9.2 NIM &amp; Yields'!S18</f>
        <v>4.0309153521016335E-2</v>
      </c>
      <c r="T10" s="607">
        <f>'9.2 NIM &amp; Yields'!T18</f>
        <v>4.4378043460152256E-2</v>
      </c>
      <c r="U10" s="607">
        <f>'9.2 NIM &amp; Yields'!U18</f>
        <v>4.2159442262429708E-2</v>
      </c>
      <c r="V10" s="607">
        <f>'9.2 NIM &amp; Yields'!V18</f>
        <v>4.4962357215369848E-2</v>
      </c>
      <c r="W10" s="607">
        <f>'9.2 NIM &amp; Yields'!W18</f>
        <v>4.8142369184789452E-2</v>
      </c>
      <c r="X10" s="607">
        <f>'9.2 NIM &amp; Yields'!X18</f>
        <v>4.9066733389372438E-2</v>
      </c>
      <c r="Y10" s="607">
        <f>'9.2 NIM &amp; Yields'!Y18</f>
        <v>5.163089103848454E-2</v>
      </c>
      <c r="Z10" s="607">
        <f>'9.2 NIM &amp; Yields'!Z18</f>
        <v>5.2977147751792485E-2</v>
      </c>
      <c r="AA10" s="607">
        <f>'9.2 NIM &amp; Yields'!AA18</f>
        <v>5.5095613637360492E-2</v>
      </c>
      <c r="AB10" s="607">
        <f>'9.2 NIM &amp; Yields'!AB18</f>
        <v>5.5562359322360734E-2</v>
      </c>
      <c r="AC10" s="607">
        <f>'9.2 NIM &amp; Yields'!AC18</f>
        <v>5.615052487716235E-2</v>
      </c>
      <c r="AD10" s="607">
        <f>'9.2 NIM &amp; Yields'!AD18</f>
        <v>5.9232693748222001E-2</v>
      </c>
      <c r="AF10" s="364">
        <f t="shared" si="0"/>
        <v>0.30821688710596512</v>
      </c>
      <c r="AG10" s="364">
        <f t="shared" si="1"/>
        <v>0.62555459964295168</v>
      </c>
    </row>
    <row r="11" spans="2:37" ht="13" customHeight="1">
      <c r="B11" s="53" t="str">
        <f>IF('Summary | Sumário'!D$6=Names!B$3,Names!AC35,Names!AD35)</f>
        <v>Fee income ratio (%)</v>
      </c>
      <c r="C11" s="341">
        <f>'9.3 Fee Income Ratio'!C9</f>
        <v>0.169464548300088</v>
      </c>
      <c r="D11" s="341">
        <f>'9.3 Fee Income Ratio'!D9</f>
        <v>0.27496915480968737</v>
      </c>
      <c r="E11" s="341">
        <f>'9.3 Fee Income Ratio'!E9</f>
        <v>0.27350841969732093</v>
      </c>
      <c r="F11" s="341">
        <f>'9.3 Fee Income Ratio'!F9</f>
        <v>0.31647034296011883</v>
      </c>
      <c r="G11" s="341">
        <f>'9.3 Fee Income Ratio'!G9</f>
        <v>0.30631390459180918</v>
      </c>
      <c r="H11" s="341">
        <f>'9.3 Fee Income Ratio'!H9</f>
        <v>0.30365163699821585</v>
      </c>
      <c r="I11" s="341">
        <f>'9.3 Fee Income Ratio'!I9</f>
        <v>0.25320017836103542</v>
      </c>
      <c r="J11" s="342"/>
      <c r="K11" s="341">
        <f>'9.3 Fee Income Ratio'!K9</f>
        <v>0.28627311957648288</v>
      </c>
      <c r="L11" s="341">
        <f>'9.3 Fee Income Ratio'!L9</f>
        <v>0.33894838694026419</v>
      </c>
      <c r="M11" s="341">
        <f>'9.3 Fee Income Ratio'!M9</f>
        <v>0.25283842037330045</v>
      </c>
      <c r="N11" s="341">
        <f>'9.3 Fee Income Ratio'!N9</f>
        <v>0.24154313643237449</v>
      </c>
      <c r="O11" s="341">
        <f>'9.3 Fee Income Ratio'!O9</f>
        <v>0.32761861439090412</v>
      </c>
      <c r="P11" s="341">
        <f>'9.3 Fee Income Ratio'!P9</f>
        <v>0.33108697296749373</v>
      </c>
      <c r="Q11" s="341">
        <f>'9.3 Fee Income Ratio'!Q9</f>
        <v>0.30998227130596889</v>
      </c>
      <c r="R11" s="341">
        <f>'9.3 Fee Income Ratio'!R9</f>
        <v>0.29990645568074864</v>
      </c>
      <c r="S11" s="341">
        <f>'9.3 Fee Income Ratio'!S9</f>
        <v>0.29062483665150585</v>
      </c>
      <c r="T11" s="341">
        <f>'9.3 Fee Income Ratio'!T9</f>
        <v>0.27978998881772194</v>
      </c>
      <c r="U11" s="341">
        <f>'9.3 Fee Income Ratio'!U9</f>
        <v>0.33210664465640283</v>
      </c>
      <c r="V11" s="341">
        <f>'9.3 Fee Income Ratio'!V9</f>
        <v>0.31692388438004793</v>
      </c>
      <c r="W11" s="341">
        <f>'9.3 Fee Income Ratio'!W9</f>
        <v>0.29160324697136625</v>
      </c>
      <c r="X11" s="341">
        <f>'9.3 Fee Income Ratio'!X9</f>
        <v>0.29536908683149532</v>
      </c>
      <c r="Y11" s="341">
        <f>'9.3 Fee Income Ratio'!Y9</f>
        <v>0.3053397223912393</v>
      </c>
      <c r="Z11" s="341">
        <f>'9.3 Fee Income Ratio'!Z9</f>
        <v>0.31790826711817477</v>
      </c>
      <c r="AA11" s="341">
        <f>'9.3 Fee Income Ratio'!AA9</f>
        <v>0.25857357469205999</v>
      </c>
      <c r="AB11" s="341">
        <f>'9.3 Fee Income Ratio'!AB9</f>
        <v>0.26637715952174512</v>
      </c>
      <c r="AC11" s="341">
        <f>'9.3 Fee Income Ratio'!AC9</f>
        <v>0.24950605041985716</v>
      </c>
      <c r="AD11" s="341">
        <f>'9.3 Fee Income Ratio'!AD9</f>
        <v>0.24140543531908565</v>
      </c>
      <c r="AF11" s="363">
        <f t="shared" si="0"/>
        <v>-0.81006151007715077</v>
      </c>
      <c r="AG11" s="363">
        <f t="shared" si="1"/>
        <v>-7.6502831799089126</v>
      </c>
    </row>
    <row r="12" spans="2:37" ht="13" customHeight="1">
      <c r="B12" s="689" t="str">
        <f>'9.4 Efficiency | Eficiência'!B15</f>
        <v>Efficiency ratio (%)</v>
      </c>
      <c r="C12" s="693">
        <f>'9.4 Efficiency | Eficiência'!C15</f>
        <v>0.80448043413149117</v>
      </c>
      <c r="D12" s="693">
        <f>'9.4 Efficiency | Eficiência'!D15</f>
        <v>0.90379777979974207</v>
      </c>
      <c r="E12" s="693">
        <f>'9.4 Efficiency | Eficiência'!E15</f>
        <v>0.82011360010696199</v>
      </c>
      <c r="F12" s="693">
        <f>'9.4 Efficiency | Eficiência'!F15</f>
        <v>0.72178098742996</v>
      </c>
      <c r="G12" s="693">
        <f>'9.4 Efficiency | Eficiência'!G15</f>
        <v>0.54312186300614262</v>
      </c>
      <c r="H12" s="693">
        <f>'9.4 Efficiency | Eficiência'!H15</f>
        <v>0.48530210087474074</v>
      </c>
      <c r="I12" s="693">
        <f>'9.4 Efficiency | Eficiência'!I15</f>
        <v>0.46412975160370901</v>
      </c>
      <c r="J12" s="207"/>
      <c r="K12" s="693">
        <f>'9.4 Efficiency | Eficiência'!K15</f>
        <v>0.8224467649408943</v>
      </c>
      <c r="L12" s="693">
        <f>'9.4 Efficiency | Eficiência'!L15</f>
        <v>0.8949860183046211</v>
      </c>
      <c r="M12" s="693">
        <f>'9.4 Efficiency | Eficiência'!M15</f>
        <v>0.68477256272790943</v>
      </c>
      <c r="N12" s="693">
        <f>'9.4 Efficiency | Eficiência'!N15</f>
        <v>0.88300737159708231</v>
      </c>
      <c r="O12" s="693">
        <f>'9.4 Efficiency | Eficiência'!O15</f>
        <v>0.71882577509772227</v>
      </c>
      <c r="P12" s="693">
        <f>'9.4 Efficiency | Eficiência'!P15</f>
        <v>0.68258662740128873</v>
      </c>
      <c r="Q12" s="693">
        <f>'9.4 Efficiency | Eficiência'!Q15</f>
        <v>0.75028956831525417</v>
      </c>
      <c r="R12" s="693">
        <f>'9.4 Efficiency | Eficiência'!R15</f>
        <v>0.73439393175827561</v>
      </c>
      <c r="S12" s="693">
        <f>'9.4 Efficiency | Eficiência'!S15</f>
        <v>0.62351037661067732</v>
      </c>
      <c r="T12" s="693">
        <f>'9.4 Efficiency | Eficiência'!T15</f>
        <v>0.53383674950420901</v>
      </c>
      <c r="U12" s="693">
        <f>'9.4 Efficiency | Eficiência'!U15</f>
        <v>0.51720803695273643</v>
      </c>
      <c r="V12" s="693">
        <f>'9.4 Efficiency | Eficiência'!V15</f>
        <v>0.51364353479126668</v>
      </c>
      <c r="W12" s="693">
        <f>'9.4 Efficiency | Eficiência'!W15</f>
        <v>0.47740995408553893</v>
      </c>
      <c r="X12" s="693">
        <f>'9.4 Efficiency | Eficiência'!X15</f>
        <v>0.47563347568986319</v>
      </c>
      <c r="Y12" s="693">
        <f>'9.4 Efficiency | Eficiência'!Y15</f>
        <v>0.50211589888730823</v>
      </c>
      <c r="Z12" s="693">
        <f>'9.4 Efficiency | Eficiência'!Z15</f>
        <v>0.48382626494846404</v>
      </c>
      <c r="AA12" s="693">
        <f>'9.4 Efficiency | Eficiência'!AA15</f>
        <v>0.48281649047197628</v>
      </c>
      <c r="AB12" s="693">
        <f>'9.4 Efficiency | Eficiência'!AB15</f>
        <v>0.47147874699369585</v>
      </c>
      <c r="AC12" s="693">
        <f>'9.4 Efficiency | Eficiência'!AC15</f>
        <v>0.45172619796749802</v>
      </c>
      <c r="AD12" s="693">
        <f>'9.4 Efficiency | Eficiência'!AD15</f>
        <v>0.45485613628967569</v>
      </c>
      <c r="AE12" s="207"/>
      <c r="AF12" s="692">
        <f t="shared" si="0"/>
        <v>0.31299383221776722</v>
      </c>
      <c r="AG12" s="692">
        <f t="shared" si="1"/>
        <v>-2.8970128658788341</v>
      </c>
    </row>
    <row r="13" spans="2:37" ht="13" customHeight="1">
      <c r="B13" s="53" t="str">
        <f>IF('Summary | Sumário'!D$6=Names!B$3,Names!AP13,Names!AQ13)</f>
        <v>Cost-to-serve (R$)</v>
      </c>
      <c r="C13" s="610">
        <f>'9.5 CTS | Custo de servir '!C13</f>
        <v>20.917134022985081</v>
      </c>
      <c r="D13" s="610">
        <f>'9.5 CTS | Custo de servir '!D13</f>
        <v>20.21863899270841</v>
      </c>
      <c r="E13" s="610">
        <f>'9.5 CTS | Custo de servir '!E13</f>
        <v>20.146619776144078</v>
      </c>
      <c r="F13" s="610">
        <f>'9.5 CTS | Custo de servir '!F13</f>
        <v>18.620419643425254</v>
      </c>
      <c r="G13" s="610">
        <f>'9.5 CTS | Custo de servir '!G13</f>
        <v>13.869977063425322</v>
      </c>
      <c r="H13" s="610">
        <f>'9.5 CTS | Custo de servir '!H13</f>
        <v>13.145217057243375</v>
      </c>
      <c r="I13" s="610">
        <f>'9.5 CTS | Custo de servir '!I13</f>
        <v>13.289295150563458</v>
      </c>
      <c r="J13" s="608"/>
      <c r="K13" s="610">
        <f>'9.5 CTS | Custo de servir '!K13</f>
        <v>18.745383180514356</v>
      </c>
      <c r="L13" s="610">
        <f>'9.5 CTS | Custo de servir '!L13</f>
        <v>19.761349166461045</v>
      </c>
      <c r="M13" s="610">
        <f>'9.5 CTS | Custo de servir '!M13</f>
        <v>17.187979013081847</v>
      </c>
      <c r="N13" s="610">
        <f>'9.5 CTS | Custo de servir '!N13</f>
        <v>23.941350909457267</v>
      </c>
      <c r="O13" s="610">
        <f>'9.5 CTS | Custo de servir '!O13</f>
        <v>19.888575977297553</v>
      </c>
      <c r="P13" s="610">
        <f>'9.5 CTS | Custo de servir '!P13</f>
        <v>18.006116537985346</v>
      </c>
      <c r="Q13" s="610">
        <f>'9.5 CTS | Custo de servir '!Q13</f>
        <v>17.640218187999785</v>
      </c>
      <c r="R13" s="610">
        <f>'9.5 CTS | Custo de servir '!R13</f>
        <v>18.851561313419559</v>
      </c>
      <c r="S13" s="610">
        <f>'9.5 CTS | Custo de servir '!S13</f>
        <v>15.198842445968298</v>
      </c>
      <c r="T13" s="610">
        <f>'9.5 CTS | Custo de servir '!T13</f>
        <v>13.67902630506528</v>
      </c>
      <c r="U13" s="610">
        <f>'9.5 CTS | Custo de servir '!U13</f>
        <v>13.661825890331194</v>
      </c>
      <c r="V13" s="610">
        <f>'9.5 CTS | Custo de servir '!V13</f>
        <v>13.123678045308578</v>
      </c>
      <c r="W13" s="610">
        <f>'9.5 CTS | Custo de servir '!W13</f>
        <v>12.371846564635158</v>
      </c>
      <c r="X13" s="610">
        <f>'9.5 CTS | Custo de servir '!X13</f>
        <v>12.286397015579938</v>
      </c>
      <c r="Y13" s="610">
        <f>'9.5 CTS | Custo de servir '!Y13</f>
        <v>13.830950210724284</v>
      </c>
      <c r="Z13" s="610">
        <f>'9.5 CTS | Custo de servir '!Z13</f>
        <v>13.978975088428397</v>
      </c>
      <c r="AA13" s="610">
        <f>'9.5 CTS | Custo de servir '!AA13</f>
        <v>13.138845255832354</v>
      </c>
      <c r="AB13" s="610">
        <f>'9.5 CTS | Custo de servir '!AB13</f>
        <v>13.147140123242322</v>
      </c>
      <c r="AC13" s="610">
        <f>'9.5 CTS | Custo de servir '!AC13</f>
        <v>13.052704930319202</v>
      </c>
      <c r="AD13" s="610">
        <f>'9.5 CTS | Custo de servir '!AD13</f>
        <v>13.829302599792996</v>
      </c>
      <c r="AF13" s="341">
        <f>AD13/AC13-1</f>
        <v>5.949706774339858E-2</v>
      </c>
      <c r="AG13" s="341">
        <f>AD13/Z13-1</f>
        <v>-1.0706971554681255E-2</v>
      </c>
    </row>
    <row r="14" spans="2:37" ht="13" customHeight="1">
      <c r="B14" s="689" t="str">
        <f>IF('Summary | Sumário'!D$6=Names!B$3,Names!AR15,Names!AS15)</f>
        <v>Gross ARPAC (R$)</v>
      </c>
      <c r="C14" s="690">
        <f>'9.6 ARPAC'!C16</f>
        <v>37.439906636795584</v>
      </c>
      <c r="D14" s="690">
        <f>'9.6 ARPAC'!D16</f>
        <v>29.358654512771416</v>
      </c>
      <c r="E14" s="690">
        <f>'9.6 ARPAC'!E16</f>
        <v>36.896683850892749</v>
      </c>
      <c r="F14" s="690">
        <f>'9.6 ARPAC'!F16</f>
        <v>46.598265964707203</v>
      </c>
      <c r="G14" s="690">
        <f>'9.6 ARPAC'!G16</f>
        <v>46.446138281704023</v>
      </c>
      <c r="H14" s="690">
        <f>'9.6 ARPAC'!H16</f>
        <v>46.627143767512422</v>
      </c>
      <c r="I14" s="690">
        <f>'9.6 ARPAC'!I16</f>
        <v>54.885175685110994</v>
      </c>
      <c r="J14" s="608"/>
      <c r="K14" s="690">
        <f>'9.6 ARPAC'!K16</f>
        <v>43.102752969930648</v>
      </c>
      <c r="L14" s="690">
        <f>'9.6 ARPAC'!L16</f>
        <v>32.116674790571992</v>
      </c>
      <c r="M14" s="690">
        <f>'9.6 ARPAC'!M16</f>
        <v>37.142020815254909</v>
      </c>
      <c r="N14" s="690">
        <f>'9.6 ARPAC'!N16</f>
        <v>43.653785357728026</v>
      </c>
      <c r="O14" s="690">
        <f>'9.6 ARPAC'!O16</f>
        <v>45.637615645372989</v>
      </c>
      <c r="P14" s="690">
        <f>'9.6 ARPAC'!P16</f>
        <v>47.27263716487105</v>
      </c>
      <c r="Q14" s="690">
        <f>'9.6 ARPAC'!Q16</f>
        <v>45.898270026182757</v>
      </c>
      <c r="R14" s="690">
        <f>'9.6 ARPAC'!R16</f>
        <v>46.871338638732432</v>
      </c>
      <c r="S14" s="690">
        <f>'9.6 ARPAC'!S16</f>
        <v>45.928754143736498</v>
      </c>
      <c r="T14" s="690">
        <f>'9.6 ARPAC'!T16</f>
        <v>46.097358198258931</v>
      </c>
      <c r="U14" s="690">
        <f>'9.6 ARPAC'!U16</f>
        <v>47.683229324275089</v>
      </c>
      <c r="V14" s="690">
        <f>'9.6 ARPAC'!V16</f>
        <v>45.943985472726851</v>
      </c>
      <c r="W14" s="690">
        <f>'9.6 ARPAC'!W16</f>
        <v>45.155471724025865</v>
      </c>
      <c r="X14" s="690">
        <f>'9.6 ARPAC'!X16</f>
        <v>44.744988009538986</v>
      </c>
      <c r="Y14" s="690">
        <f>'9.6 ARPAC'!Y16</f>
        <v>47.164658772595494</v>
      </c>
      <c r="Z14" s="690">
        <f>'9.6 ARPAC'!Z16</f>
        <v>49.265202333247132</v>
      </c>
      <c r="AA14" s="690">
        <f>'9.6 ARPAC'!AA16</f>
        <v>50.018736493520954</v>
      </c>
      <c r="AB14" s="690">
        <f>'9.6 ARPAC'!AB16</f>
        <v>53.691072576799762</v>
      </c>
      <c r="AC14" s="690">
        <f>'9.6 ARPAC'!AC16</f>
        <v>56.844732598911676</v>
      </c>
      <c r="AD14" s="690">
        <f>'9.6 ARPAC'!AD16</f>
        <v>58.522364619681532</v>
      </c>
      <c r="AF14" s="691">
        <f>AD14/AC14-1</f>
        <v>2.9512532543815251E-2</v>
      </c>
      <c r="AG14" s="691">
        <f>AD14/Z14-1</f>
        <v>0.18790468419911699</v>
      </c>
    </row>
    <row r="15" spans="2:37" ht="13" customHeight="1">
      <c r="B15" s="53" t="str">
        <f>IF('Summary | Sumário'!D$6=Names!B$3,Names!AR30,Names!AS30)</f>
        <v>Net ARPAC (R$)</v>
      </c>
      <c r="C15" s="610">
        <f>'9.6 ARPAC'!C31</f>
        <v>28.068065362420551</v>
      </c>
      <c r="D15" s="610">
        <f>'9.6 ARPAC'!D31</f>
        <v>25.281336702420809</v>
      </c>
      <c r="E15" s="610">
        <f>'9.6 ARPAC'!E31</f>
        <v>30.465638946764312</v>
      </c>
      <c r="F15" s="610">
        <f>'9.6 ARPAC'!F31</f>
        <v>31.241092843481812</v>
      </c>
      <c r="G15" s="610">
        <f>'9.6 ARPAC'!G31</f>
        <v>29.845051007254341</v>
      </c>
      <c r="H15" s="610">
        <f>'9.6 ARPAC'!H31</f>
        <v>31.696587177552658</v>
      </c>
      <c r="I15" s="610">
        <f>'9.6 ARPAC'!I31</f>
        <v>33.01316195933628</v>
      </c>
      <c r="J15" s="608"/>
      <c r="K15" s="610">
        <f>'9.6 ARPAC'!K31</f>
        <v>37.909147191536221</v>
      </c>
      <c r="L15" s="610">
        <f>'9.6 ARPAC'!L31</f>
        <v>27.758613865728016</v>
      </c>
      <c r="M15" s="610">
        <f>'9.6 ARPAC'!M31</f>
        <v>30.994658079423658</v>
      </c>
      <c r="N15" s="610">
        <f>'9.6 ARPAC'!N31</f>
        <v>33.616337321773372</v>
      </c>
      <c r="O15" s="610">
        <f>'9.6 ARPAC'!O31</f>
        <v>33.64290282015957</v>
      </c>
      <c r="P15" s="610">
        <f>'9.6 ARPAC'!P31</f>
        <v>32.22833665742624</v>
      </c>
      <c r="Q15" s="610">
        <f>'9.6 ARPAC'!Q31</f>
        <v>28.619322819900649</v>
      </c>
      <c r="R15" s="610">
        <f>'9.6 ARPAC'!R31</f>
        <v>30.603069331861221</v>
      </c>
      <c r="S15" s="610">
        <f>'9.6 ARPAC'!S31</f>
        <v>28.760735743563668</v>
      </c>
      <c r="T15" s="610">
        <f>'9.6 ARPAC'!T31</f>
        <v>29.637117497266114</v>
      </c>
      <c r="U15" s="610">
        <f>'9.6 ARPAC'!U31</f>
        <v>30.545065612319828</v>
      </c>
      <c r="V15" s="610">
        <f>'9.6 ARPAC'!V31</f>
        <v>30.213523142505508</v>
      </c>
      <c r="W15" s="610">
        <f>'9.6 ARPAC'!W31</f>
        <v>30.129505520395423</v>
      </c>
      <c r="X15" s="610">
        <f>'9.6 ARPAC'!X31</f>
        <v>30.36316098666606</v>
      </c>
      <c r="Y15" s="610">
        <f>'9.6 ARPAC'!Y31</f>
        <v>32.481723260924625</v>
      </c>
      <c r="Z15" s="610">
        <f>'9.6 ARPAC'!Z31</f>
        <v>33.618866356163508</v>
      </c>
      <c r="AA15" s="610">
        <f>'9.6 ARPAC'!AA31</f>
        <v>31.366563916929024</v>
      </c>
      <c r="AB15" s="610">
        <f>'9.6 ARPAC'!AB31</f>
        <v>32.257105727634944</v>
      </c>
      <c r="AC15" s="610">
        <f>'9.6 ARPAC'!AC31</f>
        <v>33.204743930606213</v>
      </c>
      <c r="AD15" s="610">
        <f>'9.6 ARPAC'!AD31</f>
        <v>35.073061856462132</v>
      </c>
      <c r="AF15" s="341">
        <f>AD15/AC15-1</f>
        <v>5.6266596416478132E-2</v>
      </c>
      <c r="AG15" s="341">
        <f>AD15/Z15-1</f>
        <v>4.3255340168007139E-2</v>
      </c>
    </row>
    <row r="16" spans="2:37" ht="13" customHeight="1">
      <c r="B16" s="689" t="str">
        <f>IF('Summary | Sumário'!D$6=Names!B$3,Names!AA35,Names!AB18)</f>
        <v>All-in cost of funding % of CDI</v>
      </c>
      <c r="C16" s="693">
        <f>'9.7 Cost of Funding'!C12</f>
        <v>0.61991347389097162</v>
      </c>
      <c r="D16" s="693">
        <f>'9.7 Cost of Funding'!D12</f>
        <v>0.62491773139706708</v>
      </c>
      <c r="E16" s="693">
        <f>'9.7 Cost of Funding'!E12</f>
        <v>0.65239919788810707</v>
      </c>
      <c r="F16" s="693">
        <f>'9.7 Cost of Funding'!F12</f>
        <v>0.57028377900702687</v>
      </c>
      <c r="G16" s="693">
        <f>'9.7 Cost of Funding'!G12</f>
        <v>0.57508774785785755</v>
      </c>
      <c r="H16" s="693">
        <f>'9.7 Cost of Funding'!H12</f>
        <v>0.62028331171498152</v>
      </c>
      <c r="I16" s="693">
        <f>'9.7 Cost of Funding'!I12</f>
        <v>0.65276998369739736</v>
      </c>
      <c r="J16" s="207"/>
      <c r="K16" s="693">
        <f>'9.7 Cost of Funding'!K12</f>
        <v>0.87481223144911713</v>
      </c>
      <c r="L16" s="693">
        <f>'9.7 Cost of Funding'!L12</f>
        <v>0.63596760618684289</v>
      </c>
      <c r="M16" s="693">
        <f>'9.7 Cost of Funding'!M12</f>
        <v>0.58101030381212626</v>
      </c>
      <c r="N16" s="693">
        <f>'9.7 Cost of Funding'!N12</f>
        <v>0.60001469460277557</v>
      </c>
      <c r="O16" s="693">
        <f>'9.7 Cost of Funding'!O12</f>
        <v>0.54888574052893768</v>
      </c>
      <c r="P16" s="693">
        <f>'9.7 Cost of Funding'!P12</f>
        <v>0.57342847772445593</v>
      </c>
      <c r="Q16" s="693">
        <f>'9.7 Cost of Funding'!Q12</f>
        <v>0.59005529184779504</v>
      </c>
      <c r="R16" s="693">
        <f>'9.7 Cost of Funding'!R12</f>
        <v>0.54834646565066081</v>
      </c>
      <c r="S16" s="693">
        <f>'9.7 Cost of Funding'!S12</f>
        <v>0.59697348816995932</v>
      </c>
      <c r="T16" s="693">
        <f>'9.7 Cost of Funding'!T12</f>
        <v>0.5862739307988849</v>
      </c>
      <c r="U16" s="693">
        <f>'9.7 Cost of Funding'!U12</f>
        <v>0.61707902823666128</v>
      </c>
      <c r="V16" s="693">
        <f>'9.7 Cost of Funding'!V12</f>
        <v>0.59171705967014232</v>
      </c>
      <c r="W16" s="693">
        <f>'9.7 Cost of Funding'!W12</f>
        <v>0.61920574215306567</v>
      </c>
      <c r="X16" s="693">
        <f>'9.7 Cost of Funding'!X12</f>
        <v>0.64262556661987569</v>
      </c>
      <c r="Y16" s="693">
        <f>'9.7 Cost of Funding'!Y12</f>
        <v>0.65381139242560993</v>
      </c>
      <c r="Z16" s="693">
        <f>'9.7 Cost of Funding'!Z12</f>
        <v>0.64151962469828561</v>
      </c>
      <c r="AA16" s="693">
        <f>'9.7 Cost of Funding'!AA12</f>
        <v>0.63796352317117477</v>
      </c>
      <c r="AB16" s="693">
        <f>'9.7 Cost of Funding'!AB12</f>
        <v>0.64839876062799318</v>
      </c>
      <c r="AC16" s="693">
        <f>'9.7 Cost of Funding'!AC12</f>
        <v>0.68201992821835933</v>
      </c>
      <c r="AD16" s="693">
        <f>'9.7 Cost of Funding'!AD12</f>
        <v>0.6557185155032148</v>
      </c>
      <c r="AE16" s="207"/>
      <c r="AF16" s="692">
        <f>(AD16-AC16)*100</f>
        <v>-2.6301412715144523</v>
      </c>
      <c r="AG16" s="692">
        <f>(AD16-Z16)*100</f>
        <v>1.4198890804929198</v>
      </c>
    </row>
    <row r="17" spans="2:33" ht="13" customHeight="1">
      <c r="B17" s="53" t="str">
        <f>IF('Summary | Sumário'!D$6=Names!B$3,Names!AF3,Names!AG3)</f>
        <v>Tier I ratio (%)</v>
      </c>
      <c r="C17" s="156">
        <v>0.39400000000000002</v>
      </c>
      <c r="D17" s="156">
        <v>0.31828739525522021</v>
      </c>
      <c r="E17" s="156">
        <f>N17</f>
        <v>0.443</v>
      </c>
      <c r="F17" s="156">
        <f>R17</f>
        <v>0.24099999999999999</v>
      </c>
      <c r="G17" s="156">
        <f>V17</f>
        <v>0.229501027251763</v>
      </c>
      <c r="H17" s="156">
        <f>Z17</f>
        <v>0.15185433284416736</v>
      </c>
      <c r="I17" s="156">
        <f>AD17</f>
        <v>0.1438176009287096</v>
      </c>
      <c r="J17" s="210"/>
      <c r="K17" s="156">
        <v>0.24099999999999999</v>
      </c>
      <c r="L17" s="156">
        <v>0.19600000000000001</v>
      </c>
      <c r="M17" s="156">
        <v>0.49740000000000001</v>
      </c>
      <c r="N17" s="156">
        <v>0.443</v>
      </c>
      <c r="O17" s="156">
        <v>0.35699999999999998</v>
      </c>
      <c r="P17" s="156">
        <v>0.32900000000000001</v>
      </c>
      <c r="Q17" s="156">
        <v>0.29799999999999999</v>
      </c>
      <c r="R17" s="156">
        <v>0.24099999999999999</v>
      </c>
      <c r="S17" s="156">
        <v>0.23</v>
      </c>
      <c r="T17" s="156">
        <f>'9.9 Capital | Basileia'!T23</f>
        <v>0.22800000000000001</v>
      </c>
      <c r="U17" s="156">
        <f>'9.9 Capital | Basileia'!U23</f>
        <v>0.2374</v>
      </c>
      <c r="V17" s="156">
        <f>'9.9 Capital | Basileia'!V23</f>
        <v>0.229501027251763</v>
      </c>
      <c r="W17" s="156">
        <f>'9.9 Capital | Basileia'!W23</f>
        <v>0.20276529979036845</v>
      </c>
      <c r="X17" s="156">
        <f>'9.9 Capital | Basileia'!X23</f>
        <v>0.19289246116070838</v>
      </c>
      <c r="Y17" s="156">
        <f>'9.9 Capital | Basileia'!Y23</f>
        <v>0.17004172684835503</v>
      </c>
      <c r="Z17" s="156">
        <f>'9.9 Capital | Basileia'!Z23</f>
        <v>0.15185433284416736</v>
      </c>
      <c r="AA17" s="156">
        <f>'9.9 Capital | Basileia'!AA23</f>
        <v>0.14699999999999999</v>
      </c>
      <c r="AB17" s="156">
        <f>'9.9 Capital | Basileia'!AB23</f>
        <v>0.15710392717377794</v>
      </c>
      <c r="AC17" s="156">
        <f>'9.9 Capital | Basileia'!AC23</f>
        <v>0.14632349535048683</v>
      </c>
      <c r="AD17" s="156">
        <f>'9.9 Capital | Basileia'!AD23</f>
        <v>0.1438176009287096</v>
      </c>
      <c r="AF17" s="363">
        <f>(AD17-AC17)*100</f>
        <v>-0.25058944217772328</v>
      </c>
      <c r="AG17" s="363">
        <f>(AD17-Z17)*100</f>
        <v>-0.80367319154577566</v>
      </c>
    </row>
    <row r="18" spans="2:33" ht="13" customHeight="1">
      <c r="B18" s="689" t="str">
        <f>IF('Summary | Sumário'!D$6=Names!B$3,Names!CN15,Names!CO15)</f>
        <v>ROE (%)</v>
      </c>
      <c r="C18" s="693">
        <f>'9.8 ROE'!C16</f>
        <v>1.2829502433309343E-2</v>
      </c>
      <c r="D18" s="693">
        <f>'9.8 ROE'!D16</f>
        <v>6.5929313072213601E-3</v>
      </c>
      <c r="E18" s="693">
        <f>'9.8 ROE'!E16</f>
        <v>-2.4499984502511288E-2</v>
      </c>
      <c r="F18" s="693">
        <f>'9.8 ROE'!F16</f>
        <v>-2.2988012896933527E-3</v>
      </c>
      <c r="G18" s="693">
        <f>'9.8 ROE'!G16</f>
        <v>4.180572271164542E-2</v>
      </c>
      <c r="H18" s="693">
        <f>'9.8 ROE'!H16</f>
        <v>0.11084900487169751</v>
      </c>
      <c r="I18" s="693">
        <f>'9.8 ROE'!I16</f>
        <v>0.1376770255325479</v>
      </c>
      <c r="J18" s="207"/>
      <c r="K18" s="693">
        <f>'9.8 ROE'!K16</f>
        <v>-1.0695727159522619E-2</v>
      </c>
      <c r="L18" s="693">
        <f>'9.8 ROE'!L16</f>
        <v>-1.623743177526633E-2</v>
      </c>
      <c r="M18" s="693">
        <f>'9.8 ROE'!M16</f>
        <v>4.6564729195060989E-3</v>
      </c>
      <c r="N18" s="693">
        <f>'9.8 ROE'!N16</f>
        <v>-8.2575321316311887E-2</v>
      </c>
      <c r="O18" s="693">
        <f>'9.8 ROE'!O16</f>
        <v>4.9651362181186423E-3</v>
      </c>
      <c r="P18" s="693">
        <f>'9.8 ROE'!P16</f>
        <v>-1.375351860968195E-2</v>
      </c>
      <c r="Q18" s="693">
        <f>'9.8 ROE'!Q16</f>
        <v>-1.7051854146924641E-2</v>
      </c>
      <c r="R18" s="693">
        <f>'9.8 ROE'!R16</f>
        <v>1.8372289052940301E-2</v>
      </c>
      <c r="S18" s="693">
        <f>'9.8 ROE'!S16</f>
        <v>6.506292220659432E-3</v>
      </c>
      <c r="T18" s="693">
        <f>'9.8 ROE'!T16</f>
        <v>2.7395160479617629E-2</v>
      </c>
      <c r="U18" s="693">
        <f>'9.8 ROE'!U16</f>
        <v>5.0491675207795732E-2</v>
      </c>
      <c r="V18" s="693">
        <f>'9.8 ROE'!V16</f>
        <v>8.194362028479428E-2</v>
      </c>
      <c r="W18" s="693">
        <f>'9.8 ROE'!W16</f>
        <v>9.2178380059035961E-2</v>
      </c>
      <c r="X18" s="693">
        <f>'9.8 ROE'!X16</f>
        <v>9.8005602972595141E-2</v>
      </c>
      <c r="Y18" s="693">
        <f>'9.8 ROE'!Y16</f>
        <v>0.1130724353464666</v>
      </c>
      <c r="Z18" s="693">
        <f>'9.8 ROE'!Z16</f>
        <v>0.12506866951180479</v>
      </c>
      <c r="AA18" s="693">
        <f>'9.8 ROE'!AA16</f>
        <v>0.12880482403335947</v>
      </c>
      <c r="AB18" s="693">
        <f>'9.8 ROE'!AB16</f>
        <v>0.13859393461213435</v>
      </c>
      <c r="AC18" s="693">
        <f>'9.8 ROE'!AC16</f>
        <v>0.1418473086925206</v>
      </c>
      <c r="AD18" s="693">
        <f>'9.8 ROE'!AD16</f>
        <v>0.15089299406672363</v>
      </c>
      <c r="AE18" s="207"/>
      <c r="AF18" s="692">
        <f>(AD18-AC18)*100</f>
        <v>0.90456853742030274</v>
      </c>
      <c r="AG18" s="692">
        <f>(AD18-Z18)*100</f>
        <v>2.582432455491884</v>
      </c>
    </row>
    <row r="21" spans="2:33" ht="13" customHeight="1">
      <c r="B21" s="102"/>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364"/>
      <c r="AG21" s="364"/>
    </row>
    <row r="22" spans="2:33" ht="13" customHeight="1">
      <c r="B22" s="102"/>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364"/>
      <c r="AG22" s="364"/>
    </row>
    <row r="23" spans="2:33" ht="13" customHeight="1">
      <c r="B23" s="102"/>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364"/>
      <c r="AG23" s="364"/>
    </row>
    <row r="24" spans="2:33" ht="13" customHeight="1">
      <c r="B24" s="102"/>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7"/>
      <c r="AG24" s="207"/>
    </row>
    <row r="25" spans="2:33" ht="13" customHeight="1">
      <c r="B25" s="102"/>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7"/>
      <c r="AG25" s="207"/>
    </row>
    <row r="26" spans="2:33" ht="13" customHeight="1">
      <c r="B26" s="102"/>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7"/>
      <c r="AG26" s="207"/>
    </row>
    <row r="27" spans="2:33" ht="13" customHeight="1">
      <c r="B27" s="102"/>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364"/>
      <c r="AG27" s="364"/>
    </row>
    <row r="28" spans="2:33" ht="13" customHeight="1">
      <c r="B28" s="396"/>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364"/>
      <c r="AG28" s="364"/>
    </row>
    <row r="29" spans="2:33" ht="13" customHeight="1">
      <c r="B29" s="102"/>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364"/>
      <c r="AG29" s="364"/>
    </row>
    <row r="30" spans="2:33" ht="13" customHeight="1">
      <c r="B30" s="396"/>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364"/>
      <c r="AG30" s="364"/>
    </row>
    <row r="31" spans="2:33" ht="13" customHeight="1">
      <c r="B31" s="27"/>
      <c r="C31" s="155"/>
      <c r="D31" s="155"/>
      <c r="E31" s="155"/>
      <c r="F31" s="155"/>
      <c r="G31" s="155"/>
      <c r="H31" s="155"/>
      <c r="I31" s="155"/>
      <c r="J31" s="342"/>
      <c r="K31" s="155"/>
      <c r="L31" s="155"/>
      <c r="M31" s="155"/>
      <c r="N31" s="155"/>
      <c r="O31" s="155"/>
      <c r="P31" s="155"/>
      <c r="Q31" s="155"/>
      <c r="R31" s="155"/>
      <c r="S31" s="155"/>
      <c r="T31" s="155"/>
      <c r="U31" s="155"/>
      <c r="V31" s="155"/>
      <c r="W31" s="155"/>
      <c r="X31" s="155"/>
      <c r="Y31" s="155"/>
      <c r="Z31" s="155"/>
      <c r="AA31" s="155"/>
      <c r="AB31" s="155"/>
      <c r="AC31" s="155"/>
      <c r="AD31" s="155"/>
      <c r="AE31" s="155"/>
      <c r="AF31" s="364"/>
      <c r="AG31" s="364"/>
    </row>
  </sheetData>
  <sheetProtection algorithmName="SHA-512" hashValue="xVS9xM7UBlYijY8RlZnjNk3ivYEzF73D+z2bJANsUGmSNVcXWprHosGutIEdj35nKvg7eNTD6bAOwtimDap5sg==" saltValue="2qlLEJX0IuriFn3zrWt1zQ=="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6E3F-39BE-F34A-A5C8-338194B15412}">
  <sheetPr codeName="Sheet13">
    <tabColor rgb="FFF7CAB0"/>
  </sheetPr>
  <dimension ref="A1:AM58"/>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ustomWidth="1"/>
    <col min="10" max="10" width="2.83203125" style="116" customWidth="1"/>
    <col min="11" max="19" width="10.83203125" style="116" customWidth="1"/>
    <col min="20" max="27" width="10.83203125" style="116"/>
    <col min="28" max="30" width="10.83203125" style="116" customWidth="1"/>
    <col min="31" max="31" width="5.83203125" style="116" customWidth="1"/>
    <col min="32" max="16384" width="10.83203125" style="116"/>
  </cols>
  <sheetData>
    <row r="1" spans="1:39"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1:39" s="10" customFormat="1" ht="13" customHeight="1">
      <c r="B2" s="267" t="str">
        <f>IF('Summary | Sumário'!D$6=Names!B$3,Names!R1,Names!S1)</f>
        <v>Asset Quality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0" t="str">
        <f>IF('Summary | Sumário'!D6=Names!B3,Names!C7,Names!D7)</f>
        <v>2Q21</v>
      </c>
      <c r="M2" s="20"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58"/>
      <c r="AI2" s="58"/>
      <c r="AJ2" s="11"/>
      <c r="AL2" s="12"/>
      <c r="AM2" s="13"/>
    </row>
    <row r="3" spans="1:39" ht="13" customHeight="1">
      <c r="B3" s="14"/>
      <c r="C3" s="126"/>
      <c r="D3" s="126"/>
      <c r="E3" s="126"/>
      <c r="F3" s="126"/>
      <c r="G3" s="126"/>
      <c r="H3" s="126"/>
      <c r="I3" s="126"/>
      <c r="J3" s="321"/>
      <c r="K3" s="127"/>
      <c r="L3" s="127"/>
      <c r="M3" s="127"/>
      <c r="N3" s="127"/>
      <c r="O3" s="127"/>
      <c r="P3" s="127"/>
      <c r="Q3" s="127"/>
      <c r="R3" s="127"/>
      <c r="S3" s="127"/>
      <c r="T3" s="127"/>
      <c r="U3" s="127"/>
      <c r="V3" s="127"/>
      <c r="W3" s="127"/>
      <c r="X3" s="127"/>
      <c r="Y3" s="127"/>
      <c r="Z3" s="127"/>
      <c r="AA3" s="127"/>
      <c r="AB3" s="120"/>
      <c r="AC3" s="120"/>
      <c r="AD3" s="120"/>
      <c r="AE3" s="120"/>
      <c r="AF3" s="120"/>
      <c r="AG3" s="120"/>
    </row>
    <row r="4" spans="1:39" s="145" customFormat="1" ht="13" customHeight="1">
      <c r="A4" s="143"/>
      <c r="B4" s="3" t="str">
        <f>IF('Summary | Sumário'!D$6=Names!B$3,Names!O2,Names!Z2)</f>
        <v>Loan portfolio</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2"/>
      <c r="AG4" s="182"/>
    </row>
    <row r="5" spans="1:39" ht="13" customHeight="1">
      <c r="A5" s="211"/>
      <c r="B5" s="695" t="str">
        <f>IF('Summary | Sumário'!D$6=Names!B$3,Names!O3,Names!Z3)</f>
        <v>Gross loans and advances to customers</v>
      </c>
      <c r="C5" s="694">
        <f>SUM(C6:C10)</f>
        <v>4777387</v>
      </c>
      <c r="D5" s="694">
        <f t="shared" ref="D5:AA5" si="0">SUM(D6:D10)</f>
        <v>8790058</v>
      </c>
      <c r="E5" s="694">
        <f>N5</f>
        <v>17216362</v>
      </c>
      <c r="F5" s="694">
        <f>R5</f>
        <v>22698328</v>
      </c>
      <c r="G5" s="694">
        <f>V5</f>
        <v>29784301</v>
      </c>
      <c r="H5" s="694">
        <f>Z5</f>
        <v>35596293</v>
      </c>
      <c r="I5" s="694">
        <f t="shared" ref="I5:I12" si="1">AD5</f>
        <v>48251180</v>
      </c>
      <c r="J5" s="179"/>
      <c r="K5" s="694">
        <f t="shared" si="0"/>
        <v>10242909.3443</v>
      </c>
      <c r="L5" s="694">
        <f t="shared" si="0"/>
        <v>12527246</v>
      </c>
      <c r="M5" s="694">
        <f t="shared" si="0"/>
        <v>14860083</v>
      </c>
      <c r="N5" s="694">
        <f t="shared" si="0"/>
        <v>17216362</v>
      </c>
      <c r="O5" s="694">
        <f t="shared" si="0"/>
        <v>18176304</v>
      </c>
      <c r="P5" s="694">
        <f t="shared" si="0"/>
        <v>19484646.399999999</v>
      </c>
      <c r="Q5" s="694">
        <f t="shared" si="0"/>
        <v>21005268</v>
      </c>
      <c r="R5" s="694">
        <f t="shared" si="0"/>
        <v>22698328</v>
      </c>
      <c r="S5" s="694">
        <f t="shared" si="0"/>
        <v>23832874</v>
      </c>
      <c r="T5" s="694">
        <f t="shared" si="0"/>
        <v>25141383</v>
      </c>
      <c r="U5" s="694">
        <f t="shared" si="0"/>
        <v>27043601</v>
      </c>
      <c r="V5" s="694">
        <f t="shared" si="0"/>
        <v>29784301</v>
      </c>
      <c r="W5" s="694">
        <f t="shared" si="0"/>
        <v>30858626.881090201</v>
      </c>
      <c r="X5" s="694">
        <f t="shared" si="0"/>
        <v>32971552</v>
      </c>
      <c r="Y5" s="694">
        <f t="shared" si="0"/>
        <v>33705888</v>
      </c>
      <c r="Z5" s="694">
        <f t="shared" si="0"/>
        <v>35596293</v>
      </c>
      <c r="AA5" s="694">
        <f t="shared" si="0"/>
        <v>37395324</v>
      </c>
      <c r="AB5" s="694">
        <f t="shared" ref="AB5:AC5" si="2">SUM(AB6:AB10)</f>
        <v>40236766</v>
      </c>
      <c r="AC5" s="694">
        <f t="shared" si="2"/>
        <v>43818120</v>
      </c>
      <c r="AD5" s="694">
        <f t="shared" ref="AD5" si="3">SUM(AD6:AD10)</f>
        <v>48251180</v>
      </c>
      <c r="AE5" s="179"/>
      <c r="AF5" s="337">
        <f t="shared" ref="AF5:AF12" si="4">AD5/AC5-1</f>
        <v>0.10116956181597936</v>
      </c>
      <c r="AG5" s="337">
        <f t="shared" ref="AG5:AG12" si="5">AD5/Z5-1</f>
        <v>0.35551137305224456</v>
      </c>
    </row>
    <row r="6" spans="1:39" ht="13" customHeight="1">
      <c r="A6" s="211"/>
      <c r="B6" s="54" t="str">
        <f>IF('Summary | Sumário'!D$6=Names!B$3,Names!O4,Names!Z4)</f>
        <v>Real estate</v>
      </c>
      <c r="C6" s="220">
        <v>2519153</v>
      </c>
      <c r="D6" s="220">
        <v>3471356</v>
      </c>
      <c r="E6" s="220">
        <f t="shared" ref="E6:E12" si="6">N6</f>
        <v>5121411</v>
      </c>
      <c r="F6" s="220">
        <f t="shared" ref="F6:F12" si="7">R6</f>
        <v>6251813</v>
      </c>
      <c r="G6" s="220">
        <f t="shared" ref="G6:G12" si="8">V6</f>
        <v>8583568</v>
      </c>
      <c r="H6" s="220">
        <f t="shared" ref="H6:H12" si="9">Z6</f>
        <v>11250187</v>
      </c>
      <c r="I6" s="220">
        <f t="shared" si="1"/>
        <v>16194722</v>
      </c>
      <c r="J6" s="220"/>
      <c r="K6" s="220">
        <v>3925594.9876600001</v>
      </c>
      <c r="L6" s="220">
        <v>4211173</v>
      </c>
      <c r="M6" s="220">
        <v>4703223</v>
      </c>
      <c r="N6" s="220">
        <v>5121411</v>
      </c>
      <c r="O6" s="220">
        <v>5350879</v>
      </c>
      <c r="P6" s="220">
        <v>5647720</v>
      </c>
      <c r="Q6" s="220">
        <v>5930070</v>
      </c>
      <c r="R6" s="220">
        <v>6251813</v>
      </c>
      <c r="S6" s="220">
        <v>6616802</v>
      </c>
      <c r="T6" s="220">
        <v>7020433</v>
      </c>
      <c r="U6" s="220">
        <v>7527810</v>
      </c>
      <c r="V6" s="220">
        <v>8583568</v>
      </c>
      <c r="W6" s="220">
        <v>9124375.4985301998</v>
      </c>
      <c r="X6" s="220">
        <v>9703768</v>
      </c>
      <c r="Y6" s="220">
        <v>10266209</v>
      </c>
      <c r="Z6" s="220">
        <v>11250187</v>
      </c>
      <c r="AA6" s="220">
        <v>12200387</v>
      </c>
      <c r="AB6" s="220">
        <v>13312029</v>
      </c>
      <c r="AC6" s="220">
        <v>14524260</v>
      </c>
      <c r="AD6" s="220">
        <v>16194722</v>
      </c>
      <c r="AE6" s="220"/>
      <c r="AF6" s="204">
        <f t="shared" si="4"/>
        <v>0.11501184914067908</v>
      </c>
      <c r="AG6" s="204">
        <f t="shared" si="5"/>
        <v>0.43950691664058561</v>
      </c>
      <c r="AH6" s="159"/>
      <c r="AI6" s="159"/>
      <c r="AJ6" s="159"/>
    </row>
    <row r="7" spans="1:39" ht="13" customHeight="1">
      <c r="A7" s="211"/>
      <c r="B7" s="59" t="str">
        <f>IF('Summary | Sumário'!D$6=Names!B$3,Names!O5,Names!Z5)</f>
        <v>Personal</v>
      </c>
      <c r="C7" s="221">
        <v>1002386</v>
      </c>
      <c r="D7" s="221">
        <v>1653554</v>
      </c>
      <c r="E7" s="221">
        <f t="shared" si="6"/>
        <v>3579283</v>
      </c>
      <c r="F7" s="221">
        <f t="shared" si="7"/>
        <v>5463781</v>
      </c>
      <c r="G7" s="221">
        <f t="shared" si="8"/>
        <v>7138744</v>
      </c>
      <c r="H7" s="221">
        <f t="shared" si="9"/>
        <v>8236791</v>
      </c>
      <c r="I7" s="221">
        <f t="shared" si="1"/>
        <v>12113979</v>
      </c>
      <c r="J7" s="220"/>
      <c r="K7" s="221">
        <v>2123654.0038399999</v>
      </c>
      <c r="L7" s="221">
        <v>2620848</v>
      </c>
      <c r="M7" s="221">
        <v>3100640</v>
      </c>
      <c r="N7" s="221">
        <v>3579283</v>
      </c>
      <c r="O7" s="221">
        <v>3936755</v>
      </c>
      <c r="P7" s="221">
        <v>4460508.5</v>
      </c>
      <c r="Q7" s="221">
        <v>5057444</v>
      </c>
      <c r="R7" s="221">
        <v>5463781</v>
      </c>
      <c r="S7" s="221">
        <v>6081266</v>
      </c>
      <c r="T7" s="221">
        <v>6500480</v>
      </c>
      <c r="U7" s="221">
        <v>6663058</v>
      </c>
      <c r="V7" s="221">
        <v>7138744</v>
      </c>
      <c r="W7" s="221">
        <v>7437794.5190500002</v>
      </c>
      <c r="X7" s="221">
        <v>7555457</v>
      </c>
      <c r="Y7" s="221">
        <v>8003536</v>
      </c>
      <c r="Z7" s="221">
        <v>8236791</v>
      </c>
      <c r="AA7" s="221">
        <v>8909592</v>
      </c>
      <c r="AB7" s="221">
        <v>9955975</v>
      </c>
      <c r="AC7" s="221">
        <v>11070559</v>
      </c>
      <c r="AD7" s="221">
        <v>12113979</v>
      </c>
      <c r="AE7" s="220"/>
      <c r="AF7" s="203">
        <f t="shared" si="4"/>
        <v>9.4251789814769005E-2</v>
      </c>
      <c r="AG7" s="203">
        <f t="shared" si="5"/>
        <v>0.47071584067144601</v>
      </c>
      <c r="AH7" s="159"/>
      <c r="AI7" s="159"/>
      <c r="AJ7" s="159"/>
    </row>
    <row r="8" spans="1:39" ht="13" customHeight="1">
      <c r="A8" s="211"/>
      <c r="B8" s="54" t="str">
        <f>IF('Summary | Sumário'!D$6=Names!B$3,Names!O6,Names!Z6)</f>
        <v>SME</v>
      </c>
      <c r="C8" s="220">
        <v>472304</v>
      </c>
      <c r="D8" s="220">
        <v>1582869</v>
      </c>
      <c r="E8" s="220">
        <f t="shared" si="6"/>
        <v>3017159</v>
      </c>
      <c r="F8" s="220">
        <f t="shared" si="7"/>
        <v>3392500</v>
      </c>
      <c r="G8" s="220">
        <f t="shared" si="8"/>
        <v>3855754</v>
      </c>
      <c r="H8" s="220">
        <f t="shared" si="9"/>
        <v>3968591</v>
      </c>
      <c r="I8" s="220">
        <f t="shared" si="1"/>
        <v>4293595</v>
      </c>
      <c r="J8" s="220"/>
      <c r="K8" s="220">
        <v>1572378.93881</v>
      </c>
      <c r="L8" s="220">
        <v>2153921</v>
      </c>
      <c r="M8" s="220">
        <v>2703302</v>
      </c>
      <c r="N8" s="220">
        <v>3017159</v>
      </c>
      <c r="O8" s="220">
        <v>2929546</v>
      </c>
      <c r="P8" s="220">
        <v>2905002.5</v>
      </c>
      <c r="Q8" s="220">
        <v>2978792</v>
      </c>
      <c r="R8" s="220">
        <v>3392500</v>
      </c>
      <c r="S8" s="220">
        <v>3110840</v>
      </c>
      <c r="T8" s="220">
        <v>3215316</v>
      </c>
      <c r="U8" s="220">
        <v>3438526</v>
      </c>
      <c r="V8" s="220">
        <v>3855754</v>
      </c>
      <c r="W8" s="220">
        <v>3376688</v>
      </c>
      <c r="X8" s="220">
        <v>4359140</v>
      </c>
      <c r="Y8" s="220">
        <v>4149476</v>
      </c>
      <c r="Z8" s="220">
        <v>3968591</v>
      </c>
      <c r="AA8" s="220">
        <v>3747963</v>
      </c>
      <c r="AB8" s="220">
        <v>3683260</v>
      </c>
      <c r="AC8" s="220">
        <v>3916890</v>
      </c>
      <c r="AD8" s="220">
        <v>4293595</v>
      </c>
      <c r="AE8" s="220"/>
      <c r="AF8" s="204">
        <f t="shared" si="4"/>
        <v>9.6174516006321431E-2</v>
      </c>
      <c r="AG8" s="204">
        <f t="shared" si="5"/>
        <v>8.1894052574326803E-2</v>
      </c>
      <c r="AH8" s="159"/>
      <c r="AI8" s="159"/>
      <c r="AJ8" s="159"/>
    </row>
    <row r="9" spans="1:39" ht="13" customHeight="1">
      <c r="A9" s="211"/>
      <c r="B9" s="59" t="str">
        <f>IF('Summary | Sumário'!D$6=Names!B$3,Names!O7,Names!Z7)</f>
        <v>Credit cards</v>
      </c>
      <c r="C9" s="221">
        <v>783544</v>
      </c>
      <c r="D9" s="221">
        <v>1904642</v>
      </c>
      <c r="E9" s="221">
        <f t="shared" si="6"/>
        <v>4798318</v>
      </c>
      <c r="F9" s="221">
        <f t="shared" si="7"/>
        <v>6870565</v>
      </c>
      <c r="G9" s="221">
        <f t="shared" si="8"/>
        <v>9461277</v>
      </c>
      <c r="H9" s="221">
        <f t="shared" si="9"/>
        <v>11799890</v>
      </c>
      <c r="I9" s="221">
        <f t="shared" si="1"/>
        <v>15262178</v>
      </c>
      <c r="J9" s="220"/>
      <c r="K9" s="221">
        <v>2404920.48868</v>
      </c>
      <c r="L9" s="221">
        <v>3116734</v>
      </c>
      <c r="M9" s="221">
        <v>3807684</v>
      </c>
      <c r="N9" s="221">
        <v>4798318</v>
      </c>
      <c r="O9" s="221">
        <v>5315930</v>
      </c>
      <c r="P9" s="221">
        <v>5981406.4000000004</v>
      </c>
      <c r="Q9" s="221">
        <v>6411572</v>
      </c>
      <c r="R9" s="221">
        <v>6870565</v>
      </c>
      <c r="S9" s="221">
        <v>7273032</v>
      </c>
      <c r="T9" s="221">
        <v>7681011</v>
      </c>
      <c r="U9" s="221">
        <v>8650139</v>
      </c>
      <c r="V9" s="221">
        <v>9461277</v>
      </c>
      <c r="W9" s="221">
        <v>10111845.135790002</v>
      </c>
      <c r="X9" s="221">
        <v>10508082</v>
      </c>
      <c r="Y9" s="221">
        <v>10769815</v>
      </c>
      <c r="Z9" s="221">
        <v>11799890</v>
      </c>
      <c r="AA9" s="221">
        <v>12251920</v>
      </c>
      <c r="AB9" s="221">
        <v>12995860</v>
      </c>
      <c r="AC9" s="221">
        <v>13967468</v>
      </c>
      <c r="AD9" s="221">
        <v>15262178</v>
      </c>
      <c r="AE9" s="220"/>
      <c r="AF9" s="203">
        <f t="shared" si="4"/>
        <v>9.2694681670292711E-2</v>
      </c>
      <c r="AG9" s="203">
        <f t="shared" si="5"/>
        <v>0.29341697253109977</v>
      </c>
      <c r="AH9" s="160"/>
      <c r="AI9" s="160"/>
      <c r="AJ9" s="160"/>
    </row>
    <row r="10" spans="1:39" ht="13" customHeight="1">
      <c r="A10" s="211"/>
      <c r="B10" s="54" t="str">
        <f>IF('Summary | Sumário'!D$6=Names!B$3,Names!O8,Names!Z8)</f>
        <v>Agribusiness</v>
      </c>
      <c r="C10" s="220">
        <v>0</v>
      </c>
      <c r="D10" s="220">
        <v>177637</v>
      </c>
      <c r="E10" s="220">
        <f t="shared" si="6"/>
        <v>700191</v>
      </c>
      <c r="F10" s="220">
        <f t="shared" si="7"/>
        <v>719669</v>
      </c>
      <c r="G10" s="220">
        <f t="shared" si="8"/>
        <v>744958</v>
      </c>
      <c r="H10" s="220">
        <f t="shared" si="9"/>
        <v>340834</v>
      </c>
      <c r="I10" s="220">
        <f t="shared" si="1"/>
        <v>386706</v>
      </c>
      <c r="J10" s="220"/>
      <c r="K10" s="220">
        <v>216360.92530999999</v>
      </c>
      <c r="L10" s="220">
        <v>424570</v>
      </c>
      <c r="M10" s="220">
        <v>545234</v>
      </c>
      <c r="N10" s="220">
        <v>700191</v>
      </c>
      <c r="O10" s="220">
        <v>643194</v>
      </c>
      <c r="P10" s="220">
        <v>490009</v>
      </c>
      <c r="Q10" s="220">
        <v>627390</v>
      </c>
      <c r="R10" s="220">
        <v>719669</v>
      </c>
      <c r="S10" s="220">
        <v>750934</v>
      </c>
      <c r="T10" s="220">
        <v>724143</v>
      </c>
      <c r="U10" s="220">
        <v>764068</v>
      </c>
      <c r="V10" s="220">
        <v>744958</v>
      </c>
      <c r="W10" s="220">
        <v>807923.72771999997</v>
      </c>
      <c r="X10" s="220">
        <v>845105</v>
      </c>
      <c r="Y10" s="220">
        <v>516852</v>
      </c>
      <c r="Z10" s="220">
        <v>340834</v>
      </c>
      <c r="AA10" s="220">
        <v>285462</v>
      </c>
      <c r="AB10" s="220">
        <v>289642</v>
      </c>
      <c r="AC10" s="220">
        <v>338943</v>
      </c>
      <c r="AD10" s="220">
        <v>386706</v>
      </c>
      <c r="AE10" s="220"/>
      <c r="AF10" s="204">
        <f t="shared" si="4"/>
        <v>0.14091749940255438</v>
      </c>
      <c r="AG10" s="204">
        <f t="shared" si="5"/>
        <v>0.13458751180926787</v>
      </c>
      <c r="AH10" s="159"/>
      <c r="AI10" s="159"/>
      <c r="AJ10" s="159"/>
    </row>
    <row r="11" spans="1:39" ht="13" customHeight="1">
      <c r="A11" s="211"/>
      <c r="B11" s="53" t="str">
        <f>IF('Summary | Sumário'!D$6=Names!B$3,Names!O9,Names!Z9)</f>
        <v>Prepayment of receivables</v>
      </c>
      <c r="C11" s="221">
        <v>0</v>
      </c>
      <c r="D11" s="221">
        <v>0</v>
      </c>
      <c r="E11" s="221">
        <f t="shared" si="6"/>
        <v>298104</v>
      </c>
      <c r="F11" s="221">
        <f t="shared" si="7"/>
        <v>1845665</v>
      </c>
      <c r="G11" s="221">
        <f t="shared" si="8"/>
        <v>1236536</v>
      </c>
      <c r="H11" s="221">
        <f t="shared" si="9"/>
        <v>5586520.30516</v>
      </c>
      <c r="I11" s="221">
        <f t="shared" si="1"/>
        <v>4313571</v>
      </c>
      <c r="J11" s="220"/>
      <c r="K11" s="221">
        <v>85776.282000000007</v>
      </c>
      <c r="L11" s="221">
        <v>71515.061000000002</v>
      </c>
      <c r="M11" s="221">
        <v>97555.932000000001</v>
      </c>
      <c r="N11" s="221">
        <v>298104</v>
      </c>
      <c r="O11" s="221">
        <v>347353.58600000001</v>
      </c>
      <c r="P11" s="221">
        <v>379917.21</v>
      </c>
      <c r="Q11" s="221">
        <v>1029786.0000000001</v>
      </c>
      <c r="R11" s="221">
        <v>1845665</v>
      </c>
      <c r="S11" s="221">
        <v>1296424</v>
      </c>
      <c r="T11" s="221">
        <v>1332977</v>
      </c>
      <c r="U11" s="221">
        <v>1215142</v>
      </c>
      <c r="V11" s="221">
        <v>1236536</v>
      </c>
      <c r="W11" s="221">
        <v>1284996.6508599999</v>
      </c>
      <c r="X11" s="221">
        <v>2702819.41658</v>
      </c>
      <c r="Y11" s="221">
        <v>4353998.8030500002</v>
      </c>
      <c r="Z11" s="221">
        <v>5586520.30516</v>
      </c>
      <c r="AA11" s="221">
        <v>5199617</v>
      </c>
      <c r="AB11" s="221">
        <v>3602880</v>
      </c>
      <c r="AC11" s="221">
        <v>2867970</v>
      </c>
      <c r="AD11" s="221">
        <v>4313571</v>
      </c>
      <c r="AE11" s="220"/>
      <c r="AF11" s="203">
        <f t="shared" si="4"/>
        <v>0.50405025157166916</v>
      </c>
      <c r="AG11" s="203">
        <f t="shared" si="5"/>
        <v>-0.2278608571393248</v>
      </c>
      <c r="AH11" s="159"/>
      <c r="AI11" s="159"/>
      <c r="AJ11" s="159"/>
    </row>
    <row r="12" spans="1:39" ht="13" customHeight="1">
      <c r="A12" s="211"/>
      <c r="B12" s="287" t="str">
        <f>IF('Summary | Sumário'!D$6=Names!B$3,Names!O10,Names!Z10)</f>
        <v>Gross loan portfolio including prepayment of receivables</v>
      </c>
      <c r="C12" s="290">
        <f>C5+C11</f>
        <v>4777387</v>
      </c>
      <c r="D12" s="290">
        <f>D5+D11</f>
        <v>8790058</v>
      </c>
      <c r="E12" s="290">
        <f t="shared" si="6"/>
        <v>17514466</v>
      </c>
      <c r="F12" s="290">
        <f t="shared" si="7"/>
        <v>24543993</v>
      </c>
      <c r="G12" s="290">
        <f t="shared" si="8"/>
        <v>31020837</v>
      </c>
      <c r="H12" s="290">
        <f t="shared" si="9"/>
        <v>41182813.305160001</v>
      </c>
      <c r="I12" s="290">
        <f t="shared" si="1"/>
        <v>52564751</v>
      </c>
      <c r="J12" s="147"/>
      <c r="K12" s="290">
        <f t="shared" ref="K12:AC12" si="10">K5+K11</f>
        <v>10328685.6263</v>
      </c>
      <c r="L12" s="290">
        <f t="shared" si="10"/>
        <v>12598761.061000001</v>
      </c>
      <c r="M12" s="290">
        <f t="shared" si="10"/>
        <v>14957638.932</v>
      </c>
      <c r="N12" s="290">
        <f t="shared" si="10"/>
        <v>17514466</v>
      </c>
      <c r="O12" s="290">
        <f t="shared" si="10"/>
        <v>18523657.585999999</v>
      </c>
      <c r="P12" s="290">
        <f t="shared" si="10"/>
        <v>19864563.609999999</v>
      </c>
      <c r="Q12" s="290">
        <f t="shared" si="10"/>
        <v>22035054</v>
      </c>
      <c r="R12" s="290">
        <f t="shared" si="10"/>
        <v>24543993</v>
      </c>
      <c r="S12" s="290">
        <f t="shared" si="10"/>
        <v>25129298</v>
      </c>
      <c r="T12" s="290">
        <f t="shared" si="10"/>
        <v>26474360</v>
      </c>
      <c r="U12" s="290">
        <f t="shared" si="10"/>
        <v>28258743</v>
      </c>
      <c r="V12" s="290">
        <f t="shared" si="10"/>
        <v>31020837</v>
      </c>
      <c r="W12" s="290">
        <f t="shared" si="10"/>
        <v>32143623.531950202</v>
      </c>
      <c r="X12" s="290">
        <f t="shared" si="10"/>
        <v>35674371.416579999</v>
      </c>
      <c r="Y12" s="290">
        <f t="shared" si="10"/>
        <v>38059886.803049996</v>
      </c>
      <c r="Z12" s="290">
        <f t="shared" si="10"/>
        <v>41182813.305160001</v>
      </c>
      <c r="AA12" s="290">
        <f t="shared" si="10"/>
        <v>42594941</v>
      </c>
      <c r="AB12" s="290">
        <f t="shared" si="10"/>
        <v>43839646</v>
      </c>
      <c r="AC12" s="290">
        <f t="shared" si="10"/>
        <v>46686090</v>
      </c>
      <c r="AD12" s="290">
        <f t="shared" ref="AD12" si="11">AD5+AD11</f>
        <v>52564751</v>
      </c>
      <c r="AE12" s="147"/>
      <c r="AF12" s="297">
        <f t="shared" si="4"/>
        <v>0.12591889789871025</v>
      </c>
      <c r="AG12" s="297">
        <f t="shared" si="5"/>
        <v>0.27637591464432321</v>
      </c>
      <c r="AJ12" s="159"/>
    </row>
    <row r="13" spans="1:39" ht="13" customHeight="1">
      <c r="A13" s="211"/>
      <c r="B13" s="53"/>
      <c r="C13" s="221"/>
      <c r="D13" s="221"/>
      <c r="E13" s="221"/>
      <c r="F13" s="221"/>
      <c r="G13" s="221"/>
      <c r="H13" s="221"/>
      <c r="I13" s="221"/>
      <c r="J13" s="220"/>
      <c r="K13" s="221"/>
      <c r="L13" s="221"/>
      <c r="M13" s="221"/>
      <c r="N13" s="221"/>
      <c r="O13" s="221"/>
      <c r="P13" s="221"/>
      <c r="Q13" s="221"/>
      <c r="R13" s="221"/>
      <c r="S13" s="221"/>
      <c r="T13" s="221"/>
      <c r="U13" s="221"/>
      <c r="V13" s="221"/>
      <c r="W13" s="221"/>
      <c r="X13" s="221"/>
      <c r="Y13" s="221"/>
      <c r="Z13" s="221"/>
      <c r="AA13" s="221"/>
      <c r="AB13" s="221"/>
      <c r="AC13" s="221"/>
      <c r="AD13" s="221"/>
      <c r="AE13" s="220"/>
      <c r="AF13" s="338"/>
      <c r="AG13" s="338"/>
    </row>
    <row r="14" spans="1:39" ht="13" customHeight="1">
      <c r="A14" s="211"/>
      <c r="B14" s="3" t="str">
        <f>IF('Summary | Sumário'!D6=Names!B3,Names!K6,Names!L6)</f>
        <v>Securities, net of provisions for expected credit losses</v>
      </c>
    </row>
    <row r="15" spans="1:39" ht="13" customHeight="1">
      <c r="A15" s="211"/>
      <c r="B15" s="288" t="str">
        <f>IF('Summary | Sumário'!D6=Names!B3,Names!V5,Names!W5)</f>
        <v>Sovereign securities</v>
      </c>
      <c r="C15" s="289">
        <f>'5. IEP'!C11</f>
        <v>1155094</v>
      </c>
      <c r="D15" s="289">
        <f>'5. IEP'!D11</f>
        <v>5812622</v>
      </c>
      <c r="E15" s="289">
        <f>N15</f>
        <v>11017596</v>
      </c>
      <c r="F15" s="289">
        <f>R15</f>
        <v>9472380</v>
      </c>
      <c r="G15" s="289">
        <f>V15</f>
        <v>14673397</v>
      </c>
      <c r="H15" s="289">
        <f>Z15</f>
        <v>21683797.085405104</v>
      </c>
      <c r="I15" s="289">
        <f>AD15</f>
        <v>26253905</v>
      </c>
      <c r="J15" s="179"/>
      <c r="K15" s="289">
        <f>'5. IEP'!K11</f>
        <v>5192563</v>
      </c>
      <c r="L15" s="289">
        <f>'5. IEP'!L11</f>
        <v>6670192</v>
      </c>
      <c r="M15" s="289">
        <f>'5. IEP'!M11</f>
        <v>11680891</v>
      </c>
      <c r="N15" s="289">
        <f>'5. IEP'!N11</f>
        <v>11017596</v>
      </c>
      <c r="O15" s="289">
        <f>'5. IEP'!O11</f>
        <v>10381954</v>
      </c>
      <c r="P15" s="289">
        <f>'5. IEP'!P11</f>
        <v>10193311</v>
      </c>
      <c r="Q15" s="289">
        <f>'5. IEP'!Q11</f>
        <v>10289474</v>
      </c>
      <c r="R15" s="289">
        <f>'5. IEP'!R11</f>
        <v>9472380</v>
      </c>
      <c r="S15" s="289">
        <f>'5. IEP'!S11</f>
        <v>9679378</v>
      </c>
      <c r="T15" s="289">
        <f>'5. IEP'!T11</f>
        <v>11599504</v>
      </c>
      <c r="U15" s="289">
        <f>'5. IEP'!U11</f>
        <v>12881004</v>
      </c>
      <c r="V15" s="289">
        <f>'5. IEP'!V11</f>
        <v>14673397</v>
      </c>
      <c r="W15" s="289">
        <f>'5. IEP'!W11</f>
        <v>15821272.2217</v>
      </c>
      <c r="X15" s="289">
        <f>'5. IEP'!X11</f>
        <v>16318997.450960001</v>
      </c>
      <c r="Y15" s="289">
        <f>'5. IEP'!Y11</f>
        <v>18635484.757983003</v>
      </c>
      <c r="Z15" s="289">
        <f>'5. IEP'!Z11</f>
        <v>21683797.085405104</v>
      </c>
      <c r="AA15" s="289">
        <f>'5. IEP'!AA11</f>
        <v>22271883</v>
      </c>
      <c r="AB15" s="289">
        <f>'5. IEP'!AB11</f>
        <v>21235954.901999999</v>
      </c>
      <c r="AC15" s="289">
        <f>'5. IEP'!AC11</f>
        <v>24461612</v>
      </c>
      <c r="AD15" s="289">
        <f>'5. IEP'!AD11</f>
        <v>26253905</v>
      </c>
      <c r="AE15" s="179"/>
      <c r="AF15" s="337">
        <f>AD15/AC15-1</f>
        <v>7.3269619352968274E-2</v>
      </c>
      <c r="AG15" s="337">
        <f>AD15/Z15-1</f>
        <v>0.21076142230047612</v>
      </c>
    </row>
    <row r="16" spans="1:39" ht="13" customHeight="1">
      <c r="A16" s="211"/>
      <c r="B16" s="51" t="str">
        <f>IF('Summary | Sumário'!D6=Names!B3,Names!V6,Names!W6)</f>
        <v>Private securities</v>
      </c>
      <c r="C16" s="551">
        <f>C17-C15</f>
        <v>0</v>
      </c>
      <c r="D16" s="551">
        <f t="shared" ref="D16:AA16" si="12">D17-D15</f>
        <v>0</v>
      </c>
      <c r="E16" s="551">
        <f t="shared" si="12"/>
        <v>1740091</v>
      </c>
      <c r="F16" s="551">
        <f t="shared" si="12"/>
        <v>2976185</v>
      </c>
      <c r="G16" s="551">
        <f t="shared" si="12"/>
        <v>2194715</v>
      </c>
      <c r="H16" s="551">
        <f t="shared" si="12"/>
        <v>2215753.9349999987</v>
      </c>
      <c r="I16" s="551">
        <f t="shared" ref="I16" si="13">I17-I15</f>
        <v>2756418</v>
      </c>
      <c r="J16" s="551"/>
      <c r="K16" s="551">
        <f t="shared" si="12"/>
        <v>1427163</v>
      </c>
      <c r="L16" s="551">
        <f t="shared" si="12"/>
        <v>1560289</v>
      </c>
      <c r="M16" s="551">
        <f t="shared" si="12"/>
        <v>1560289</v>
      </c>
      <c r="N16" s="551">
        <f t="shared" si="12"/>
        <v>1740091</v>
      </c>
      <c r="O16" s="551">
        <f t="shared" si="12"/>
        <v>1953447</v>
      </c>
      <c r="P16" s="551">
        <f t="shared" si="12"/>
        <v>2516740</v>
      </c>
      <c r="Q16" s="551">
        <f t="shared" si="12"/>
        <v>3083991</v>
      </c>
      <c r="R16" s="551">
        <f t="shared" si="12"/>
        <v>2976185</v>
      </c>
      <c r="S16" s="551">
        <f t="shared" si="12"/>
        <v>2855973</v>
      </c>
      <c r="T16" s="551">
        <f t="shared" si="12"/>
        <v>2570180</v>
      </c>
      <c r="U16" s="551">
        <f t="shared" si="12"/>
        <v>2027293</v>
      </c>
      <c r="V16" s="551">
        <f t="shared" si="12"/>
        <v>2194715</v>
      </c>
      <c r="W16" s="551">
        <f t="shared" si="12"/>
        <v>2345978.7783000004</v>
      </c>
      <c r="X16" s="551">
        <f t="shared" si="12"/>
        <v>1957428.0680400003</v>
      </c>
      <c r="Y16" s="551">
        <f t="shared" si="12"/>
        <v>1950869.943</v>
      </c>
      <c r="Z16" s="551">
        <f t="shared" si="12"/>
        <v>2215753.9349999987</v>
      </c>
      <c r="AA16" s="551">
        <f t="shared" si="12"/>
        <v>2431120</v>
      </c>
      <c r="AB16" s="551">
        <f t="shared" ref="AB16:AC16" si="14">AB17-AB15</f>
        <v>2624393.0980000012</v>
      </c>
      <c r="AC16" s="551">
        <f t="shared" si="14"/>
        <v>2616398</v>
      </c>
      <c r="AD16" s="551">
        <f t="shared" ref="AD16" si="15">AD17-AD15</f>
        <v>2756418</v>
      </c>
      <c r="AF16" s="160">
        <f>AD16/AC16-1</f>
        <v>5.3516322822445117E-2</v>
      </c>
      <c r="AG16" s="160">
        <f>AD16/Z16-1</f>
        <v>0.24400907359778734</v>
      </c>
    </row>
    <row r="17" spans="1:36" ht="13" customHeight="1">
      <c r="A17" s="211"/>
      <c r="B17" s="286" t="str">
        <f>IF('Summary | Sumário'!D6=Names!B3,Names!K6,Names!L6)</f>
        <v>Securities, net of provisions for expected credit losses</v>
      </c>
      <c r="C17" s="552">
        <f>'2. BS | BP'!C8</f>
        <v>1155094</v>
      </c>
      <c r="D17" s="552">
        <f>'2. BS | BP'!D8</f>
        <v>5812622</v>
      </c>
      <c r="E17" s="552">
        <f>'2. BS | BP'!E8</f>
        <v>12757687</v>
      </c>
      <c r="F17" s="552">
        <f>'2. BS | BP'!F8</f>
        <v>12448565</v>
      </c>
      <c r="G17" s="552">
        <f>'2. BS | BP'!G8</f>
        <v>16868112</v>
      </c>
      <c r="H17" s="552">
        <f>'2. BS | BP'!H8</f>
        <v>23899551.020405103</v>
      </c>
      <c r="I17" s="552">
        <f>'2. BS | BP'!I8</f>
        <v>29010323</v>
      </c>
      <c r="J17" s="147"/>
      <c r="K17" s="552">
        <f>'2. BS | BP'!K8</f>
        <v>6619726</v>
      </c>
      <c r="L17" s="552">
        <f>'2. BS | BP'!L8</f>
        <v>8230481</v>
      </c>
      <c r="M17" s="552">
        <f>'2. BS | BP'!M8</f>
        <v>13241180</v>
      </c>
      <c r="N17" s="552">
        <f>'2. BS | BP'!N8</f>
        <v>12757687</v>
      </c>
      <c r="O17" s="552">
        <f>'2. BS | BP'!O8</f>
        <v>12335401</v>
      </c>
      <c r="P17" s="552">
        <f>'2. BS | BP'!P8</f>
        <v>12710051</v>
      </c>
      <c r="Q17" s="552">
        <f>'2. BS | BP'!Q8</f>
        <v>13373465</v>
      </c>
      <c r="R17" s="552">
        <f>'2. BS | BP'!R8</f>
        <v>12448565</v>
      </c>
      <c r="S17" s="552">
        <f>'2. BS | BP'!S8</f>
        <v>12535351</v>
      </c>
      <c r="T17" s="552">
        <f>'2. BS | BP'!T8</f>
        <v>14169684</v>
      </c>
      <c r="U17" s="552">
        <f>'2. BS | BP'!U8</f>
        <v>14908297</v>
      </c>
      <c r="V17" s="552">
        <f>'2. BS | BP'!V8</f>
        <v>16868112</v>
      </c>
      <c r="W17" s="552">
        <f>'2. BS | BP'!W8</f>
        <v>18167251</v>
      </c>
      <c r="X17" s="552">
        <f>'2. BS | BP'!X8</f>
        <v>18276425.519000001</v>
      </c>
      <c r="Y17" s="552">
        <f>'2. BS | BP'!Y8</f>
        <v>20586354.700983003</v>
      </c>
      <c r="Z17" s="552">
        <f>'2. BS | BP'!Z8</f>
        <v>23899551.020405103</v>
      </c>
      <c r="AA17" s="552">
        <f>'2. BS | BP'!AA8</f>
        <v>24703003</v>
      </c>
      <c r="AB17" s="552">
        <f>'2. BS | BP'!AB8</f>
        <v>23860348</v>
      </c>
      <c r="AC17" s="552">
        <f>'2. BS | BP'!AC8</f>
        <v>27078010</v>
      </c>
      <c r="AD17" s="552">
        <f>'2. BS | BP'!AD8</f>
        <v>29010323</v>
      </c>
      <c r="AE17" s="147"/>
      <c r="AF17" s="296">
        <f>AD17/AC17-1</f>
        <v>7.1360967811149978E-2</v>
      </c>
      <c r="AG17" s="296">
        <f>AD17/Z17-1</f>
        <v>0.21384384900081987</v>
      </c>
      <c r="AJ17" s="159"/>
    </row>
    <row r="18" spans="1:36" ht="13" customHeight="1">
      <c r="A18" s="211"/>
      <c r="B18" s="51"/>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314"/>
      <c r="AG18" s="314"/>
    </row>
    <row r="19" spans="1:36" ht="13" customHeight="1">
      <c r="A19" s="211"/>
      <c r="B19" s="24" t="str">
        <f>IF('Summary | Sumário'!D$6=Names!B$3,Names!O20,Names!Z20)</f>
        <v>NPL  15-90 days</v>
      </c>
      <c r="C19" s="263"/>
      <c r="D19" s="263"/>
      <c r="E19" s="263"/>
      <c r="F19" s="263"/>
      <c r="G19" s="263"/>
      <c r="H19" s="263"/>
      <c r="I19" s="263"/>
      <c r="J19" s="183"/>
      <c r="K19" s="263"/>
      <c r="L19" s="263"/>
      <c r="M19" s="263"/>
      <c r="N19" s="263"/>
      <c r="O19" s="263"/>
      <c r="P19" s="263"/>
      <c r="Q19" s="263"/>
      <c r="R19" s="263"/>
      <c r="S19" s="263"/>
      <c r="T19" s="263"/>
      <c r="U19" s="263"/>
      <c r="V19" s="263"/>
      <c r="W19" s="263"/>
      <c r="X19" s="263"/>
      <c r="Y19" s="263"/>
      <c r="Z19" s="263"/>
      <c r="AA19" s="263"/>
      <c r="AB19" s="263"/>
      <c r="AC19" s="263"/>
      <c r="AD19" s="263"/>
      <c r="AE19" s="183"/>
      <c r="AF19" s="316"/>
      <c r="AG19" s="316"/>
    </row>
    <row r="20" spans="1:36" ht="13" customHeight="1">
      <c r="A20" s="211"/>
      <c r="B20" s="291" t="str">
        <f>IF('Summary | Sumário'!D$6=Names!B$3,Names!O21,Names!Z21)</f>
        <v>NPL 15-90 days</v>
      </c>
      <c r="C20" s="299">
        <v>455624.09169999999</v>
      </c>
      <c r="D20" s="299">
        <v>446506.32032</v>
      </c>
      <c r="E20" s="299">
        <f t="shared" ref="E20" si="16">N20</f>
        <v>746209.03361000016</v>
      </c>
      <c r="F20" s="299">
        <f t="shared" ref="F20" si="17">R20</f>
        <v>1016878.29273</v>
      </c>
      <c r="G20" s="299">
        <f t="shared" ref="G20" si="18">V20</f>
        <v>1243042.1070000001</v>
      </c>
      <c r="H20" s="299">
        <f>Z20</f>
        <v>1411764.5712600001</v>
      </c>
      <c r="I20" s="299">
        <f>AD20</f>
        <v>1936645.1406</v>
      </c>
      <c r="J20" s="215"/>
      <c r="K20" s="299">
        <v>596395.54700000002</v>
      </c>
      <c r="L20" s="299">
        <v>617864.61755000008</v>
      </c>
      <c r="M20" s="299">
        <v>650014.21071999997</v>
      </c>
      <c r="N20" s="299">
        <v>746209.03361000016</v>
      </c>
      <c r="O20" s="299">
        <v>835676.82806999981</v>
      </c>
      <c r="P20" s="299">
        <v>902517.78554999991</v>
      </c>
      <c r="Q20" s="299">
        <v>950615.52880999993</v>
      </c>
      <c r="R20" s="299">
        <v>1016878.29273</v>
      </c>
      <c r="S20" s="299">
        <v>1092071.4350000001</v>
      </c>
      <c r="T20" s="299">
        <v>1110989.1200000001</v>
      </c>
      <c r="U20" s="299">
        <v>1204856.051</v>
      </c>
      <c r="V20" s="299">
        <v>1243042.1070000001</v>
      </c>
      <c r="W20" s="299">
        <v>1417128.55651</v>
      </c>
      <c r="X20" s="299">
        <v>1401631.4272100001</v>
      </c>
      <c r="Y20" s="299">
        <v>1370497.84238</v>
      </c>
      <c r="Z20" s="299">
        <v>1411764.5712600001</v>
      </c>
      <c r="AA20" s="299">
        <v>1598972.9341</v>
      </c>
      <c r="AB20" s="299">
        <v>1643915.4735399999</v>
      </c>
      <c r="AC20" s="299">
        <v>1774917.2668300003</v>
      </c>
      <c r="AD20" s="299">
        <v>1936645.1406</v>
      </c>
      <c r="AE20" s="215"/>
      <c r="AF20" s="504">
        <f>AD20/AC20-1</f>
        <v>9.1118542138499459E-2</v>
      </c>
      <c r="AG20" s="504">
        <f>AD20/Z20-1</f>
        <v>0.37179043873550666</v>
      </c>
    </row>
    <row r="21" spans="1:36" ht="13" customHeight="1">
      <c r="A21" s="211"/>
      <c r="B21" s="53" t="str">
        <f>IF('Summary | Sumário'!D$6=Names!B$3,Names!O22,Names!Z22)</f>
        <v>NPL 15-90 days (%)</v>
      </c>
      <c r="C21" s="225">
        <f>C20/C12</f>
        <v>9.5370982442912824E-2</v>
      </c>
      <c r="D21" s="225">
        <f t="shared" ref="D21:AA21" si="19">D20/D12</f>
        <v>5.0796743357097301E-2</v>
      </c>
      <c r="E21" s="225">
        <f t="shared" si="19"/>
        <v>4.2605297450119241E-2</v>
      </c>
      <c r="F21" s="225">
        <f t="shared" si="19"/>
        <v>4.1430841865461747E-2</v>
      </c>
      <c r="G21" s="225">
        <f t="shared" si="19"/>
        <v>4.0071198175600488E-2</v>
      </c>
      <c r="H21" s="225">
        <f t="shared" si="19"/>
        <v>3.4280430547543803E-2</v>
      </c>
      <c r="I21" s="225">
        <f t="shared" ref="I21" si="20">I20/I12</f>
        <v>3.6843038419415323E-2</v>
      </c>
      <c r="J21" s="222"/>
      <c r="K21" s="225">
        <f t="shared" si="19"/>
        <v>5.7741669034963569E-2</v>
      </c>
      <c r="L21" s="225">
        <f t="shared" si="19"/>
        <v>4.9041696604805549E-2</v>
      </c>
      <c r="M21" s="225">
        <f t="shared" si="19"/>
        <v>4.345700639486462E-2</v>
      </c>
      <c r="N21" s="225">
        <f t="shared" si="19"/>
        <v>4.2605297450119241E-2</v>
      </c>
      <c r="O21" s="225">
        <f t="shared" si="19"/>
        <v>4.5114029137614607E-2</v>
      </c>
      <c r="P21" s="225">
        <f t="shared" si="19"/>
        <v>4.5433557125597483E-2</v>
      </c>
      <c r="Q21" s="225">
        <f t="shared" si="19"/>
        <v>4.314105737204002E-2</v>
      </c>
      <c r="R21" s="225">
        <f t="shared" si="19"/>
        <v>4.1430841865461747E-2</v>
      </c>
      <c r="S21" s="225">
        <f t="shared" si="19"/>
        <v>4.3458095606172524E-2</v>
      </c>
      <c r="T21" s="225">
        <f t="shared" si="19"/>
        <v>4.1964720582480561E-2</v>
      </c>
      <c r="U21" s="225">
        <f t="shared" si="19"/>
        <v>4.2636576262433189E-2</v>
      </c>
      <c r="V21" s="225">
        <f t="shared" si="19"/>
        <v>4.0071198175600488E-2</v>
      </c>
      <c r="W21" s="225">
        <f t="shared" si="19"/>
        <v>4.4087392795071748E-2</v>
      </c>
      <c r="X21" s="225">
        <f t="shared" si="19"/>
        <v>3.9289590020879214E-2</v>
      </c>
      <c r="Y21" s="225">
        <f t="shared" si="19"/>
        <v>3.6008983670181932E-2</v>
      </c>
      <c r="Z21" s="225">
        <f t="shared" si="19"/>
        <v>3.4280430547543803E-2</v>
      </c>
      <c r="AA21" s="225">
        <f t="shared" si="19"/>
        <v>3.7539033898415307E-2</v>
      </c>
      <c r="AB21" s="225">
        <f t="shared" ref="AB21" si="21">AB20/AB12</f>
        <v>3.7498374725471094E-2</v>
      </c>
      <c r="AC21" s="225">
        <f>AC20/AC12</f>
        <v>3.8018117748348602E-2</v>
      </c>
      <c r="AD21" s="225">
        <f>AD20/AD12</f>
        <v>3.6843038419415323E-2</v>
      </c>
      <c r="AE21" s="222"/>
      <c r="AF21" s="500">
        <f>(AD21-AC21)*100</f>
        <v>-0.11750793289332789</v>
      </c>
      <c r="AG21" s="344">
        <f>(AD21-Z21)*100</f>
        <v>0.25626078718715206</v>
      </c>
      <c r="AH21" s="335"/>
      <c r="AI21" s="335"/>
    </row>
    <row r="22" spans="1:36" ht="13" customHeight="1">
      <c r="A22" s="211"/>
      <c r="B22" s="51" t="str">
        <f>IF('Summary | Sumário'!D$6=Names!B$3,Names!O129,Names!Z129)</f>
        <v>NPL 15 - 90 days (excluding anticipation of credit card receivables, %)</v>
      </c>
      <c r="C22" s="222">
        <f t="shared" ref="C22:H22" si="22">C20/SUM(C12,-C11)</f>
        <v>9.5370982442912824E-2</v>
      </c>
      <c r="D22" s="222">
        <f t="shared" si="22"/>
        <v>5.0796743357097301E-2</v>
      </c>
      <c r="E22" s="222">
        <f t="shared" si="22"/>
        <v>4.3343014837280966E-2</v>
      </c>
      <c r="F22" s="222">
        <f t="shared" si="22"/>
        <v>4.4799700344888838E-2</v>
      </c>
      <c r="G22" s="222">
        <f t="shared" si="22"/>
        <v>4.1734808783996644E-2</v>
      </c>
      <c r="H22" s="222">
        <f t="shared" si="22"/>
        <v>3.9660437991675145E-2</v>
      </c>
      <c r="I22" s="222">
        <f t="shared" ref="I22" si="23">I20/SUM(I12,-I11)</f>
        <v>4.0136741538756154E-2</v>
      </c>
      <c r="K22" s="222">
        <f>K20/SUM(K12,-K11)</f>
        <v>5.8225209943099196E-2</v>
      </c>
      <c r="L22" s="222">
        <f t="shared" ref="L22:AB22" si="24">L20/SUM(L12,-L11)</f>
        <v>4.9321663959500765E-2</v>
      </c>
      <c r="M22" s="222">
        <f t="shared" si="24"/>
        <v>4.3742300141930562E-2</v>
      </c>
      <c r="N22" s="222">
        <f t="shared" si="24"/>
        <v>4.3343014837280966E-2</v>
      </c>
      <c r="O22" s="222">
        <f t="shared" si="24"/>
        <v>4.5976169196443886E-2</v>
      </c>
      <c r="P22" s="222">
        <f t="shared" si="24"/>
        <v>4.6319433620822595E-2</v>
      </c>
      <c r="Q22" s="222">
        <f t="shared" si="24"/>
        <v>4.5256053329574275E-2</v>
      </c>
      <c r="R22" s="222">
        <f t="shared" si="24"/>
        <v>4.4799700344888838E-2</v>
      </c>
      <c r="S22" s="222">
        <f t="shared" si="24"/>
        <v>4.5822062207017081E-2</v>
      </c>
      <c r="T22" s="222">
        <f t="shared" si="24"/>
        <v>4.4189658142513487E-2</v>
      </c>
      <c r="U22" s="222">
        <f t="shared" si="24"/>
        <v>4.4552352735865317E-2</v>
      </c>
      <c r="V22" s="222">
        <f t="shared" si="24"/>
        <v>4.1734808783996644E-2</v>
      </c>
      <c r="W22" s="222">
        <f t="shared" si="24"/>
        <v>4.5923253875511862E-2</v>
      </c>
      <c r="X22" s="222">
        <f t="shared" si="24"/>
        <v>4.2510326089897139E-2</v>
      </c>
      <c r="Y22" s="222">
        <f t="shared" si="24"/>
        <v>4.0660487638836278E-2</v>
      </c>
      <c r="Z22" s="222">
        <f t="shared" si="24"/>
        <v>3.9660437991675145E-2</v>
      </c>
      <c r="AA22" s="222">
        <f t="shared" si="24"/>
        <v>4.27586329804229E-2</v>
      </c>
      <c r="AB22" s="222">
        <f t="shared" si="24"/>
        <v>4.0856053728075457E-2</v>
      </c>
      <c r="AC22" s="222">
        <f>AC20/SUM(AC12,-AC11)</f>
        <v>4.0506467799850843E-2</v>
      </c>
      <c r="AD22" s="222">
        <f>AD20/SUM(AD12,-AD11)</f>
        <v>4.0136741538756154E-2</v>
      </c>
      <c r="AF22" s="345">
        <f>(AD22-AC22)*100</f>
        <v>-3.6972626109468831E-2</v>
      </c>
      <c r="AG22" s="345">
        <f>(AD22-Z22)*100</f>
        <v>4.763035470810098E-2</v>
      </c>
    </row>
    <row r="23" spans="1:36" ht="13" customHeight="1">
      <c r="A23" s="211"/>
      <c r="B23" s="116"/>
    </row>
    <row r="24" spans="1:36" ht="13" customHeight="1">
      <c r="A24" s="211"/>
      <c r="B24" s="24" t="str">
        <f>IF('Summary | Sumário'!D$6=Names!B$3,Names!O15,Names!Z15)</f>
        <v>NPL &gt; 90 days</v>
      </c>
      <c r="C24" s="263"/>
      <c r="D24" s="263"/>
      <c r="E24" s="263"/>
      <c r="F24" s="263"/>
      <c r="G24" s="263"/>
      <c r="H24" s="263"/>
      <c r="I24" s="263"/>
      <c r="J24" s="183"/>
      <c r="K24" s="263"/>
      <c r="L24" s="263"/>
      <c r="M24" s="263"/>
      <c r="N24" s="263"/>
      <c r="O24" s="263"/>
      <c r="P24" s="263"/>
      <c r="Q24" s="263"/>
      <c r="R24" s="263"/>
      <c r="S24" s="263"/>
      <c r="T24" s="263"/>
      <c r="U24" s="263"/>
      <c r="V24" s="263"/>
      <c r="W24" s="263"/>
      <c r="X24" s="263"/>
      <c r="Y24" s="263"/>
      <c r="Z24" s="263"/>
      <c r="AA24" s="263"/>
      <c r="AB24" s="263"/>
      <c r="AC24" s="263"/>
      <c r="AD24" s="263"/>
      <c r="AE24" s="183"/>
      <c r="AF24" s="316"/>
      <c r="AG24" s="316"/>
    </row>
    <row r="25" spans="1:36" ht="13" customHeight="1">
      <c r="A25" s="211"/>
      <c r="B25" s="291" t="str">
        <f>IF('Summary | Sumário'!D$6=Names!B$3,Names!O16,Names!Z16)</f>
        <v>NPL &gt; 90 days</v>
      </c>
      <c r="C25" s="299">
        <v>220389.40100000001</v>
      </c>
      <c r="D25" s="299">
        <v>269061.29599999997</v>
      </c>
      <c r="E25" s="299">
        <f t="shared" ref="E25" si="25">N25</f>
        <v>519936.66624999954</v>
      </c>
      <c r="F25" s="299">
        <f t="shared" ref="F25" si="26">R25</f>
        <v>999522.19583999994</v>
      </c>
      <c r="G25" s="299">
        <f t="shared" ref="G25" si="27">V25</f>
        <v>1425372.2890000001</v>
      </c>
      <c r="H25" s="299">
        <f t="shared" ref="H25" si="28">Z25</f>
        <v>1737079.07705</v>
      </c>
      <c r="I25" s="299">
        <f>AD25</f>
        <v>2265796.2354299999</v>
      </c>
      <c r="J25" s="215"/>
      <c r="K25" s="299">
        <v>284231.98275000002</v>
      </c>
      <c r="L25" s="299">
        <v>375711.22700000001</v>
      </c>
      <c r="M25" s="299">
        <v>451788.65100000001</v>
      </c>
      <c r="N25" s="299">
        <v>519936.66624999954</v>
      </c>
      <c r="O25" s="299">
        <v>635025.51165999984</v>
      </c>
      <c r="P25" s="299">
        <v>754933.16899999999</v>
      </c>
      <c r="Q25" s="299">
        <v>838860.77459000004</v>
      </c>
      <c r="R25" s="299">
        <v>999522.19583999994</v>
      </c>
      <c r="S25" s="299">
        <v>1112112.51</v>
      </c>
      <c r="T25" s="299">
        <v>1242634.2890000001</v>
      </c>
      <c r="U25" s="299">
        <v>1324578.226</v>
      </c>
      <c r="V25" s="299">
        <v>1425372.2890000001</v>
      </c>
      <c r="W25" s="299">
        <v>1552791.92823</v>
      </c>
      <c r="X25" s="299">
        <v>1663073.9831000001</v>
      </c>
      <c r="Y25" s="299">
        <v>1719621.82455</v>
      </c>
      <c r="Z25" s="299">
        <v>1737079.07705</v>
      </c>
      <c r="AA25" s="299">
        <v>1734396.1778200001</v>
      </c>
      <c r="AB25" s="299">
        <v>1841808.08179</v>
      </c>
      <c r="AC25" s="299">
        <v>1982766.0207799999</v>
      </c>
      <c r="AD25" s="299">
        <v>2265796.2354299999</v>
      </c>
      <c r="AE25" s="215"/>
      <c r="AF25" s="504">
        <f>AD25/AC25-1</f>
        <v>0.14274514071945754</v>
      </c>
      <c r="AG25" s="504">
        <f>AD25/Z25-1</f>
        <v>0.30437138145598741</v>
      </c>
    </row>
    <row r="26" spans="1:36" ht="13" customHeight="1">
      <c r="A26" s="211"/>
      <c r="B26" s="53" t="str">
        <f>IF('Summary | Sumário'!D$6=Names!B$3,Names!O17,Names!Z17)</f>
        <v>NPL &gt; 90 days (%)</v>
      </c>
      <c r="C26" s="225">
        <f>C25/C12</f>
        <v>4.613178731386007E-2</v>
      </c>
      <c r="D26" s="225">
        <f t="shared" ref="D26:AA26" si="29">D25/D12</f>
        <v>3.0609729310091011E-2</v>
      </c>
      <c r="E26" s="225">
        <f t="shared" si="29"/>
        <v>2.9686127241903896E-2</v>
      </c>
      <c r="F26" s="225">
        <f t="shared" si="29"/>
        <v>4.07236995153967E-2</v>
      </c>
      <c r="G26" s="225">
        <f t="shared" si="29"/>
        <v>4.5948866208864708E-2</v>
      </c>
      <c r="H26" s="225">
        <f t="shared" si="29"/>
        <v>4.2179708903771096E-2</v>
      </c>
      <c r="I26" s="225">
        <f t="shared" ref="I26" si="30">I25/I12</f>
        <v>4.3104860050226429E-2</v>
      </c>
      <c r="J26" s="222"/>
      <c r="K26" s="225">
        <f t="shared" si="29"/>
        <v>2.7518698219089782E-2</v>
      </c>
      <c r="L26" s="225">
        <f t="shared" si="29"/>
        <v>2.982128363105719E-2</v>
      </c>
      <c r="M26" s="225">
        <f t="shared" si="29"/>
        <v>3.0204543180505222E-2</v>
      </c>
      <c r="N26" s="225">
        <f t="shared" si="29"/>
        <v>2.9686127241903896E-2</v>
      </c>
      <c r="O26" s="225">
        <f t="shared" si="29"/>
        <v>3.428186408174301E-2</v>
      </c>
      <c r="P26" s="225">
        <f t="shared" si="29"/>
        <v>3.8004014778354349E-2</v>
      </c>
      <c r="Q26" s="225">
        <f t="shared" si="29"/>
        <v>3.8069376847907885E-2</v>
      </c>
      <c r="R26" s="225">
        <f t="shared" si="29"/>
        <v>4.07236995153967E-2</v>
      </c>
      <c r="S26" s="225">
        <f t="shared" si="29"/>
        <v>4.425561390533074E-2</v>
      </c>
      <c r="T26" s="225">
        <f t="shared" si="29"/>
        <v>4.6937273988870744E-2</v>
      </c>
      <c r="U26" s="225">
        <f t="shared" si="29"/>
        <v>4.6873218175344886E-2</v>
      </c>
      <c r="V26" s="225">
        <f t="shared" si="29"/>
        <v>4.5948866208864708E-2</v>
      </c>
      <c r="W26" s="225">
        <f t="shared" si="29"/>
        <v>4.8307930395170035E-2</v>
      </c>
      <c r="X26" s="225">
        <f t="shared" si="29"/>
        <v>4.6618172011492563E-2</v>
      </c>
      <c r="Y26" s="225">
        <f t="shared" si="29"/>
        <v>4.5182000499596732E-2</v>
      </c>
      <c r="Z26" s="225">
        <f t="shared" si="29"/>
        <v>4.2179708903771096E-2</v>
      </c>
      <c r="AA26" s="225">
        <f t="shared" si="29"/>
        <v>4.0718360845246861E-2</v>
      </c>
      <c r="AB26" s="225">
        <f t="shared" ref="AB26:AC26" si="31">AB25/AB12</f>
        <v>4.2012384903609853E-2</v>
      </c>
      <c r="AC26" s="225">
        <f t="shared" si="31"/>
        <v>4.2470166612367834E-2</v>
      </c>
      <c r="AD26" s="225">
        <f t="shared" ref="AD26" si="32">AD25/AD12</f>
        <v>4.3104860050226429E-2</v>
      </c>
      <c r="AE26" s="222"/>
      <c r="AF26" s="553">
        <f>(AD26-AC26)*100</f>
        <v>6.3469343785859528E-2</v>
      </c>
      <c r="AG26" s="553">
        <f>(AD26-Z26)*100</f>
        <v>9.2515114645533303E-2</v>
      </c>
    </row>
    <row r="27" spans="1:36" ht="13" customHeight="1">
      <c r="A27" s="211"/>
      <c r="B27" s="51" t="str">
        <f>IF('Summary | Sumário'!D$6=Names!B$3,Names!O130,Names!Z130)</f>
        <v>NPL &gt; 90 days (excluding anticipation of credit card receivables, %)</v>
      </c>
      <c r="C27" s="222">
        <f>C25/SUM(C12,-C11)</f>
        <v>4.613178731386007E-2</v>
      </c>
      <c r="D27" s="222">
        <f t="shared" ref="D27:AB27" si="33">D25/SUM(D12,-D11)</f>
        <v>3.0609729310091011E-2</v>
      </c>
      <c r="E27" s="222">
        <f t="shared" si="33"/>
        <v>3.0200147176854177E-2</v>
      </c>
      <c r="F27" s="222">
        <f t="shared" si="33"/>
        <v>4.4035058258035567E-2</v>
      </c>
      <c r="G27" s="222">
        <f t="shared" si="33"/>
        <v>4.7856496246126444E-2</v>
      </c>
      <c r="H27" s="222">
        <f t="shared" si="33"/>
        <v>4.8799437543959982E-2</v>
      </c>
      <c r="I27" s="222">
        <f t="shared" ref="I27" si="34">I25/SUM(I12,-I11)</f>
        <v>4.6958359058369141E-2</v>
      </c>
      <c r="K27" s="222">
        <f t="shared" si="33"/>
        <v>2.7749145598771716E-2</v>
      </c>
      <c r="L27" s="222">
        <f t="shared" si="33"/>
        <v>2.9991526230106761E-2</v>
      </c>
      <c r="M27" s="222">
        <f t="shared" si="33"/>
        <v>3.0402834963976985E-2</v>
      </c>
      <c r="N27" s="222">
        <f t="shared" si="33"/>
        <v>3.0200147176854177E-2</v>
      </c>
      <c r="O27" s="222">
        <f t="shared" si="33"/>
        <v>3.4936998834306461E-2</v>
      </c>
      <c r="P27" s="222">
        <f t="shared" si="33"/>
        <v>3.8745027931325456E-2</v>
      </c>
      <c r="Q27" s="222">
        <f t="shared" si="33"/>
        <v>3.9935733007072323E-2</v>
      </c>
      <c r="R27" s="222">
        <f t="shared" si="33"/>
        <v>4.4035058258035567E-2</v>
      </c>
      <c r="S27" s="222">
        <f t="shared" si="33"/>
        <v>4.6662962679196812E-2</v>
      </c>
      <c r="T27" s="222">
        <f t="shared" si="33"/>
        <v>4.9425852547570676E-2</v>
      </c>
      <c r="U27" s="222">
        <f t="shared" si="33"/>
        <v>4.897935840718845E-2</v>
      </c>
      <c r="V27" s="222">
        <f t="shared" si="33"/>
        <v>4.7856496246126444E-2</v>
      </c>
      <c r="W27" s="222">
        <f t="shared" si="33"/>
        <v>5.0319540600866214E-2</v>
      </c>
      <c r="X27" s="222">
        <f t="shared" si="33"/>
        <v>5.0439663352820033E-2</v>
      </c>
      <c r="Y27" s="222">
        <f t="shared" si="33"/>
        <v>5.1018439999266599E-2</v>
      </c>
      <c r="Z27" s="222">
        <f t="shared" si="33"/>
        <v>4.8799437543959982E-2</v>
      </c>
      <c r="AA27" s="222">
        <f t="shared" si="33"/>
        <v>4.638002809709578E-2</v>
      </c>
      <c r="AB27" s="222">
        <f t="shared" si="33"/>
        <v>4.5774257349360532E-2</v>
      </c>
      <c r="AC27" s="222">
        <f t="shared" ref="AC27:AD27" si="35">AC25/SUM(AC12,-AC11)</f>
        <v>4.5249910785309821E-2</v>
      </c>
      <c r="AD27" s="222">
        <f t="shared" si="35"/>
        <v>4.6958359058369141E-2</v>
      </c>
      <c r="AF27" s="737">
        <f>(AD27-AC27)*100</f>
        <v>0.17084482730593195</v>
      </c>
      <c r="AG27" s="737">
        <f>(AD27-Z27)*100</f>
        <v>-0.18410784855908413</v>
      </c>
    </row>
    <row r="28" spans="1:36" ht="13" customHeight="1">
      <c r="A28" s="211"/>
      <c r="B28" s="177"/>
      <c r="C28" s="177"/>
      <c r="D28" s="177"/>
      <c r="E28" s="177"/>
      <c r="F28" s="177"/>
      <c r="G28" s="177"/>
      <c r="H28" s="177"/>
      <c r="I28" s="177"/>
      <c r="K28" s="177"/>
      <c r="L28" s="177"/>
      <c r="M28" s="177"/>
      <c r="N28" s="177"/>
      <c r="O28" s="177"/>
      <c r="P28" s="177"/>
      <c r="Q28" s="177"/>
      <c r="R28" s="177"/>
      <c r="S28" s="177"/>
      <c r="T28" s="177"/>
      <c r="U28" s="177"/>
      <c r="V28" s="177"/>
      <c r="W28" s="177"/>
      <c r="X28" s="177"/>
      <c r="Y28" s="177"/>
      <c r="Z28" s="177"/>
      <c r="AA28" s="177"/>
      <c r="AB28" s="177"/>
      <c r="AC28" s="177"/>
      <c r="AD28" s="177"/>
      <c r="AF28" s="177"/>
      <c r="AG28" s="177"/>
    </row>
    <row r="29" spans="1:36" ht="13" customHeight="1">
      <c r="B29" s="3" t="str">
        <f>IF('Summary | Sumário'!D$6=Names!B$3,Names!O122,Names!Z122)</f>
        <v>Coverage Ratio</v>
      </c>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2"/>
      <c r="AG29" s="182"/>
    </row>
    <row r="30" spans="1:36" ht="13" customHeight="1">
      <c r="B30" s="288" t="str">
        <f>IF('Summary | Sumário'!D$6=Names!B$3,Names!O123,Names!Z123)</f>
        <v>Total provision</v>
      </c>
      <c r="C30" s="289">
        <f>C31+C32</f>
        <v>215563</v>
      </c>
      <c r="D30" s="289">
        <f t="shared" ref="D30:AA30" si="36">D31+D32</f>
        <v>282355</v>
      </c>
      <c r="E30" s="289">
        <f t="shared" si="36"/>
        <v>712098.27827000001</v>
      </c>
      <c r="F30" s="289">
        <f t="shared" si="36"/>
        <v>1347743</v>
      </c>
      <c r="G30" s="289">
        <f t="shared" si="36"/>
        <v>1914842</v>
      </c>
      <c r="H30" s="289">
        <f t="shared" si="36"/>
        <v>2366883</v>
      </c>
      <c r="I30" s="289">
        <f t="shared" ref="I30" si="37">I31+I32</f>
        <v>3204943</v>
      </c>
      <c r="J30" s="179"/>
      <c r="K30" s="289">
        <f t="shared" si="36"/>
        <v>334789</v>
      </c>
      <c r="L30" s="289">
        <f t="shared" si="36"/>
        <v>486763</v>
      </c>
      <c r="M30" s="289">
        <f t="shared" si="36"/>
        <v>558546</v>
      </c>
      <c r="N30" s="289">
        <f t="shared" si="36"/>
        <v>712098.27827000001</v>
      </c>
      <c r="O30" s="289">
        <f t="shared" si="36"/>
        <v>835255</v>
      </c>
      <c r="P30" s="289">
        <f t="shared" si="36"/>
        <v>1011777</v>
      </c>
      <c r="Q30" s="289">
        <f t="shared" si="36"/>
        <v>1217027</v>
      </c>
      <c r="R30" s="289">
        <f t="shared" si="36"/>
        <v>1347743</v>
      </c>
      <c r="S30" s="289">
        <f t="shared" si="36"/>
        <v>1492058</v>
      </c>
      <c r="T30" s="289">
        <f t="shared" si="36"/>
        <v>1652313</v>
      </c>
      <c r="U30" s="289">
        <f t="shared" si="36"/>
        <v>1746981</v>
      </c>
      <c r="V30" s="289">
        <f t="shared" si="36"/>
        <v>1914842</v>
      </c>
      <c r="W30" s="289">
        <f t="shared" si="36"/>
        <v>2058685.3508600041</v>
      </c>
      <c r="X30" s="289">
        <f t="shared" si="36"/>
        <v>2164911.7689999999</v>
      </c>
      <c r="Y30" s="289">
        <f t="shared" si="36"/>
        <v>2227466</v>
      </c>
      <c r="Z30" s="289">
        <f t="shared" si="36"/>
        <v>2366883</v>
      </c>
      <c r="AA30" s="289">
        <f t="shared" si="36"/>
        <v>2472301</v>
      </c>
      <c r="AB30" s="289">
        <f t="shared" ref="AB30:AC30" si="38">AB31+AB32</f>
        <v>2641078</v>
      </c>
      <c r="AC30" s="289">
        <f t="shared" si="38"/>
        <v>2901155</v>
      </c>
      <c r="AD30" s="289">
        <f t="shared" ref="AD30" si="39">AD31+AD32</f>
        <v>3204943</v>
      </c>
      <c r="AE30" s="179"/>
      <c r="AF30" s="337">
        <f>AD30/AC30-1</f>
        <v>0.10471277818661884</v>
      </c>
      <c r="AG30" s="337">
        <f>AD30/Z30-1</f>
        <v>0.35407749347982143</v>
      </c>
    </row>
    <row r="31" spans="1:36" ht="13" customHeight="1">
      <c r="B31" s="521" t="str">
        <f>IF('Summary | Sumário'!D$6=Names!B$3,Names!O124,Names!Z124)</f>
        <v>Provision for expected loss</v>
      </c>
      <c r="C31" s="546">
        <f>-'5. IEP'!C22</f>
        <v>215563</v>
      </c>
      <c r="D31" s="546">
        <f>-'5. IEP'!D22</f>
        <v>282355</v>
      </c>
      <c r="E31" s="546">
        <f>-'5. IEP'!E22</f>
        <v>680932.27827000001</v>
      </c>
      <c r="F31" s="546">
        <f>-'5. IEP'!F22</f>
        <v>1318412</v>
      </c>
      <c r="G31" s="546">
        <f>-'5. IEP'!G22</f>
        <v>1883758</v>
      </c>
      <c r="H31" s="546">
        <f>-'5. IEP'!H22</f>
        <v>2268938</v>
      </c>
      <c r="I31" s="546">
        <f>-'5. IEP'!I22</f>
        <v>3000076</v>
      </c>
      <c r="J31" s="546"/>
      <c r="K31" s="546">
        <f>-'5. IEP'!K22</f>
        <v>334789</v>
      </c>
      <c r="L31" s="546">
        <f>-'5. IEP'!L22</f>
        <v>486763</v>
      </c>
      <c r="M31" s="546">
        <f>-'5. IEP'!M22</f>
        <v>558546</v>
      </c>
      <c r="N31" s="546">
        <f>-'5. IEP'!N22</f>
        <v>680932.27827000001</v>
      </c>
      <c r="O31" s="546">
        <f>-'5. IEP'!O22</f>
        <v>801672</v>
      </c>
      <c r="P31" s="546">
        <f>-'5. IEP'!P22</f>
        <v>974457</v>
      </c>
      <c r="Q31" s="546">
        <f>-'5. IEP'!Q22</f>
        <v>1184365</v>
      </c>
      <c r="R31" s="546">
        <f>-'5. IEP'!R22</f>
        <v>1318412</v>
      </c>
      <c r="S31" s="546">
        <f>-'5. IEP'!S22</f>
        <v>1461707</v>
      </c>
      <c r="T31" s="546">
        <f>-'5. IEP'!T22</f>
        <v>1617401</v>
      </c>
      <c r="U31" s="546">
        <f>-'5. IEP'!U22-U32</f>
        <v>1719103.01</v>
      </c>
      <c r="V31" s="546">
        <f>-'5. IEP'!V22</f>
        <v>1883758</v>
      </c>
      <c r="W31" s="546">
        <f>-'5. IEP'!W22</f>
        <v>2031628</v>
      </c>
      <c r="X31" s="546">
        <f>-'5. IEP'!X22</f>
        <v>2164911.7689999999</v>
      </c>
      <c r="Y31" s="546">
        <f>-'5. IEP'!Y22</f>
        <v>2227466</v>
      </c>
      <c r="Z31" s="546">
        <f>-'5. IEP'!Z22</f>
        <v>2268938</v>
      </c>
      <c r="AA31" s="546">
        <f>-'5. IEP'!AA22</f>
        <v>2307044</v>
      </c>
      <c r="AB31" s="546">
        <f>-'5. IEP'!AB22</f>
        <v>2457260</v>
      </c>
      <c r="AC31" s="546">
        <f>-'5. IEP'!AC22</f>
        <v>2704536</v>
      </c>
      <c r="AD31" s="546">
        <f>-'5. IEP'!AD22</f>
        <v>3000076</v>
      </c>
      <c r="AE31" s="228"/>
      <c r="AF31" s="222">
        <f>AD31/AC31-1</f>
        <v>0.10927567612337197</v>
      </c>
      <c r="AG31" s="222">
        <f>AD31/Z31-1</f>
        <v>0.32223798094086309</v>
      </c>
    </row>
    <row r="32" spans="1:36" ht="13" customHeight="1">
      <c r="B32" s="522" t="str">
        <f>IF('Summary | Sumário'!D$6=Names!B$3,Names!O125,Names!Z125)</f>
        <v>Provision for expected credit losses on loan commitments</v>
      </c>
      <c r="C32" s="214">
        <v>0</v>
      </c>
      <c r="D32" s="214">
        <v>0</v>
      </c>
      <c r="E32" s="214">
        <f t="shared" ref="E32:E34" si="40">N32</f>
        <v>31166</v>
      </c>
      <c r="F32" s="214">
        <f t="shared" ref="F32:F34" si="41">R32</f>
        <v>29331</v>
      </c>
      <c r="G32" s="214">
        <f t="shared" ref="G32:G34" si="42">V32</f>
        <v>31084</v>
      </c>
      <c r="H32" s="214">
        <f t="shared" ref="H32:H34" si="43">Z32</f>
        <v>97945</v>
      </c>
      <c r="I32" s="214">
        <f>AD32</f>
        <v>204867</v>
      </c>
      <c r="J32" s="228"/>
      <c r="K32" s="214">
        <v>0</v>
      </c>
      <c r="L32" s="214">
        <v>0</v>
      </c>
      <c r="M32" s="214">
        <v>0</v>
      </c>
      <c r="N32" s="214">
        <v>31166</v>
      </c>
      <c r="O32" s="214">
        <v>33583</v>
      </c>
      <c r="P32" s="214">
        <v>37320</v>
      </c>
      <c r="Q32" s="214">
        <v>32662</v>
      </c>
      <c r="R32" s="214">
        <v>29331</v>
      </c>
      <c r="S32" s="214">
        <v>30351</v>
      </c>
      <c r="T32" s="214">
        <v>34912</v>
      </c>
      <c r="U32" s="214">
        <v>27877.99</v>
      </c>
      <c r="V32" s="214">
        <v>31084</v>
      </c>
      <c r="W32" s="214">
        <v>27057.350860004004</v>
      </c>
      <c r="X32" s="214">
        <v>0</v>
      </c>
      <c r="Y32" s="214">
        <v>0</v>
      </c>
      <c r="Z32" s="214">
        <v>97945</v>
      </c>
      <c r="AA32" s="214">
        <v>165257</v>
      </c>
      <c r="AB32" s="214">
        <v>183818</v>
      </c>
      <c r="AC32" s="214">
        <v>196619</v>
      </c>
      <c r="AD32" s="214">
        <v>204867</v>
      </c>
      <c r="AE32" s="228"/>
      <c r="AF32" s="523">
        <f>AD32/AC32-1</f>
        <v>4.1949150387297296E-2</v>
      </c>
      <c r="AG32" s="523" t="s">
        <v>1125</v>
      </c>
    </row>
    <row r="33" spans="2:33" ht="13" customHeight="1">
      <c r="B33" s="675" t="str">
        <f>IF('Summary | Sumário'!D$6=Names!B$3,Names!O127,Names!Z127)</f>
        <v>(÷) NPL &gt; 90 days</v>
      </c>
      <c r="C33" s="215">
        <f>C25</f>
        <v>220389.40100000001</v>
      </c>
      <c r="D33" s="215">
        <f>D25</f>
        <v>269061.29599999997</v>
      </c>
      <c r="E33" s="215">
        <f t="shared" si="40"/>
        <v>519936.66624999954</v>
      </c>
      <c r="F33" s="215">
        <f t="shared" si="41"/>
        <v>999522.19583999994</v>
      </c>
      <c r="G33" s="215">
        <f t="shared" si="42"/>
        <v>1425372.2890000001</v>
      </c>
      <c r="H33" s="215">
        <f t="shared" si="43"/>
        <v>1737079.07705</v>
      </c>
      <c r="I33" s="215">
        <f>AD33</f>
        <v>2265796.2354299999</v>
      </c>
      <c r="J33" s="215"/>
      <c r="K33" s="215">
        <f t="shared" ref="K33:AA33" si="44">K25</f>
        <v>284231.98275000002</v>
      </c>
      <c r="L33" s="215">
        <f t="shared" si="44"/>
        <v>375711.22700000001</v>
      </c>
      <c r="M33" s="215">
        <f t="shared" si="44"/>
        <v>451788.65100000001</v>
      </c>
      <c r="N33" s="215">
        <f t="shared" si="44"/>
        <v>519936.66624999954</v>
      </c>
      <c r="O33" s="215">
        <f t="shared" si="44"/>
        <v>635025.51165999984</v>
      </c>
      <c r="P33" s="215">
        <f t="shared" si="44"/>
        <v>754933.16899999999</v>
      </c>
      <c r="Q33" s="215">
        <f t="shared" si="44"/>
        <v>838860.77459000004</v>
      </c>
      <c r="R33" s="215">
        <f t="shared" si="44"/>
        <v>999522.19583999994</v>
      </c>
      <c r="S33" s="215">
        <f t="shared" si="44"/>
        <v>1112112.51</v>
      </c>
      <c r="T33" s="215">
        <f t="shared" si="44"/>
        <v>1242634.2890000001</v>
      </c>
      <c r="U33" s="215">
        <f t="shared" si="44"/>
        <v>1324578.226</v>
      </c>
      <c r="V33" s="215">
        <f t="shared" si="44"/>
        <v>1425372.2890000001</v>
      </c>
      <c r="W33" s="215">
        <f t="shared" si="44"/>
        <v>1552791.92823</v>
      </c>
      <c r="X33" s="215">
        <f t="shared" si="44"/>
        <v>1663073.9831000001</v>
      </c>
      <c r="Y33" s="215">
        <f t="shared" si="44"/>
        <v>1719621.82455</v>
      </c>
      <c r="Z33" s="215">
        <f t="shared" si="44"/>
        <v>1737079.07705</v>
      </c>
      <c r="AA33" s="215">
        <f t="shared" si="44"/>
        <v>1734396.1778200001</v>
      </c>
      <c r="AB33" s="215">
        <f t="shared" ref="AB33:AC33" si="45">AB25</f>
        <v>1841808.08179</v>
      </c>
      <c r="AC33" s="215">
        <f t="shared" si="45"/>
        <v>1982766.0207799999</v>
      </c>
      <c r="AD33" s="215">
        <f t="shared" ref="AD33" si="46">AD25</f>
        <v>2265796.2354299999</v>
      </c>
      <c r="AE33" s="215"/>
      <c r="AF33" s="228">
        <f>AD33/AC33-1</f>
        <v>0.14274514071945754</v>
      </c>
      <c r="AG33" s="228">
        <f>AD33/Z33-1</f>
        <v>0.30437138145598741</v>
      </c>
    </row>
    <row r="34" spans="2:33" ht="13" customHeight="1">
      <c r="B34" s="286" t="str">
        <f>IF('Summary | Sumário'!D$6=Names!B$3,Names!O126,Names!Z126)</f>
        <v>Coverage ratio (%)</v>
      </c>
      <c r="C34" s="296">
        <f t="shared" ref="C34:D34" si="47">L34</f>
        <v>1.2955774675319989</v>
      </c>
      <c r="D34" s="296">
        <f t="shared" si="47"/>
        <v>1.2362993155399116</v>
      </c>
      <c r="E34" s="296">
        <f t="shared" si="40"/>
        <v>1.3695865756226624</v>
      </c>
      <c r="F34" s="296">
        <f t="shared" si="41"/>
        <v>1.3483872650445294</v>
      </c>
      <c r="G34" s="296">
        <f t="shared" si="42"/>
        <v>1.343397801947867</v>
      </c>
      <c r="H34" s="296">
        <f t="shared" si="43"/>
        <v>1.3625649121395018</v>
      </c>
      <c r="I34" s="296">
        <f>AD34</f>
        <v>1.4144886243011037</v>
      </c>
      <c r="J34" s="147"/>
      <c r="K34" s="296">
        <f t="shared" ref="K34:Y34" si="48">K30/K33</f>
        <v>1.1778723729850911</v>
      </c>
      <c r="L34" s="296">
        <f t="shared" si="48"/>
        <v>1.2955774675319989</v>
      </c>
      <c r="M34" s="296">
        <f t="shared" si="48"/>
        <v>1.2362993155399116</v>
      </c>
      <c r="N34" s="296">
        <f t="shared" si="48"/>
        <v>1.3695865756226624</v>
      </c>
      <c r="O34" s="296">
        <f t="shared" si="48"/>
        <v>1.3153093610626549</v>
      </c>
      <c r="P34" s="296">
        <f t="shared" si="48"/>
        <v>1.3402206202440683</v>
      </c>
      <c r="Q34" s="296">
        <f t="shared" si="48"/>
        <v>1.4508092842877671</v>
      </c>
      <c r="R34" s="296">
        <f t="shared" si="48"/>
        <v>1.3483872650445294</v>
      </c>
      <c r="S34" s="296">
        <f t="shared" si="48"/>
        <v>1.3416430321424944</v>
      </c>
      <c r="T34" s="296">
        <f t="shared" si="48"/>
        <v>1.3296856642590198</v>
      </c>
      <c r="U34" s="296">
        <f t="shared" si="48"/>
        <v>1.3188960574080884</v>
      </c>
      <c r="V34" s="296">
        <f t="shared" si="48"/>
        <v>1.343397801947867</v>
      </c>
      <c r="W34" s="296">
        <f t="shared" si="48"/>
        <v>1.325796015185797</v>
      </c>
      <c r="X34" s="296">
        <f t="shared" si="48"/>
        <v>1.3017531336546826</v>
      </c>
      <c r="Y34" s="296">
        <f t="shared" si="48"/>
        <v>1.2953231740838689</v>
      </c>
      <c r="Z34" s="296">
        <f>Z30/Z33</f>
        <v>1.3625649121395018</v>
      </c>
      <c r="AA34" s="296">
        <f>AA30/AA33</f>
        <v>1.4254534411552315</v>
      </c>
      <c r="AB34" s="296">
        <f>AB30/AB33</f>
        <v>1.4339593935505011</v>
      </c>
      <c r="AC34" s="296">
        <f>AC30/AC33</f>
        <v>1.4631857564609239</v>
      </c>
      <c r="AD34" s="296">
        <f>AD30/AD33</f>
        <v>1.4144886243011037</v>
      </c>
      <c r="AE34" s="147"/>
      <c r="AF34" s="556">
        <f>(AD34-AC34)*100</f>
        <v>-4.8697132159820189</v>
      </c>
      <c r="AG34" s="556">
        <f>(AD34-Z34)*100</f>
        <v>5.1923712161601854</v>
      </c>
    </row>
    <row r="35" spans="2:33" ht="13" customHeight="1">
      <c r="B35" s="116"/>
    </row>
    <row r="36" spans="2:33" ht="13" customHeight="1">
      <c r="B36" s="24" t="str">
        <f>IF('Summary | Sumário'!D$6=Names!B$3,Names!R4,Names!S4)</f>
        <v>All-in Cost of Risk (%)</v>
      </c>
      <c r="C36" s="263"/>
      <c r="D36" s="263"/>
      <c r="E36" s="263"/>
      <c r="F36" s="263"/>
      <c r="G36" s="263"/>
      <c r="H36" s="263"/>
      <c r="I36" s="263"/>
      <c r="J36" s="183"/>
      <c r="K36" s="263"/>
      <c r="L36" s="263"/>
      <c r="M36" s="263"/>
      <c r="N36" s="263"/>
      <c r="O36" s="263"/>
      <c r="P36" s="263"/>
      <c r="Q36" s="263"/>
      <c r="R36" s="263"/>
      <c r="S36" s="263"/>
      <c r="T36" s="263"/>
      <c r="U36" s="263"/>
      <c r="V36" s="263"/>
      <c r="W36" s="263"/>
      <c r="X36" s="263"/>
      <c r="Y36" s="263"/>
      <c r="Z36" s="263"/>
      <c r="AA36" s="263"/>
      <c r="AB36" s="263"/>
      <c r="AC36" s="263"/>
      <c r="AD36" s="263"/>
      <c r="AE36" s="183"/>
      <c r="AF36" s="316"/>
      <c r="AG36" s="316"/>
    </row>
    <row r="37" spans="2:33" ht="13" customHeight="1">
      <c r="B37" s="291" t="str">
        <f>IF('Summary | Sumário'!D$6=Names!B$3,Names!AL12,Names!AM12)</f>
        <v>Anuallized impairment losses on financial assets</v>
      </c>
      <c r="C37" s="292">
        <f>C38</f>
        <v>138570</v>
      </c>
      <c r="D37" s="292">
        <f t="shared" ref="D37:I37" si="49">D38</f>
        <v>213688</v>
      </c>
      <c r="E37" s="292">
        <f t="shared" si="49"/>
        <v>595581</v>
      </c>
      <c r="F37" s="292">
        <f t="shared" si="49"/>
        <v>1083237</v>
      </c>
      <c r="G37" s="292">
        <f t="shared" si="49"/>
        <v>1541584</v>
      </c>
      <c r="H37" s="292">
        <f t="shared" si="49"/>
        <v>1799452.3359999999</v>
      </c>
      <c r="I37" s="292">
        <f t="shared" si="49"/>
        <v>2416353</v>
      </c>
      <c r="J37" s="179"/>
      <c r="K37" s="292">
        <f>K38*4</f>
        <v>426676</v>
      </c>
      <c r="L37" s="292">
        <f t="shared" ref="L37:AD37" si="50">L38*4</f>
        <v>669764</v>
      </c>
      <c r="M37" s="292">
        <f t="shared" si="50"/>
        <v>552020</v>
      </c>
      <c r="N37" s="292">
        <f t="shared" si="50"/>
        <v>733864</v>
      </c>
      <c r="O37" s="292">
        <f t="shared" si="50"/>
        <v>1251784</v>
      </c>
      <c r="P37" s="292">
        <f t="shared" si="50"/>
        <v>969856</v>
      </c>
      <c r="Q37" s="292">
        <f t="shared" si="50"/>
        <v>1052452</v>
      </c>
      <c r="R37" s="292">
        <f t="shared" si="50"/>
        <v>1058856</v>
      </c>
      <c r="S37" s="292">
        <f t="shared" si="50"/>
        <v>1402724</v>
      </c>
      <c r="T37" s="292">
        <f t="shared" si="50"/>
        <v>1594240</v>
      </c>
      <c r="U37" s="292">
        <f t="shared" si="50"/>
        <v>1631596</v>
      </c>
      <c r="V37" s="292">
        <f t="shared" si="50"/>
        <v>1537776</v>
      </c>
      <c r="W37" s="292">
        <f t="shared" si="50"/>
        <v>1644192</v>
      </c>
      <c r="X37" s="292">
        <f t="shared" si="50"/>
        <v>1684990.6440000001</v>
      </c>
      <c r="Y37" s="292">
        <f t="shared" si="50"/>
        <v>1885706.6</v>
      </c>
      <c r="Z37" s="292">
        <f t="shared" si="50"/>
        <v>1982920.0999999987</v>
      </c>
      <c r="AA37" s="292">
        <f t="shared" si="50"/>
        <v>2054725.6</v>
      </c>
      <c r="AB37" s="292">
        <f t="shared" si="50"/>
        <v>2276996</v>
      </c>
      <c r="AC37" s="292">
        <f t="shared" si="50"/>
        <v>2563184</v>
      </c>
      <c r="AD37" s="292">
        <f t="shared" si="50"/>
        <v>2770506.4000000004</v>
      </c>
      <c r="AE37" s="179"/>
      <c r="AF37" s="339">
        <f t="shared" ref="AF37:AF42" si="51">AD37/AC37-1</f>
        <v>8.0884712139276838E-2</v>
      </c>
      <c r="AG37" s="339">
        <f t="shared" ref="AG37:AG42" si="52">AD37/Z37-1</f>
        <v>0.39718509081631792</v>
      </c>
    </row>
    <row r="38" spans="2:33" ht="13" customHeight="1">
      <c r="B38" s="59" t="str">
        <f>IF('Summary | Sumário'!D$6=Names!B$3,Names!AL13,Names!AM13)</f>
        <v>Impairment losses on financial assets</v>
      </c>
      <c r="C38" s="221">
        <f>-'3. IS | DRE'!C14</f>
        <v>138570</v>
      </c>
      <c r="D38" s="221">
        <f>-'3. IS | DRE'!D14</f>
        <v>213688</v>
      </c>
      <c r="E38" s="221">
        <f>-'3. IS | DRE'!E14</f>
        <v>595581</v>
      </c>
      <c r="F38" s="221">
        <f>-'3. IS | DRE'!F14</f>
        <v>1083237</v>
      </c>
      <c r="G38" s="221">
        <f>-'3. IS | DRE'!G14</f>
        <v>1541584</v>
      </c>
      <c r="H38" s="221">
        <f>-'3. IS | DRE'!H14</f>
        <v>1799452.3359999999</v>
      </c>
      <c r="I38" s="221">
        <f>-'3. IS | DRE'!I14</f>
        <v>2416353</v>
      </c>
      <c r="J38" s="220"/>
      <c r="K38" s="221">
        <f>-'3. IS | DRE'!K14</f>
        <v>106669</v>
      </c>
      <c r="L38" s="221">
        <f>-'3. IS | DRE'!L14</f>
        <v>167441</v>
      </c>
      <c r="M38" s="221">
        <f>-'3. IS | DRE'!M14</f>
        <v>138005</v>
      </c>
      <c r="N38" s="221">
        <f>-'3. IS | DRE'!N14</f>
        <v>183466</v>
      </c>
      <c r="O38" s="221">
        <f>-'3. IS | DRE'!O14</f>
        <v>312946</v>
      </c>
      <c r="P38" s="221">
        <f>-'3. IS | DRE'!P14</f>
        <v>242464</v>
      </c>
      <c r="Q38" s="221">
        <f>-'3. IS | DRE'!Q14</f>
        <v>263113</v>
      </c>
      <c r="R38" s="221">
        <f>-'3. IS | DRE'!R14</f>
        <v>264714</v>
      </c>
      <c r="S38" s="221">
        <f>-'3. IS | DRE'!S14</f>
        <v>350681</v>
      </c>
      <c r="T38" s="221">
        <f>-'3. IS | DRE'!T14</f>
        <v>398560</v>
      </c>
      <c r="U38" s="221">
        <f>-'3. IS | DRE'!U14</f>
        <v>407899</v>
      </c>
      <c r="V38" s="221">
        <f>-'3. IS | DRE'!V14</f>
        <v>384444</v>
      </c>
      <c r="W38" s="221">
        <f>-'3. IS | DRE'!W14</f>
        <v>411048</v>
      </c>
      <c r="X38" s="221">
        <f>-'3. IS | DRE'!X14</f>
        <v>421247.66100000002</v>
      </c>
      <c r="Y38" s="221">
        <f>-'3. IS | DRE'!Y14</f>
        <v>471426.65</v>
      </c>
      <c r="Z38" s="221">
        <f>-'3. IS | DRE'!Z14</f>
        <v>495730.02499999967</v>
      </c>
      <c r="AA38" s="221">
        <f>-'3. IS | DRE'!AA14</f>
        <v>513681.4</v>
      </c>
      <c r="AB38" s="221">
        <f>-'3. IS | DRE'!AB14</f>
        <v>569249</v>
      </c>
      <c r="AC38" s="221">
        <f>-'3. IS | DRE'!AC14</f>
        <v>640796</v>
      </c>
      <c r="AD38" s="221">
        <f>-'3. IS | DRE'!AD14</f>
        <v>692626.60000000009</v>
      </c>
      <c r="AF38" s="233">
        <f t="shared" si="51"/>
        <v>8.0884712139276838E-2</v>
      </c>
      <c r="AG38" s="233">
        <f t="shared" si="52"/>
        <v>0.39718509081631792</v>
      </c>
    </row>
    <row r="39" spans="2:33" ht="13" customHeight="1">
      <c r="B39" s="116" t="str">
        <f>IF('Summary | Sumário'!D$6=Names!B$3,Names!R2,Names!S2)</f>
        <v>Average portfolio that generates provision expenses</v>
      </c>
      <c r="C39" s="551">
        <f>C40</f>
        <v>4777387</v>
      </c>
      <c r="D39" s="551">
        <f t="shared" ref="D39:G39" si="53">AVERAGE(C40:D40)</f>
        <v>6783722.5</v>
      </c>
      <c r="E39" s="551">
        <f t="shared" si="53"/>
        <v>14022307.5</v>
      </c>
      <c r="F39" s="551">
        <f t="shared" si="53"/>
        <v>23387367.5</v>
      </c>
      <c r="G39" s="551">
        <f t="shared" si="53"/>
        <v>30367865</v>
      </c>
      <c r="H39" s="551">
        <f>AVERAGE(G40:H40)</f>
        <v>38307059.620080002</v>
      </c>
      <c r="I39" s="551">
        <f>AVERAGE(H40:I40)</f>
        <v>49359868.120080002</v>
      </c>
      <c r="K39" s="551">
        <f>K40</f>
        <v>11755848.6263</v>
      </c>
      <c r="L39" s="551">
        <f>AVERAGE(K40:L40)</f>
        <v>12957449.34365</v>
      </c>
      <c r="M39" s="551">
        <f t="shared" ref="M39:AD39" si="54">AVERAGE(L40:M40)</f>
        <v>15338488.9965</v>
      </c>
      <c r="N39" s="551">
        <f t="shared" si="54"/>
        <v>17886242.465999998</v>
      </c>
      <c r="O39" s="551">
        <f t="shared" si="54"/>
        <v>19865830.792999998</v>
      </c>
      <c r="P39" s="551">
        <f t="shared" si="54"/>
        <v>21429204.097999997</v>
      </c>
      <c r="Q39" s="551">
        <f t="shared" si="54"/>
        <v>23750174.305</v>
      </c>
      <c r="R39" s="551">
        <f t="shared" si="54"/>
        <v>26319611.5</v>
      </c>
      <c r="S39" s="551">
        <f t="shared" si="54"/>
        <v>27752724.5</v>
      </c>
      <c r="T39" s="551">
        <f t="shared" si="54"/>
        <v>28514905.5</v>
      </c>
      <c r="U39" s="551">
        <f t="shared" si="54"/>
        <v>29665288</v>
      </c>
      <c r="V39" s="551">
        <f t="shared" si="54"/>
        <v>31750794</v>
      </c>
      <c r="W39" s="551">
        <f t="shared" si="54"/>
        <v>33852577.155125096</v>
      </c>
      <c r="X39" s="551">
        <f t="shared" si="54"/>
        <v>36060700.897435099</v>
      </c>
      <c r="Y39" s="551">
        <f t="shared" si="54"/>
        <v>38821278.115335003</v>
      </c>
      <c r="Z39" s="551">
        <f t="shared" si="54"/>
        <v>41704661.993105002</v>
      </c>
      <c r="AA39" s="551">
        <f t="shared" si="54"/>
        <v>44212314.120080002</v>
      </c>
      <c r="AB39" s="551">
        <f t="shared" si="54"/>
        <v>45745050.049000002</v>
      </c>
      <c r="AC39" s="551">
        <f t="shared" si="54"/>
        <v>47883263.549000002</v>
      </c>
      <c r="AD39" s="551">
        <f t="shared" si="54"/>
        <v>52311828.5</v>
      </c>
      <c r="AF39" s="160">
        <f t="shared" si="51"/>
        <v>9.2486698331832651E-2</v>
      </c>
      <c r="AG39" s="160">
        <f t="shared" si="52"/>
        <v>0.25434006655295938</v>
      </c>
    </row>
    <row r="40" spans="2:33" ht="13" customHeight="1">
      <c r="B40" s="59" t="str">
        <f>IF('Summary | Sumário'!D$6=Names!B$3,Names!R3,Names!S3)</f>
        <v>Portfolio that generates provision expenses</v>
      </c>
      <c r="C40" s="554">
        <f>C41+C42</f>
        <v>4777387</v>
      </c>
      <c r="D40" s="554">
        <f t="shared" ref="D40:AA40" si="55">D41+D42</f>
        <v>8790058</v>
      </c>
      <c r="E40" s="554">
        <f t="shared" si="55"/>
        <v>19254557</v>
      </c>
      <c r="F40" s="554">
        <f t="shared" si="55"/>
        <v>27520178</v>
      </c>
      <c r="G40" s="554">
        <f t="shared" si="55"/>
        <v>33215552</v>
      </c>
      <c r="H40" s="554">
        <f t="shared" si="55"/>
        <v>43398567.240160003</v>
      </c>
      <c r="I40" s="554">
        <f t="shared" ref="I40" si="56">I41+I42</f>
        <v>55321169</v>
      </c>
      <c r="J40" s="551"/>
      <c r="K40" s="554">
        <f t="shared" si="55"/>
        <v>11755848.6263</v>
      </c>
      <c r="L40" s="554">
        <f t="shared" si="55"/>
        <v>14159050.061000001</v>
      </c>
      <c r="M40" s="554">
        <f t="shared" si="55"/>
        <v>16517927.932</v>
      </c>
      <c r="N40" s="554">
        <f t="shared" si="55"/>
        <v>19254557</v>
      </c>
      <c r="O40" s="554">
        <f t="shared" si="55"/>
        <v>20477104.585999999</v>
      </c>
      <c r="P40" s="554">
        <f t="shared" si="55"/>
        <v>22381303.609999999</v>
      </c>
      <c r="Q40" s="554">
        <f t="shared" si="55"/>
        <v>25119045</v>
      </c>
      <c r="R40" s="554">
        <f t="shared" si="55"/>
        <v>27520178</v>
      </c>
      <c r="S40" s="554">
        <f t="shared" si="55"/>
        <v>27985271</v>
      </c>
      <c r="T40" s="554">
        <f t="shared" si="55"/>
        <v>29044540</v>
      </c>
      <c r="U40" s="554">
        <f t="shared" si="55"/>
        <v>30286036</v>
      </c>
      <c r="V40" s="554">
        <f t="shared" si="55"/>
        <v>33215552</v>
      </c>
      <c r="W40" s="554">
        <f t="shared" si="55"/>
        <v>34489602.3102502</v>
      </c>
      <c r="X40" s="554">
        <f t="shared" si="55"/>
        <v>37631799.484619997</v>
      </c>
      <c r="Y40" s="554">
        <f t="shared" si="55"/>
        <v>40010756.74605</v>
      </c>
      <c r="Z40" s="554">
        <f t="shared" si="55"/>
        <v>43398567.240160003</v>
      </c>
      <c r="AA40" s="554">
        <f t="shared" si="55"/>
        <v>45026061</v>
      </c>
      <c r="AB40" s="554">
        <f t="shared" ref="AB40:AC40" si="57">AB41+AB42</f>
        <v>46464039.098000005</v>
      </c>
      <c r="AC40" s="554">
        <f t="shared" si="57"/>
        <v>49302488</v>
      </c>
      <c r="AD40" s="554">
        <f t="shared" ref="AD40" si="58">AD41+AD42</f>
        <v>55321169</v>
      </c>
      <c r="AF40" s="233">
        <f t="shared" si="51"/>
        <v>0.12207661812117876</v>
      </c>
      <c r="AG40" s="233">
        <f t="shared" si="52"/>
        <v>0.27472339567945703</v>
      </c>
    </row>
    <row r="41" spans="2:33" ht="13" customHeight="1">
      <c r="B41" s="514" t="str">
        <f>IF('Summary | Sumário'!D$6=Names!B$3,Names!AL15,Names!AM15)</f>
        <v>Gross loan portfolio</v>
      </c>
      <c r="C41" s="551">
        <f>C12</f>
        <v>4777387</v>
      </c>
      <c r="D41" s="551">
        <f t="shared" ref="D41:AA41" si="59">D12</f>
        <v>8790058</v>
      </c>
      <c r="E41" s="551">
        <f t="shared" si="59"/>
        <v>17514466</v>
      </c>
      <c r="F41" s="551">
        <f t="shared" si="59"/>
        <v>24543993</v>
      </c>
      <c r="G41" s="551">
        <f t="shared" si="59"/>
        <v>31020837</v>
      </c>
      <c r="H41" s="551">
        <f t="shared" si="59"/>
        <v>41182813.305160001</v>
      </c>
      <c r="I41" s="551">
        <f t="shared" ref="I41" si="60">I12</f>
        <v>52564751</v>
      </c>
      <c r="J41" s="551"/>
      <c r="K41" s="551">
        <f t="shared" si="59"/>
        <v>10328685.6263</v>
      </c>
      <c r="L41" s="551">
        <f t="shared" si="59"/>
        <v>12598761.061000001</v>
      </c>
      <c r="M41" s="551">
        <f t="shared" si="59"/>
        <v>14957638.932</v>
      </c>
      <c r="N41" s="551">
        <f t="shared" si="59"/>
        <v>17514466</v>
      </c>
      <c r="O41" s="551">
        <f t="shared" si="59"/>
        <v>18523657.585999999</v>
      </c>
      <c r="P41" s="551">
        <f t="shared" si="59"/>
        <v>19864563.609999999</v>
      </c>
      <c r="Q41" s="551">
        <f t="shared" si="59"/>
        <v>22035054</v>
      </c>
      <c r="R41" s="551">
        <f t="shared" si="59"/>
        <v>24543993</v>
      </c>
      <c r="S41" s="551">
        <f t="shared" si="59"/>
        <v>25129298</v>
      </c>
      <c r="T41" s="551">
        <f t="shared" si="59"/>
        <v>26474360</v>
      </c>
      <c r="U41" s="551">
        <f t="shared" si="59"/>
        <v>28258743</v>
      </c>
      <c r="V41" s="551">
        <f t="shared" si="59"/>
        <v>31020837</v>
      </c>
      <c r="W41" s="551">
        <f t="shared" si="59"/>
        <v>32143623.531950202</v>
      </c>
      <c r="X41" s="551">
        <f t="shared" si="59"/>
        <v>35674371.416579999</v>
      </c>
      <c r="Y41" s="551">
        <f t="shared" si="59"/>
        <v>38059886.803049996</v>
      </c>
      <c r="Z41" s="551">
        <f t="shared" si="59"/>
        <v>41182813.305160001</v>
      </c>
      <c r="AA41" s="551">
        <f t="shared" si="59"/>
        <v>42594941</v>
      </c>
      <c r="AB41" s="551">
        <f t="shared" ref="AB41:AC41" si="61">AB12</f>
        <v>43839646</v>
      </c>
      <c r="AC41" s="551">
        <f t="shared" si="61"/>
        <v>46686090</v>
      </c>
      <c r="AD41" s="551">
        <f t="shared" ref="AD41" si="62">AD12</f>
        <v>52564751</v>
      </c>
      <c r="AF41" s="160">
        <f t="shared" si="51"/>
        <v>0.12591889789871025</v>
      </c>
      <c r="AG41" s="160">
        <f t="shared" si="52"/>
        <v>0.27637591464432321</v>
      </c>
    </row>
    <row r="42" spans="2:33" ht="13" customHeight="1">
      <c r="B42" s="555" t="str">
        <f>IF('Summary | Sumário'!D6=Names!B3,Names!V6,Names!W6)</f>
        <v>Private securities</v>
      </c>
      <c r="C42" s="554">
        <f>C16</f>
        <v>0</v>
      </c>
      <c r="D42" s="554">
        <f t="shared" ref="D42:AA42" si="63">D16</f>
        <v>0</v>
      </c>
      <c r="E42" s="554">
        <f t="shared" si="63"/>
        <v>1740091</v>
      </c>
      <c r="F42" s="554">
        <f t="shared" si="63"/>
        <v>2976185</v>
      </c>
      <c r="G42" s="554">
        <f t="shared" si="63"/>
        <v>2194715</v>
      </c>
      <c r="H42" s="554">
        <f t="shared" si="63"/>
        <v>2215753.9349999987</v>
      </c>
      <c r="I42" s="554">
        <f t="shared" ref="I42" si="64">I16</f>
        <v>2756418</v>
      </c>
      <c r="J42" s="551"/>
      <c r="K42" s="554">
        <f t="shared" si="63"/>
        <v>1427163</v>
      </c>
      <c r="L42" s="554">
        <f t="shared" si="63"/>
        <v>1560289</v>
      </c>
      <c r="M42" s="554">
        <f t="shared" si="63"/>
        <v>1560289</v>
      </c>
      <c r="N42" s="554">
        <f t="shared" si="63"/>
        <v>1740091</v>
      </c>
      <c r="O42" s="554">
        <f t="shared" si="63"/>
        <v>1953447</v>
      </c>
      <c r="P42" s="554">
        <f t="shared" si="63"/>
        <v>2516740</v>
      </c>
      <c r="Q42" s="554">
        <f t="shared" si="63"/>
        <v>3083991</v>
      </c>
      <c r="R42" s="554">
        <f t="shared" si="63"/>
        <v>2976185</v>
      </c>
      <c r="S42" s="554">
        <f t="shared" si="63"/>
        <v>2855973</v>
      </c>
      <c r="T42" s="554">
        <f t="shared" si="63"/>
        <v>2570180</v>
      </c>
      <c r="U42" s="554">
        <f t="shared" si="63"/>
        <v>2027293</v>
      </c>
      <c r="V42" s="554">
        <f t="shared" si="63"/>
        <v>2194715</v>
      </c>
      <c r="W42" s="554">
        <f t="shared" si="63"/>
        <v>2345978.7783000004</v>
      </c>
      <c r="X42" s="554">
        <f t="shared" si="63"/>
        <v>1957428.0680400003</v>
      </c>
      <c r="Y42" s="554">
        <f t="shared" si="63"/>
        <v>1950869.943</v>
      </c>
      <c r="Z42" s="554">
        <f t="shared" si="63"/>
        <v>2215753.9349999987</v>
      </c>
      <c r="AA42" s="554">
        <f t="shared" si="63"/>
        <v>2431120</v>
      </c>
      <c r="AB42" s="554">
        <f t="shared" ref="AB42:AC42" si="65">AB16</f>
        <v>2624393.0980000012</v>
      </c>
      <c r="AC42" s="554">
        <f t="shared" si="65"/>
        <v>2616398</v>
      </c>
      <c r="AD42" s="554">
        <f t="shared" ref="AD42" si="66">AD16</f>
        <v>2756418</v>
      </c>
      <c r="AF42" s="233">
        <f t="shared" si="51"/>
        <v>5.3516322822445117E-2</v>
      </c>
      <c r="AG42" s="233">
        <f t="shared" si="52"/>
        <v>0.24400907359778734</v>
      </c>
    </row>
    <row r="43" spans="2:33" ht="13" customHeight="1">
      <c r="B43" s="287" t="str">
        <f>IF('Summary | Sumário'!D$6=Names!B$3,Names!R5,Names!S5)</f>
        <v>All-in cost of risk (%)</v>
      </c>
      <c r="C43" s="297">
        <f>C37/C39</f>
        <v>2.9005395627358637E-2</v>
      </c>
      <c r="D43" s="297">
        <f t="shared" ref="D43:AA43" si="67">D37/D39</f>
        <v>3.1500109268915409E-2</v>
      </c>
      <c r="E43" s="297">
        <f t="shared" si="67"/>
        <v>4.2473822514589699E-2</v>
      </c>
      <c r="F43" s="297">
        <f t="shared" si="67"/>
        <v>4.6317183838668459E-2</v>
      </c>
      <c r="G43" s="297">
        <f t="shared" si="67"/>
        <v>5.0763660863218409E-2</v>
      </c>
      <c r="H43" s="297">
        <f t="shared" si="67"/>
        <v>4.6974431184395926E-2</v>
      </c>
      <c r="I43" s="297">
        <f t="shared" ref="I43" si="68">I37/I39</f>
        <v>4.8953797731420758E-2</v>
      </c>
      <c r="J43" s="324"/>
      <c r="K43" s="297">
        <f t="shared" si="67"/>
        <v>3.6294785137454662E-2</v>
      </c>
      <c r="L43" s="297">
        <f t="shared" si="67"/>
        <v>5.1689493991981396E-2</v>
      </c>
      <c r="M43" s="297">
        <f t="shared" si="67"/>
        <v>3.5989203377592288E-2</v>
      </c>
      <c r="N43" s="297">
        <f t="shared" si="67"/>
        <v>4.1029523187723967E-2</v>
      </c>
      <c r="O43" s="297">
        <f t="shared" si="67"/>
        <v>6.3011912919397436E-2</v>
      </c>
      <c r="P43" s="297">
        <f t="shared" si="67"/>
        <v>4.5258610425504199E-2</v>
      </c>
      <c r="Q43" s="297">
        <f t="shared" si="67"/>
        <v>4.4313443197696145E-2</v>
      </c>
      <c r="R43" s="297">
        <f t="shared" si="67"/>
        <v>4.0230685016000328E-2</v>
      </c>
      <c r="S43" s="297">
        <f t="shared" si="67"/>
        <v>5.0543650227926271E-2</v>
      </c>
      <c r="T43" s="297">
        <f t="shared" si="67"/>
        <v>5.5909005204313231E-2</v>
      </c>
      <c r="U43" s="297">
        <f t="shared" si="67"/>
        <v>5.5000173940667627E-2</v>
      </c>
      <c r="V43" s="297">
        <f t="shared" si="67"/>
        <v>4.8432678565455717E-2</v>
      </c>
      <c r="W43" s="297">
        <f t="shared" si="67"/>
        <v>4.8569182560775234E-2</v>
      </c>
      <c r="X43" s="297">
        <f t="shared" si="67"/>
        <v>4.6726508416808088E-2</v>
      </c>
      <c r="Y43" s="297">
        <f t="shared" si="67"/>
        <v>4.8574047314921272E-2</v>
      </c>
      <c r="Z43" s="297">
        <f t="shared" si="67"/>
        <v>4.7546725119791959E-2</v>
      </c>
      <c r="AA43" s="297">
        <f t="shared" si="67"/>
        <v>4.6474056852563637E-2</v>
      </c>
      <c r="AB43" s="297">
        <f t="shared" ref="AB43:AC43" si="69">AB37/AB39</f>
        <v>4.9775789895540309E-2</v>
      </c>
      <c r="AC43" s="297">
        <f t="shared" si="69"/>
        <v>5.3529851769126745E-2</v>
      </c>
      <c r="AD43" s="297">
        <f t="shared" ref="AD43" si="70">AD37/AD39</f>
        <v>5.2961375647574631E-2</v>
      </c>
      <c r="AE43" s="147"/>
      <c r="AF43" s="524">
        <f>(AD43-AC43)*100</f>
        <v>-5.6847612155211391E-2</v>
      </c>
      <c r="AG43" s="524">
        <f>(AD43-Z43)*100</f>
        <v>0.54146505277826718</v>
      </c>
    </row>
    <row r="44" spans="2:33" ht="13" customHeight="1">
      <c r="B44" s="177"/>
      <c r="C44" s="177"/>
      <c r="D44" s="177"/>
      <c r="E44" s="177"/>
      <c r="F44" s="177"/>
      <c r="G44" s="177"/>
      <c r="H44" s="177"/>
      <c r="I44" s="177"/>
      <c r="K44" s="177"/>
      <c r="L44" s="177"/>
      <c r="M44" s="177"/>
      <c r="N44" s="177"/>
      <c r="O44" s="177"/>
      <c r="P44" s="177"/>
      <c r="Q44" s="177"/>
      <c r="R44" s="177"/>
      <c r="S44" s="177"/>
      <c r="T44" s="177"/>
      <c r="U44" s="177"/>
      <c r="V44" s="177"/>
      <c r="W44" s="177"/>
      <c r="X44" s="177"/>
      <c r="Y44" s="177"/>
      <c r="Z44" s="177"/>
      <c r="AA44" s="177"/>
      <c r="AB44" s="177"/>
      <c r="AC44" s="177"/>
      <c r="AD44" s="177"/>
      <c r="AF44" s="177"/>
      <c r="AG44" s="177"/>
    </row>
    <row r="45" spans="2:33" ht="13" customHeight="1">
      <c r="B45" s="50" t="str">
        <f>IF('Summary | Sumário'!D$6=Names!B$3,Names!O102,Names!Z103)</f>
        <v>Renegotiated Portfolio</v>
      </c>
      <c r="AF45" s="155"/>
      <c r="AG45" s="155"/>
    </row>
    <row r="46" spans="2:33" ht="13" customHeight="1">
      <c r="B46" s="288" t="str">
        <f>IF('Summary | Sumário'!D$6=Names!B$3,Names!O103,Names!Z103)</f>
        <v>Renegotiated portfolio</v>
      </c>
      <c r="C46" s="527" t="s">
        <v>1048</v>
      </c>
      <c r="D46" s="527" t="s">
        <v>1048</v>
      </c>
      <c r="E46" s="527" t="s">
        <v>1048</v>
      </c>
      <c r="F46" s="527" t="s">
        <v>1048</v>
      </c>
      <c r="G46" s="527" t="s">
        <v>1048</v>
      </c>
      <c r="H46" s="527" t="str">
        <f>Z46</f>
        <v>-</v>
      </c>
      <c r="I46" s="527">
        <f>AD46</f>
        <v>1086000</v>
      </c>
      <c r="J46" s="526"/>
      <c r="K46" s="527" t="s">
        <v>1048</v>
      </c>
      <c r="L46" s="527" t="s">
        <v>1048</v>
      </c>
      <c r="M46" s="527" t="s">
        <v>1048</v>
      </c>
      <c r="N46" s="527" t="s">
        <v>1048</v>
      </c>
      <c r="O46" s="527" t="s">
        <v>1048</v>
      </c>
      <c r="P46" s="527" t="s">
        <v>1048</v>
      </c>
      <c r="Q46" s="527" t="s">
        <v>1048</v>
      </c>
      <c r="R46" s="527" t="s">
        <v>1048</v>
      </c>
      <c r="S46" s="527" t="s">
        <v>1048</v>
      </c>
      <c r="T46" s="527" t="s">
        <v>1048</v>
      </c>
      <c r="U46" s="527" t="s">
        <v>1048</v>
      </c>
      <c r="V46" s="527" t="s">
        <v>1048</v>
      </c>
      <c r="W46" s="527" t="s">
        <v>1048</v>
      </c>
      <c r="X46" s="527" t="s">
        <v>1048</v>
      </c>
      <c r="Y46" s="527" t="s">
        <v>1048</v>
      </c>
      <c r="Z46" s="527" t="s">
        <v>1048</v>
      </c>
      <c r="AA46" s="527">
        <v>925779.57062999997</v>
      </c>
      <c r="AB46" s="527">
        <v>1003607.1105899998</v>
      </c>
      <c r="AC46" s="527">
        <v>1032524.0206</v>
      </c>
      <c r="AD46" s="527">
        <v>1086000</v>
      </c>
      <c r="AE46" s="526"/>
      <c r="AF46" s="528">
        <f>AD46/AC46-1</f>
        <v>5.1791511222107012E-2</v>
      </c>
      <c r="AG46" s="528" t="s">
        <v>1079</v>
      </c>
    </row>
    <row r="47" spans="2:33" ht="13" customHeight="1">
      <c r="B47" s="51" t="str">
        <f>IF('Summary | Sumário'!D$6=Names!B$3,Names!O104,Names!Z104)</f>
        <v>Renegotiated portfolio (% of total gross loan portfolio)</v>
      </c>
      <c r="C47" s="117" t="s">
        <v>1048</v>
      </c>
      <c r="D47" s="117" t="s">
        <v>1048</v>
      </c>
      <c r="E47" s="117" t="s">
        <v>1048</v>
      </c>
      <c r="F47" s="117" t="s">
        <v>1048</v>
      </c>
      <c r="G47" s="117" t="s">
        <v>1048</v>
      </c>
      <c r="H47" s="117" t="s">
        <v>1048</v>
      </c>
      <c r="I47" s="160">
        <f>I46/I5</f>
        <v>2.2507221585047248E-2</v>
      </c>
      <c r="J47" s="313"/>
      <c r="K47" s="117" t="s">
        <v>1048</v>
      </c>
      <c r="L47" s="117" t="s">
        <v>1048</v>
      </c>
      <c r="M47" s="117" t="s">
        <v>1048</v>
      </c>
      <c r="N47" s="117" t="s">
        <v>1048</v>
      </c>
      <c r="O47" s="117" t="s">
        <v>1048</v>
      </c>
      <c r="P47" s="117" t="s">
        <v>1048</v>
      </c>
      <c r="Q47" s="117" t="s">
        <v>1048</v>
      </c>
      <c r="R47" s="117" t="s">
        <v>1048</v>
      </c>
      <c r="S47" s="117" t="s">
        <v>1048</v>
      </c>
      <c r="T47" s="117" t="s">
        <v>1048</v>
      </c>
      <c r="U47" s="117" t="s">
        <v>1048</v>
      </c>
      <c r="V47" s="117" t="s">
        <v>1048</v>
      </c>
      <c r="W47" s="117" t="s">
        <v>1048</v>
      </c>
      <c r="X47" s="117" t="s">
        <v>1048</v>
      </c>
      <c r="Y47" s="117" t="s">
        <v>1048</v>
      </c>
      <c r="Z47" s="117" t="s">
        <v>1048</v>
      </c>
      <c r="AA47" s="160">
        <f t="shared" ref="AA47:AC47" si="71">AA46/AA5</f>
        <v>2.4756559687248599E-2</v>
      </c>
      <c r="AB47" s="160">
        <f t="shared" si="71"/>
        <v>2.4942539134233596E-2</v>
      </c>
      <c r="AC47" s="160">
        <f t="shared" si="71"/>
        <v>2.3563859439884687E-2</v>
      </c>
      <c r="AD47" s="160">
        <f>AD46/AD5</f>
        <v>2.2507221585047248E-2</v>
      </c>
      <c r="AE47" s="160"/>
      <c r="AF47" s="347">
        <f>(AD47-AC47)*100</f>
        <v>-0.10566378548374396</v>
      </c>
      <c r="AG47" s="347" t="s">
        <v>1079</v>
      </c>
    </row>
    <row r="48" spans="2:33" ht="13" customHeight="1">
      <c r="B48" s="116"/>
    </row>
    <row r="49" spans="2:2" ht="13" customHeight="1">
      <c r="B49" s="116"/>
    </row>
    <row r="52" spans="2:2" ht="13" customHeight="1">
      <c r="B52" s="762" t="str">
        <f>IF('Summary | Sumário'!D$6=Names!B$3,Names!K44,Names!L44)</f>
        <v>Note: During 3Q25, we enhanced our disclosure practices for loan renegotiations, aligning with market best practices to ensure greater accuracy and transparency. As part of this improvement, we refined the definition of renegotiated contracts by excluding agreements that were not delinquent or those whose risk profiles remained unchanged. This adjustment ensures that the reported figures are more precise and reliable for renegotiation analysis.</v>
      </c>
    </row>
    <row r="53" spans="2:2" ht="13" customHeight="1">
      <c r="B53" s="762"/>
    </row>
    <row r="54" spans="2:2" ht="13" customHeight="1">
      <c r="B54" s="762"/>
    </row>
    <row r="55" spans="2:2" ht="13" customHeight="1">
      <c r="B55" s="762"/>
    </row>
    <row r="56" spans="2:2" ht="13" customHeight="1">
      <c r="B56" s="762"/>
    </row>
    <row r="57" spans="2:2" ht="13" customHeight="1">
      <c r="B57" s="762"/>
    </row>
    <row r="58" spans="2:2" ht="13" customHeight="1">
      <c r="B58" s="762"/>
    </row>
  </sheetData>
  <sheetProtection algorithmName="SHA-512" hashValue="RmyCqQA4cx5ss2yrlUllzfmlhkjM9fd41xObo2w4Wqi6FF2J2Qdf0tUECH+XjB+hGIc0iNNB2FSciPm1zHBWfw==" saltValue="/+NT1Ru7JZ8Gl7R+BN99Jw==" spinCount="100000" sheet="1" formatCells="0" formatColumns="0" formatRows="0" insertColumns="0" insertRows="0" insertHyperlinks="0" deleteColumns="0" deleteRows="0" sort="0" autoFilter="0" pivotTables="0"/>
  <mergeCells count="1">
    <mergeCell ref="B52:B58"/>
  </mergeCells>
  <pageMargins left="0.511811024" right="0.511811024" top="0.78740157499999996" bottom="0.78740157499999996" header="0.31496062000000002" footer="0.31496062000000002"/>
  <pageSetup paperSize="9" orientation="portrait" r:id="rId1"/>
  <ignoredErrors>
    <ignoredError sqref="AE2:AG4 B52 AE48:AG48 B47:G47 J46:V47 AE47 B48:H48 B2:H5 AA46:AC47 J48:AC48 J3:AC5 AE13:AG14 AE5 AE6 AE7 AE8 AE9 AE10 AE11 AE12 AE18:AG19 AE15 AE16 AE17 AE23:AG24 AE20 AE21 AE22 AE28:AG29 AE25 AE26 AE35:AG36 AE30 AE31 AE32 AG32 AE33 AE34 AE44:AG45 AE37 AE38 AE39 AE40 AE41 AE42 AE43 AE46 AE27 J2:AB2 B12:H19 B6 E6:H6 B7 E7:H7 B8 E8:H8 B9 E9:H9 B10 E10:H10 J12:AC19 J6 J7 J8 J9 J10 J33:AC45 J32 B11 E11:H11 J11 B21:H24 B20 E20:H20 J21:AC24 J20 B26:H46 B25 E25:H25 J26:AC31 J2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480B-755A-1B48-9DA6-EDCEBD802842}">
  <sheetPr codeName="Sheet14">
    <tabColor rgb="FFF7CAB0"/>
  </sheetPr>
  <dimension ref="B1:AK10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2.83203125" style="117" customWidth="1"/>
    <col min="11" max="30" width="10.83203125" style="117" customWidth="1"/>
    <col min="31" max="31" width="5.83203125" style="117" customWidth="1"/>
    <col min="32" max="33" width="10.83203125" style="117" customWidth="1"/>
    <col min="34" max="16384" width="10.83203125" style="116"/>
  </cols>
  <sheetData>
    <row r="1" spans="2:37" ht="13" customHeight="1">
      <c r="AH1" s="117"/>
    </row>
    <row r="2" spans="2:37" s="10" customFormat="1" ht="13" customHeight="1">
      <c r="B2" s="267" t="str">
        <f>IF('Summary | Sumário'!D$6=Names!B$3,Names!P1,Names!Q1)</f>
        <v>NIM &amp; Yields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2:37" ht="13" customHeight="1">
      <c r="B4" s="3" t="str">
        <f>IF('Summary | Sumário'!D$6=Names!B$3,Names!Q7,Names!R7)</f>
        <v>NIM 2.0 (%)</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row>
    <row r="5" spans="2:37" ht="13" customHeight="1">
      <c r="B5" s="288" t="str">
        <f>IF('Summary | Sumário'!D$6=Names!B$3,Names!AJ17,Names!AK17)</f>
        <v>Annualized NII</v>
      </c>
      <c r="C5" s="289">
        <f t="shared" ref="C5:G5" si="0">C6</f>
        <v>591527</v>
      </c>
      <c r="D5" s="289">
        <f t="shared" si="0"/>
        <v>733280.89517999999</v>
      </c>
      <c r="E5" s="289">
        <f t="shared" si="0"/>
        <v>1614134.912</v>
      </c>
      <c r="F5" s="289">
        <f t="shared" si="0"/>
        <v>2435209.1850000001</v>
      </c>
      <c r="G5" s="289">
        <f t="shared" si="0"/>
        <v>3296796.9950000001</v>
      </c>
      <c r="H5" s="289">
        <f>H6</f>
        <v>4456744.9342886657</v>
      </c>
      <c r="I5" s="289">
        <f>I6</f>
        <v>6273819</v>
      </c>
      <c r="J5" s="179"/>
      <c r="K5" s="289">
        <f>K6*4</f>
        <v>1189829.3559999999</v>
      </c>
      <c r="L5" s="289">
        <f t="shared" ref="L5:AD5" si="1">L6*4</f>
        <v>1235937.3880000003</v>
      </c>
      <c r="M5" s="289">
        <f t="shared" si="1"/>
        <v>1812643.52</v>
      </c>
      <c r="N5" s="289">
        <f t="shared" si="1"/>
        <v>2218129.3839999996</v>
      </c>
      <c r="O5" s="289">
        <f t="shared" si="1"/>
        <v>2241776.06</v>
      </c>
      <c r="P5" s="289">
        <f t="shared" si="1"/>
        <v>2346601.2440000004</v>
      </c>
      <c r="Q5" s="289">
        <f t="shared" si="1"/>
        <v>2346897.8680000002</v>
      </c>
      <c r="R5" s="289">
        <f t="shared" si="1"/>
        <v>2805561.568</v>
      </c>
      <c r="S5" s="289">
        <f t="shared" si="1"/>
        <v>2905924.4960000003</v>
      </c>
      <c r="T5" s="289">
        <f t="shared" si="1"/>
        <v>3313064</v>
      </c>
      <c r="U5" s="289">
        <f t="shared" si="1"/>
        <v>3380864.4318400002</v>
      </c>
      <c r="V5" s="289">
        <f t="shared" si="1"/>
        <v>3587335.0521599995</v>
      </c>
      <c r="W5" s="289">
        <f t="shared" si="1"/>
        <v>3969682.882079999</v>
      </c>
      <c r="X5" s="289">
        <f t="shared" si="1"/>
        <v>4167462.9032153999</v>
      </c>
      <c r="Y5" s="289">
        <f t="shared" si="1"/>
        <v>4657400.5262945322</v>
      </c>
      <c r="Z5" s="289">
        <f t="shared" si="1"/>
        <v>5032433.4255647324</v>
      </c>
      <c r="AA5" s="289">
        <f t="shared" si="1"/>
        <v>5450377.2000000002</v>
      </c>
      <c r="AB5" s="289">
        <f t="shared" si="1"/>
        <v>5878028</v>
      </c>
      <c r="AC5" s="289">
        <f t="shared" si="1"/>
        <v>6490764</v>
      </c>
      <c r="AD5" s="289">
        <f t="shared" si="1"/>
        <v>7276106.7999999998</v>
      </c>
      <c r="AE5" s="179"/>
      <c r="AF5" s="348">
        <f>AD5/AC5-1</f>
        <v>0.12099389224442603</v>
      </c>
      <c r="AG5" s="348">
        <f>AD5/Z5-1</f>
        <v>0.44584263410965752</v>
      </c>
    </row>
    <row r="6" spans="2:37" ht="13" customHeight="1">
      <c r="B6" s="55" t="str">
        <f>IF('Summary | Sumário'!D$6=Names!B$3,Names!AJ18,Names!AK18)</f>
        <v>NII</v>
      </c>
      <c r="C6" s="179">
        <f>'6. NII'!C38</f>
        <v>591527</v>
      </c>
      <c r="D6" s="179">
        <f>'6. NII'!D38</f>
        <v>733280.89517999999</v>
      </c>
      <c r="E6" s="179">
        <f>'6. NII'!E38</f>
        <v>1614134.912</v>
      </c>
      <c r="F6" s="179">
        <f>'6. NII'!F38</f>
        <v>2435209.1850000001</v>
      </c>
      <c r="G6" s="179">
        <f>'6. NII'!G38</f>
        <v>3296796.9950000001</v>
      </c>
      <c r="H6" s="179">
        <f>'6. NII'!H38</f>
        <v>4456744.9342886657</v>
      </c>
      <c r="I6" s="179">
        <f>'6. NII'!I38</f>
        <v>6273819</v>
      </c>
      <c r="J6" s="179"/>
      <c r="K6" s="179">
        <f>'6. NII'!K38</f>
        <v>297457.33899999998</v>
      </c>
      <c r="L6" s="179">
        <f>'6. NII'!L38</f>
        <v>308984.34700000007</v>
      </c>
      <c r="M6" s="179">
        <f>'6. NII'!M38</f>
        <v>453160.88</v>
      </c>
      <c r="N6" s="179">
        <f>'6. NII'!N38</f>
        <v>554532.3459999999</v>
      </c>
      <c r="O6" s="179">
        <f>'6. NII'!O38</f>
        <v>560444.01500000001</v>
      </c>
      <c r="P6" s="179">
        <f>'6. NII'!P38</f>
        <v>586650.3110000001</v>
      </c>
      <c r="Q6" s="179">
        <f>'6. NII'!Q38</f>
        <v>586724.46700000006</v>
      </c>
      <c r="R6" s="179">
        <f>'6. NII'!R38</f>
        <v>701390.39199999999</v>
      </c>
      <c r="S6" s="179">
        <f>'6. NII'!S38</f>
        <v>726481.12400000007</v>
      </c>
      <c r="T6" s="179">
        <f>'6. NII'!T38</f>
        <v>828266</v>
      </c>
      <c r="U6" s="179">
        <f>'6. NII'!U38</f>
        <v>845216.10796000005</v>
      </c>
      <c r="V6" s="179">
        <f>'6. NII'!V38</f>
        <v>896833.76303999987</v>
      </c>
      <c r="W6" s="179">
        <f>'6. NII'!W38</f>
        <v>992420.72051999974</v>
      </c>
      <c r="X6" s="179">
        <f>'6. NII'!X38</f>
        <v>1041865.72580385</v>
      </c>
      <c r="Y6" s="179">
        <f>'6. NII'!Y38</f>
        <v>1164350.1315736331</v>
      </c>
      <c r="Z6" s="179">
        <f>'6. NII'!Z38</f>
        <v>1258108.3563911831</v>
      </c>
      <c r="AA6" s="179">
        <f>'6. NII'!AA38</f>
        <v>1362594.3</v>
      </c>
      <c r="AB6" s="179">
        <f>'6. NII'!AB38</f>
        <v>1469507</v>
      </c>
      <c r="AC6" s="179">
        <f>'6. NII'!AC38</f>
        <v>1622691</v>
      </c>
      <c r="AD6" s="179">
        <f>'6. NII'!AD38</f>
        <v>1819026.7</v>
      </c>
      <c r="AE6" s="179"/>
      <c r="AF6" s="349">
        <f>AD6/AC6-1</f>
        <v>0.12099389224442603</v>
      </c>
      <c r="AG6" s="349">
        <f>AD6/Z6-1</f>
        <v>0.44584263410965752</v>
      </c>
    </row>
    <row r="7" spans="2:37" ht="13" customHeight="1">
      <c r="B7" s="69" t="str">
        <f>IF('Summary | Sumário'!D$6=Names!B$3,Names!AJ21,Names!AK21)</f>
        <v>(÷) Avg of the last two periods of IEP</v>
      </c>
      <c r="C7" s="515">
        <f>C8</f>
        <v>9386236.3870000001</v>
      </c>
      <c r="D7" s="515">
        <f>(D8+C8)/2</f>
        <v>13213225.605999999</v>
      </c>
      <c r="E7" s="515">
        <f t="shared" ref="E7:I7" si="2">(E8+D8)/2</f>
        <v>23612101.773364998</v>
      </c>
      <c r="F7" s="515">
        <f t="shared" si="2"/>
        <v>33507074.360865001</v>
      </c>
      <c r="G7" s="515">
        <f t="shared" si="2"/>
        <v>42361927.6985</v>
      </c>
      <c r="H7" s="515">
        <f t="shared" si="2"/>
        <v>54062982.359135799</v>
      </c>
      <c r="I7" s="515">
        <f t="shared" si="2"/>
        <v>69529695.035070807</v>
      </c>
      <c r="J7" s="513"/>
      <c r="K7" s="515">
        <f>(K8+D8)/2</f>
        <v>17310715.084649999</v>
      </c>
      <c r="L7" s="190">
        <f>(L8+K8)/2</f>
        <v>21592434.172650002</v>
      </c>
      <c r="M7" s="190">
        <f t="shared" ref="M7:AD7" si="3">(M8+L8)/2</f>
        <v>27032356.149500001</v>
      </c>
      <c r="N7" s="190">
        <f t="shared" si="3"/>
        <v>29322524.009865001</v>
      </c>
      <c r="O7" s="190">
        <f t="shared" si="3"/>
        <v>30199018.860865001</v>
      </c>
      <c r="P7" s="190">
        <f t="shared" si="3"/>
        <v>31044537.699999999</v>
      </c>
      <c r="Q7" s="190">
        <f t="shared" si="3"/>
        <v>33447660.199999999</v>
      </c>
      <c r="R7" s="190">
        <f t="shared" si="3"/>
        <v>35925227</v>
      </c>
      <c r="S7" s="190">
        <f t="shared" si="3"/>
        <v>37291790.193913735</v>
      </c>
      <c r="T7" s="190">
        <f t="shared" si="3"/>
        <v>38731405.577701032</v>
      </c>
      <c r="U7" s="190">
        <f t="shared" si="3"/>
        <v>41491735.610526726</v>
      </c>
      <c r="V7" s="190">
        <f t="shared" si="3"/>
        <v>45583887.925239429</v>
      </c>
      <c r="W7" s="190">
        <f t="shared" si="3"/>
        <v>48304454.505631939</v>
      </c>
      <c r="X7" s="190">
        <f t="shared" si="3"/>
        <v>50593795.179221943</v>
      </c>
      <c r="Y7" s="190">
        <f t="shared" si="3"/>
        <v>53682860.600421786</v>
      </c>
      <c r="Z7" s="190">
        <f t="shared" si="3"/>
        <v>57562806.888967581</v>
      </c>
      <c r="AA7" s="190">
        <f t="shared" si="3"/>
        <v>61631977.1361508</v>
      </c>
      <c r="AB7" s="190">
        <f t="shared" si="3"/>
        <v>64810638.783490002</v>
      </c>
      <c r="AC7" s="190">
        <f t="shared" si="3"/>
        <v>69947342.586594999</v>
      </c>
      <c r="AD7" s="190">
        <f t="shared" si="3"/>
        <v>76066106.653055012</v>
      </c>
      <c r="AE7" s="191"/>
      <c r="AF7" s="362">
        <f>AD7/AC7-1</f>
        <v>8.7476719489163912E-2</v>
      </c>
      <c r="AG7" s="362">
        <f>AD7/Z7-1</f>
        <v>0.32144540483889705</v>
      </c>
    </row>
    <row r="8" spans="2:37" ht="13" customHeight="1">
      <c r="B8" s="64" t="str">
        <f>IF('Summary | Sumário'!D$6=Names!B$3,Names!AJ22,Names!AK22)</f>
        <v>IEP</v>
      </c>
      <c r="C8" s="191">
        <f>'5. IEP'!C23</f>
        <v>9386236.3870000001</v>
      </c>
      <c r="D8" s="191">
        <f>'5. IEP'!D23</f>
        <v>17040214.824999999</v>
      </c>
      <c r="E8" s="191">
        <f>'5. IEP'!E23</f>
        <v>30183988.721730001</v>
      </c>
      <c r="F8" s="191">
        <f>'5. IEP'!F23</f>
        <v>36830160</v>
      </c>
      <c r="G8" s="191">
        <f>'5. IEP'!G23</f>
        <v>47893695.397</v>
      </c>
      <c r="H8" s="191">
        <f>'5. IEP'!H23</f>
        <v>60232269.321271598</v>
      </c>
      <c r="I8" s="191">
        <f>'5. IEP'!I23</f>
        <v>78827120.74887</v>
      </c>
      <c r="J8" s="175"/>
      <c r="K8" s="191">
        <f>'5. IEP'!K23</f>
        <v>17581215.344299998</v>
      </c>
      <c r="L8" s="191">
        <f>'5. IEP'!L23</f>
        <v>25603653.001000002</v>
      </c>
      <c r="M8" s="191">
        <f>'5. IEP'!M23</f>
        <v>28461059.298</v>
      </c>
      <c r="N8" s="191">
        <f>'5. IEP'!N23</f>
        <v>30183988.721730001</v>
      </c>
      <c r="O8" s="191">
        <f>'5. IEP'!O23</f>
        <v>30214049</v>
      </c>
      <c r="P8" s="191">
        <f>'5. IEP'!P23</f>
        <v>31875026.399999999</v>
      </c>
      <c r="Q8" s="191">
        <f>'5. IEP'!Q23</f>
        <v>35020294</v>
      </c>
      <c r="R8" s="191">
        <f>'5. IEP'!R23</f>
        <v>36830160</v>
      </c>
      <c r="S8" s="191">
        <f>'5. IEP'!S23</f>
        <v>37753420.387827471</v>
      </c>
      <c r="T8" s="191">
        <f>'5. IEP'!T23</f>
        <v>39709390.767574593</v>
      </c>
      <c r="U8" s="191">
        <f>'5. IEP'!U23</f>
        <v>43274080.453478865</v>
      </c>
      <c r="V8" s="191">
        <f>'5. IEP'!V23</f>
        <v>47893695.397</v>
      </c>
      <c r="W8" s="191">
        <f>'5. IEP'!W23</f>
        <v>48715213.614263885</v>
      </c>
      <c r="X8" s="191">
        <f>'5. IEP'!X23</f>
        <v>52472376.744180001</v>
      </c>
      <c r="Y8" s="191">
        <f>'5. IEP'!Y23</f>
        <v>54893344.456663564</v>
      </c>
      <c r="Z8" s="191">
        <f>'5. IEP'!Z23</f>
        <v>60232269.321271598</v>
      </c>
      <c r="AA8" s="191">
        <f>'5. IEP'!AA23</f>
        <v>63031684.951030001</v>
      </c>
      <c r="AB8" s="191">
        <f>'5. IEP'!AB23</f>
        <v>66589592.615950003</v>
      </c>
      <c r="AC8" s="191">
        <f>'5. IEP'!AC23</f>
        <v>73305092.557240009</v>
      </c>
      <c r="AD8" s="191">
        <f>'5. IEP'!AD23</f>
        <v>78827120.74887</v>
      </c>
      <c r="AE8" s="191"/>
      <c r="AF8" s="367">
        <f>AD8/AC8-1</f>
        <v>7.5329393893311503E-2</v>
      </c>
      <c r="AG8" s="367">
        <f>AD8/Z8-1</f>
        <v>0.30871909089819827</v>
      </c>
    </row>
    <row r="9" spans="2:37" ht="13" customHeight="1">
      <c r="B9" s="286" t="str">
        <f>IF('Summary | Sumário'!D$6=Names!B$3,Names!Q7,Names!R7)</f>
        <v>NIM 2.0 (%)</v>
      </c>
      <c r="C9" s="315">
        <f t="shared" ref="C9:H9" si="4">C5/C7</f>
        <v>6.3020680026689813E-2</v>
      </c>
      <c r="D9" s="315">
        <f t="shared" si="4"/>
        <v>5.5495979335055338E-2</v>
      </c>
      <c r="E9" s="315">
        <f t="shared" si="4"/>
        <v>6.8360492746172299E-2</v>
      </c>
      <c r="F9" s="315">
        <f t="shared" si="4"/>
        <v>7.267746383265955E-2</v>
      </c>
      <c r="G9" s="315">
        <f t="shared" si="4"/>
        <v>7.7824527213777778E-2</v>
      </c>
      <c r="H9" s="315">
        <f t="shared" si="4"/>
        <v>8.2436165002568437E-2</v>
      </c>
      <c r="I9" s="315">
        <f t="shared" ref="I9" si="5">I5/I7</f>
        <v>9.0232223754691906E-2</v>
      </c>
      <c r="J9" s="327"/>
      <c r="K9" s="315">
        <f t="shared" ref="K9:AA9" si="6">K5/K7</f>
        <v>6.8733691830851179E-2</v>
      </c>
      <c r="L9" s="315">
        <f t="shared" si="6"/>
        <v>5.7239372741286251E-2</v>
      </c>
      <c r="M9" s="315">
        <f t="shared" si="6"/>
        <v>6.7054588581747704E-2</v>
      </c>
      <c r="N9" s="315">
        <f t="shared" si="6"/>
        <v>7.5645922678885091E-2</v>
      </c>
      <c r="O9" s="315">
        <f t="shared" si="6"/>
        <v>7.4233407062940196E-2</v>
      </c>
      <c r="P9" s="315">
        <f t="shared" si="6"/>
        <v>7.5588216731602362E-2</v>
      </c>
      <c r="Q9" s="315">
        <f t="shared" si="6"/>
        <v>7.0166279314210447E-2</v>
      </c>
      <c r="R9" s="315">
        <f t="shared" si="6"/>
        <v>7.8094470161594251E-2</v>
      </c>
      <c r="S9" s="315">
        <f t="shared" si="6"/>
        <v>7.7923974174730459E-2</v>
      </c>
      <c r="T9" s="315">
        <f t="shared" si="6"/>
        <v>8.5539472440613981E-2</v>
      </c>
      <c r="U9" s="315">
        <f t="shared" si="6"/>
        <v>8.1482839464113735E-2</v>
      </c>
      <c r="V9" s="315">
        <f t="shared" si="6"/>
        <v>7.8697434892860935E-2</v>
      </c>
      <c r="W9" s="315">
        <f t="shared" si="6"/>
        <v>8.2180472229888515E-2</v>
      </c>
      <c r="X9" s="315">
        <f t="shared" si="6"/>
        <v>8.2371027681412398E-2</v>
      </c>
      <c r="Y9" s="315">
        <f t="shared" si="6"/>
        <v>8.6757681580365315E-2</v>
      </c>
      <c r="Z9" s="315">
        <f t="shared" si="6"/>
        <v>8.7425087440085245E-2</v>
      </c>
      <c r="AA9" s="315">
        <f t="shared" si="6"/>
        <v>8.8434242308333022E-2</v>
      </c>
      <c r="AB9" s="315">
        <f t="shared" ref="AB9:AC9" si="7">AB5/AB7</f>
        <v>9.0695418380868989E-2</v>
      </c>
      <c r="AC9" s="315">
        <f t="shared" si="7"/>
        <v>9.279500492766278E-2</v>
      </c>
      <c r="AD9" s="315">
        <f t="shared" ref="AD9" si="8">AD5/AD7</f>
        <v>9.5655044278617249E-2</v>
      </c>
      <c r="AE9" s="327"/>
      <c r="AF9" s="370">
        <f>(AD9-AC9)*100</f>
        <v>0.28600393509544686</v>
      </c>
      <c r="AG9" s="370">
        <f>(AD9-Z9)*100</f>
        <v>0.82299568385320043</v>
      </c>
      <c r="AI9" s="160"/>
      <c r="AJ9" s="160"/>
    </row>
    <row r="10" spans="2:37" ht="13" customHeight="1">
      <c r="B10" s="4"/>
    </row>
    <row r="11" spans="2:37" ht="13" customHeight="1">
      <c r="B11" s="24" t="str">
        <f>IF('Summary | Sumário'!D$6=Names!B$3,Names!Q9,Names!R9)</f>
        <v>Risk-Adjusted NIM 2.0 (%)</v>
      </c>
      <c r="C11" s="316"/>
      <c r="D11" s="316"/>
      <c r="E11" s="316"/>
      <c r="F11" s="316"/>
      <c r="G11" s="316"/>
      <c r="H11" s="316"/>
      <c r="I11" s="316"/>
      <c r="J11" s="182"/>
      <c r="K11" s="316"/>
      <c r="L11" s="316"/>
      <c r="M11" s="316"/>
      <c r="N11" s="316"/>
      <c r="O11" s="316"/>
      <c r="P11" s="316"/>
      <c r="Q11" s="316"/>
      <c r="R11" s="316"/>
      <c r="S11" s="316"/>
      <c r="T11" s="316"/>
      <c r="U11" s="316"/>
      <c r="V11" s="316"/>
      <c r="W11" s="316"/>
      <c r="X11" s="316"/>
      <c r="Y11" s="316"/>
      <c r="Z11" s="316"/>
      <c r="AA11" s="316"/>
      <c r="AB11" s="316"/>
      <c r="AC11" s="316"/>
      <c r="AD11" s="316"/>
      <c r="AE11" s="182"/>
      <c r="AF11" s="316"/>
      <c r="AG11" s="316"/>
    </row>
    <row r="12" spans="2:37" ht="13" customHeight="1">
      <c r="B12" s="291" t="str">
        <f>IF('Summary | Sumário'!D$6=Names!B$3,Names!AJ32,Names!AK32)</f>
        <v>Annualized NII after impairment losses on financial assets</v>
      </c>
      <c r="C12" s="292">
        <f>C13</f>
        <v>452957</v>
      </c>
      <c r="D12" s="292">
        <f>D13</f>
        <v>519592.89517999999</v>
      </c>
      <c r="E12" s="292">
        <f t="shared" ref="E12:I12" si="9">E13</f>
        <v>1018553.912</v>
      </c>
      <c r="F12" s="292">
        <f t="shared" si="9"/>
        <v>1351972.1850000001</v>
      </c>
      <c r="G12" s="292">
        <f t="shared" si="9"/>
        <v>1755212.9950000001</v>
      </c>
      <c r="H12" s="292">
        <f t="shared" si="9"/>
        <v>2657292.5982886655</v>
      </c>
      <c r="I12" s="292">
        <f t="shared" si="9"/>
        <v>3857466</v>
      </c>
      <c r="J12" s="179"/>
      <c r="K12" s="292">
        <f>K13*4</f>
        <v>763153.35599999991</v>
      </c>
      <c r="L12" s="292">
        <f t="shared" ref="L12:AD12" si="10">L13*4</f>
        <v>566173.38800000027</v>
      </c>
      <c r="M12" s="292">
        <f t="shared" si="10"/>
        <v>1260623.52</v>
      </c>
      <c r="N12" s="292">
        <f t="shared" si="10"/>
        <v>1484265.3839999996</v>
      </c>
      <c r="O12" s="292">
        <f t="shared" si="10"/>
        <v>989992.06</v>
      </c>
      <c r="P12" s="292">
        <f t="shared" si="10"/>
        <v>1376745.2440000004</v>
      </c>
      <c r="Q12" s="292">
        <f t="shared" si="10"/>
        <v>1294445.8680000002</v>
      </c>
      <c r="R12" s="292">
        <f t="shared" si="10"/>
        <v>1746705.568</v>
      </c>
      <c r="S12" s="292">
        <f t="shared" si="10"/>
        <v>1503200.4960000003</v>
      </c>
      <c r="T12" s="292">
        <f t="shared" si="10"/>
        <v>1718824</v>
      </c>
      <c r="U12" s="292">
        <f t="shared" si="10"/>
        <v>1749268.4318400002</v>
      </c>
      <c r="V12" s="292">
        <f t="shared" si="10"/>
        <v>2049559.0521599995</v>
      </c>
      <c r="W12" s="292">
        <f t="shared" si="10"/>
        <v>2325490.882079999</v>
      </c>
      <c r="X12" s="292">
        <f t="shared" si="10"/>
        <v>2482472.2592153996</v>
      </c>
      <c r="Y12" s="292">
        <f t="shared" si="10"/>
        <v>2771693.9262945321</v>
      </c>
      <c r="Z12" s="292">
        <f t="shared" si="10"/>
        <v>3049513.3255647337</v>
      </c>
      <c r="AA12" s="292">
        <f t="shared" si="10"/>
        <v>3395651.6</v>
      </c>
      <c r="AB12" s="292">
        <f t="shared" si="10"/>
        <v>3601032</v>
      </c>
      <c r="AC12" s="292">
        <f t="shared" si="10"/>
        <v>3927580</v>
      </c>
      <c r="AD12" s="292">
        <f t="shared" si="10"/>
        <v>4505600.3999999994</v>
      </c>
      <c r="AE12" s="179"/>
      <c r="AF12" s="352">
        <f t="shared" ref="AF12:AF17" si="11">AD12/AC12-1</f>
        <v>0.14716960571140492</v>
      </c>
      <c r="AG12" s="352">
        <f t="shared" ref="AG12:AG17" si="12">AD12/Z12-1</f>
        <v>0.47748178774251326</v>
      </c>
    </row>
    <row r="13" spans="2:37" ht="13" customHeight="1">
      <c r="B13" s="60" t="str">
        <f>IF('Summary | Sumário'!D$6=Names!B$3,Names!AJ33,Names!AK33)</f>
        <v>NII after impairment losses on financial assets</v>
      </c>
      <c r="C13" s="174">
        <f>C14+C15</f>
        <v>452957</v>
      </c>
      <c r="D13" s="174">
        <f t="shared" ref="D13:H13" si="13">D14+D15</f>
        <v>519592.89517999999</v>
      </c>
      <c r="E13" s="174">
        <f t="shared" si="13"/>
        <v>1018553.912</v>
      </c>
      <c r="F13" s="174">
        <f t="shared" si="13"/>
        <v>1351972.1850000001</v>
      </c>
      <c r="G13" s="174">
        <f t="shared" si="13"/>
        <v>1755212.9950000001</v>
      </c>
      <c r="H13" s="174">
        <f t="shared" si="13"/>
        <v>2657292.5982886655</v>
      </c>
      <c r="I13" s="174">
        <f t="shared" ref="I13" si="14">I14+I15</f>
        <v>3857466</v>
      </c>
      <c r="J13" s="179"/>
      <c r="K13" s="174">
        <f t="shared" ref="K13:AA13" si="15">K14+K15</f>
        <v>190788.33899999998</v>
      </c>
      <c r="L13" s="174">
        <f t="shared" si="15"/>
        <v>141543.34700000007</v>
      </c>
      <c r="M13" s="174">
        <f t="shared" si="15"/>
        <v>315155.88</v>
      </c>
      <c r="N13" s="174">
        <f t="shared" si="15"/>
        <v>371066.3459999999</v>
      </c>
      <c r="O13" s="174">
        <f t="shared" si="15"/>
        <v>247498.01500000001</v>
      </c>
      <c r="P13" s="174">
        <f t="shared" si="15"/>
        <v>344186.3110000001</v>
      </c>
      <c r="Q13" s="174">
        <f t="shared" si="15"/>
        <v>323611.46700000006</v>
      </c>
      <c r="R13" s="174">
        <f t="shared" si="15"/>
        <v>436676.39199999999</v>
      </c>
      <c r="S13" s="174">
        <f t="shared" si="15"/>
        <v>375800.12400000007</v>
      </c>
      <c r="T13" s="174">
        <f t="shared" si="15"/>
        <v>429706</v>
      </c>
      <c r="U13" s="174">
        <f t="shared" si="15"/>
        <v>437317.10796000005</v>
      </c>
      <c r="V13" s="174">
        <f t="shared" si="15"/>
        <v>512389.76303999987</v>
      </c>
      <c r="W13" s="174">
        <f t="shared" si="15"/>
        <v>581372.72051999974</v>
      </c>
      <c r="X13" s="174">
        <f t="shared" si="15"/>
        <v>620618.06480384991</v>
      </c>
      <c r="Y13" s="174">
        <f t="shared" si="15"/>
        <v>692923.48157363303</v>
      </c>
      <c r="Z13" s="174">
        <f t="shared" si="15"/>
        <v>762378.33139118343</v>
      </c>
      <c r="AA13" s="174">
        <f t="shared" si="15"/>
        <v>848912.9</v>
      </c>
      <c r="AB13" s="174">
        <f t="shared" ref="AB13:AC13" si="16">AB14+AB15</f>
        <v>900258</v>
      </c>
      <c r="AC13" s="174">
        <f t="shared" si="16"/>
        <v>981895</v>
      </c>
      <c r="AD13" s="174">
        <f t="shared" ref="AD13" si="17">AD14+AD15</f>
        <v>1126400.0999999999</v>
      </c>
      <c r="AE13" s="179"/>
      <c r="AF13" s="350">
        <f t="shared" si="11"/>
        <v>0.14716960571140492</v>
      </c>
      <c r="AG13" s="350">
        <f t="shared" si="12"/>
        <v>0.47748178774251326</v>
      </c>
    </row>
    <row r="14" spans="2:37" ht="13" customHeight="1">
      <c r="B14" s="62" t="str">
        <f>IF('Summary | Sumário'!D$6=Names!B$3,Names!AJ5,Names!AK5)</f>
        <v>NII</v>
      </c>
      <c r="C14" s="191">
        <f>C6</f>
        <v>591527</v>
      </c>
      <c r="D14" s="191">
        <f t="shared" ref="D14:AA14" si="18">D6</f>
        <v>733280.89517999999</v>
      </c>
      <c r="E14" s="191">
        <f t="shared" si="18"/>
        <v>1614134.912</v>
      </c>
      <c r="F14" s="191">
        <f t="shared" si="18"/>
        <v>2435209.1850000001</v>
      </c>
      <c r="G14" s="191">
        <f t="shared" si="18"/>
        <v>3296796.9950000001</v>
      </c>
      <c r="H14" s="191">
        <f t="shared" si="18"/>
        <v>4456744.9342886657</v>
      </c>
      <c r="I14" s="191">
        <f t="shared" ref="I14" si="19">I6</f>
        <v>6273819</v>
      </c>
      <c r="J14" s="175"/>
      <c r="K14" s="191">
        <f t="shared" si="18"/>
        <v>297457.33899999998</v>
      </c>
      <c r="L14" s="191">
        <f t="shared" si="18"/>
        <v>308984.34700000007</v>
      </c>
      <c r="M14" s="191">
        <f t="shared" si="18"/>
        <v>453160.88</v>
      </c>
      <c r="N14" s="191">
        <f t="shared" si="18"/>
        <v>554532.3459999999</v>
      </c>
      <c r="O14" s="191">
        <f t="shared" si="18"/>
        <v>560444.01500000001</v>
      </c>
      <c r="P14" s="191">
        <f t="shared" si="18"/>
        <v>586650.3110000001</v>
      </c>
      <c r="Q14" s="191">
        <f t="shared" si="18"/>
        <v>586724.46700000006</v>
      </c>
      <c r="R14" s="191">
        <f t="shared" si="18"/>
        <v>701390.39199999999</v>
      </c>
      <c r="S14" s="191">
        <f t="shared" si="18"/>
        <v>726481.12400000007</v>
      </c>
      <c r="T14" s="191">
        <f t="shared" si="18"/>
        <v>828266</v>
      </c>
      <c r="U14" s="191">
        <f t="shared" si="18"/>
        <v>845216.10796000005</v>
      </c>
      <c r="V14" s="191">
        <f t="shared" si="18"/>
        <v>896833.76303999987</v>
      </c>
      <c r="W14" s="191">
        <f t="shared" si="18"/>
        <v>992420.72051999974</v>
      </c>
      <c r="X14" s="191">
        <f t="shared" si="18"/>
        <v>1041865.72580385</v>
      </c>
      <c r="Y14" s="191">
        <f t="shared" si="18"/>
        <v>1164350.1315736331</v>
      </c>
      <c r="Z14" s="191">
        <f t="shared" si="18"/>
        <v>1258108.3563911831</v>
      </c>
      <c r="AA14" s="191">
        <f t="shared" si="18"/>
        <v>1362594.3</v>
      </c>
      <c r="AB14" s="191">
        <f t="shared" ref="AB14:AC14" si="20">AB6</f>
        <v>1469507</v>
      </c>
      <c r="AC14" s="191">
        <f t="shared" si="20"/>
        <v>1622691</v>
      </c>
      <c r="AD14" s="191">
        <f t="shared" ref="AD14" si="21">AD6</f>
        <v>1819026.7</v>
      </c>
      <c r="AE14" s="191"/>
      <c r="AF14" s="367">
        <f t="shared" si="11"/>
        <v>0.12099389224442603</v>
      </c>
      <c r="AG14" s="367">
        <f t="shared" si="12"/>
        <v>0.44584263410965752</v>
      </c>
    </row>
    <row r="15" spans="2:37" ht="13" customHeight="1">
      <c r="B15" s="67" t="str">
        <f>IF('Summary | Sumário'!D$6=Names!B$3,Names!AJ34,Names!AK34)</f>
        <v>Impairment losses on financial assets</v>
      </c>
      <c r="C15" s="190">
        <v>-138570</v>
      </c>
      <c r="D15" s="190">
        <v>-213688</v>
      </c>
      <c r="E15" s="190">
        <v>-595581</v>
      </c>
      <c r="F15" s="190">
        <v>-1083237</v>
      </c>
      <c r="G15" s="190">
        <v>-1541584</v>
      </c>
      <c r="H15" s="190">
        <v>-1799452.3359999999</v>
      </c>
      <c r="I15" s="190">
        <v>-2416353</v>
      </c>
      <c r="J15" s="175"/>
      <c r="K15" s="190">
        <v>-106669</v>
      </c>
      <c r="L15" s="190">
        <v>-167441</v>
      </c>
      <c r="M15" s="190">
        <v>-138005</v>
      </c>
      <c r="N15" s="190">
        <v>-183466</v>
      </c>
      <c r="O15" s="190">
        <v>-312946</v>
      </c>
      <c r="P15" s="190">
        <v>-242464</v>
      </c>
      <c r="Q15" s="190">
        <v>-263113</v>
      </c>
      <c r="R15" s="190">
        <v>-264714</v>
      </c>
      <c r="S15" s="190">
        <v>-350681</v>
      </c>
      <c r="T15" s="190">
        <v>-398560</v>
      </c>
      <c r="U15" s="190">
        <v>-407899</v>
      </c>
      <c r="V15" s="190">
        <v>-384444</v>
      </c>
      <c r="W15" s="190">
        <v>-411048</v>
      </c>
      <c r="X15" s="190">
        <v>-421247.66100000002</v>
      </c>
      <c r="Y15" s="190">
        <v>-471426.65</v>
      </c>
      <c r="Z15" s="190">
        <v>-495730.02499999967</v>
      </c>
      <c r="AA15" s="190">
        <v>-513681.4</v>
      </c>
      <c r="AB15" s="190">
        <v>-569249</v>
      </c>
      <c r="AC15" s="190">
        <v>-640796</v>
      </c>
      <c r="AD15" s="190">
        <v>-692626.60000000009</v>
      </c>
      <c r="AE15" s="191"/>
      <c r="AF15" s="362">
        <f t="shared" si="11"/>
        <v>8.0884712139276838E-2</v>
      </c>
      <c r="AG15" s="362">
        <f t="shared" si="12"/>
        <v>0.39718509081631792</v>
      </c>
    </row>
    <row r="16" spans="2:37" ht="13" customHeight="1">
      <c r="B16" s="63" t="str">
        <f>IF('Summary | Sumário'!D$6=Names!B$3,Names!AJ21,Names!AK21)</f>
        <v>(÷) Avg of the last two periods of IEP</v>
      </c>
      <c r="C16" s="557">
        <f>C17</f>
        <v>9386236.3870000001</v>
      </c>
      <c r="D16" s="557">
        <f>(D17+C17)/2</f>
        <v>13213225.605999999</v>
      </c>
      <c r="E16" s="557">
        <f t="shared" ref="E16:I16" si="22">(E17+D17)/2</f>
        <v>23612101.773364998</v>
      </c>
      <c r="F16" s="557">
        <f t="shared" si="22"/>
        <v>33507074.360865001</v>
      </c>
      <c r="G16" s="557">
        <f t="shared" si="22"/>
        <v>42361927.6985</v>
      </c>
      <c r="H16" s="557">
        <f t="shared" si="22"/>
        <v>54062982.359135799</v>
      </c>
      <c r="I16" s="557">
        <f t="shared" si="22"/>
        <v>69529695.035070807</v>
      </c>
      <c r="J16" s="513"/>
      <c r="K16" s="557">
        <f>(K17+D17)/2</f>
        <v>17310715.084649999</v>
      </c>
      <c r="L16" s="191">
        <f>(L17+K17)/2</f>
        <v>21592434.172650002</v>
      </c>
      <c r="M16" s="191">
        <f t="shared" ref="M16:AD16" si="23">(M17+L17)/2</f>
        <v>27032356.149500001</v>
      </c>
      <c r="N16" s="191">
        <f t="shared" si="23"/>
        <v>29322524.009865001</v>
      </c>
      <c r="O16" s="191">
        <f t="shared" si="23"/>
        <v>30199018.860865001</v>
      </c>
      <c r="P16" s="191">
        <f t="shared" si="23"/>
        <v>31044537.699999999</v>
      </c>
      <c r="Q16" s="191">
        <f t="shared" si="23"/>
        <v>33447660.199999999</v>
      </c>
      <c r="R16" s="191">
        <f t="shared" si="23"/>
        <v>35925227</v>
      </c>
      <c r="S16" s="191">
        <f t="shared" si="23"/>
        <v>37291790.193913735</v>
      </c>
      <c r="T16" s="191">
        <f t="shared" si="23"/>
        <v>38731405.577701032</v>
      </c>
      <c r="U16" s="191">
        <f t="shared" si="23"/>
        <v>41491735.610526726</v>
      </c>
      <c r="V16" s="191">
        <f t="shared" si="23"/>
        <v>45583887.925239429</v>
      </c>
      <c r="W16" s="191">
        <f t="shared" si="23"/>
        <v>48304454.505631939</v>
      </c>
      <c r="X16" s="191">
        <f t="shared" si="23"/>
        <v>50593795.179221943</v>
      </c>
      <c r="Y16" s="191">
        <f t="shared" si="23"/>
        <v>53682860.600421786</v>
      </c>
      <c r="Z16" s="191">
        <f t="shared" si="23"/>
        <v>57562806.888967581</v>
      </c>
      <c r="AA16" s="191">
        <f t="shared" si="23"/>
        <v>61631977.1361508</v>
      </c>
      <c r="AB16" s="191">
        <f t="shared" si="23"/>
        <v>64810638.783490002</v>
      </c>
      <c r="AC16" s="191">
        <f t="shared" si="23"/>
        <v>69947342.586594999</v>
      </c>
      <c r="AD16" s="191">
        <f t="shared" si="23"/>
        <v>76066106.653055012</v>
      </c>
      <c r="AE16" s="191"/>
      <c r="AF16" s="367">
        <f t="shared" si="11"/>
        <v>8.7476719489163912E-2</v>
      </c>
      <c r="AG16" s="367">
        <f t="shared" si="12"/>
        <v>0.32144540483889705</v>
      </c>
    </row>
    <row r="17" spans="2:36" ht="13" customHeight="1">
      <c r="B17" s="68" t="str">
        <f>IF('Summary | Sumário'!D$6=Names!B$3,Names!AJ22,Names!AK22)</f>
        <v>IEP</v>
      </c>
      <c r="C17" s="190">
        <f>C8</f>
        <v>9386236.3870000001</v>
      </c>
      <c r="D17" s="190">
        <f t="shared" ref="D17:AA17" si="24">D8</f>
        <v>17040214.824999999</v>
      </c>
      <c r="E17" s="190">
        <f t="shared" si="24"/>
        <v>30183988.721730001</v>
      </c>
      <c r="F17" s="190">
        <f t="shared" si="24"/>
        <v>36830160</v>
      </c>
      <c r="G17" s="190">
        <f t="shared" si="24"/>
        <v>47893695.397</v>
      </c>
      <c r="H17" s="190">
        <f t="shared" si="24"/>
        <v>60232269.321271598</v>
      </c>
      <c r="I17" s="190">
        <f t="shared" ref="I17" si="25">I8</f>
        <v>78827120.74887</v>
      </c>
      <c r="J17" s="175"/>
      <c r="K17" s="190">
        <f t="shared" si="24"/>
        <v>17581215.344299998</v>
      </c>
      <c r="L17" s="190">
        <f t="shared" si="24"/>
        <v>25603653.001000002</v>
      </c>
      <c r="M17" s="190">
        <f t="shared" si="24"/>
        <v>28461059.298</v>
      </c>
      <c r="N17" s="190">
        <f t="shared" si="24"/>
        <v>30183988.721730001</v>
      </c>
      <c r="O17" s="190">
        <f t="shared" si="24"/>
        <v>30214049</v>
      </c>
      <c r="P17" s="190">
        <f t="shared" si="24"/>
        <v>31875026.399999999</v>
      </c>
      <c r="Q17" s="190">
        <f t="shared" si="24"/>
        <v>35020294</v>
      </c>
      <c r="R17" s="190">
        <f t="shared" si="24"/>
        <v>36830160</v>
      </c>
      <c r="S17" s="190">
        <f t="shared" si="24"/>
        <v>37753420.387827471</v>
      </c>
      <c r="T17" s="190">
        <f t="shared" si="24"/>
        <v>39709390.767574593</v>
      </c>
      <c r="U17" s="190">
        <f t="shared" si="24"/>
        <v>43274080.453478865</v>
      </c>
      <c r="V17" s="190">
        <f t="shared" si="24"/>
        <v>47893695.397</v>
      </c>
      <c r="W17" s="190">
        <f t="shared" si="24"/>
        <v>48715213.614263885</v>
      </c>
      <c r="X17" s="190">
        <f t="shared" si="24"/>
        <v>52472376.744180001</v>
      </c>
      <c r="Y17" s="190">
        <f t="shared" si="24"/>
        <v>54893344.456663564</v>
      </c>
      <c r="Z17" s="190">
        <f t="shared" si="24"/>
        <v>60232269.321271598</v>
      </c>
      <c r="AA17" s="190">
        <f t="shared" si="24"/>
        <v>63031684.951030001</v>
      </c>
      <c r="AB17" s="190">
        <f t="shared" ref="AB17:AC17" si="26">AB8</f>
        <v>66589592.615950003</v>
      </c>
      <c r="AC17" s="190">
        <f t="shared" si="26"/>
        <v>73305092.557240009</v>
      </c>
      <c r="AD17" s="190">
        <f t="shared" ref="AD17" si="27">AD8</f>
        <v>78827120.74887</v>
      </c>
      <c r="AE17" s="191"/>
      <c r="AF17" s="362">
        <f t="shared" si="11"/>
        <v>7.5329393893311503E-2</v>
      </c>
      <c r="AG17" s="362">
        <f t="shared" si="12"/>
        <v>0.30871909089819827</v>
      </c>
    </row>
    <row r="18" spans="2:36" ht="13" customHeight="1">
      <c r="B18" s="287" t="str">
        <f>IF('Summary | Sumário'!D$6=Names!B$3,Names!Q10,Names!R10)</f>
        <v>Risk-adjusted NIM 2.0 (%)</v>
      </c>
      <c r="C18" s="301">
        <f t="shared" ref="C18:F18" si="28">C12/C16</f>
        <v>4.8257574316724908E-2</v>
      </c>
      <c r="D18" s="301">
        <f t="shared" si="28"/>
        <v>3.9323698139541174E-2</v>
      </c>
      <c r="E18" s="301">
        <f t="shared" si="28"/>
        <v>4.3136944003390354E-2</v>
      </c>
      <c r="F18" s="301">
        <f t="shared" si="28"/>
        <v>4.034885798859994E-2</v>
      </c>
      <c r="G18" s="301">
        <f>G12/G16</f>
        <v>4.1433737564831138E-2</v>
      </c>
      <c r="H18" s="301">
        <f>H12/H16</f>
        <v>4.9151794487335095E-2</v>
      </c>
      <c r="I18" s="301">
        <f>I12/I16</f>
        <v>5.5479403412517378E-2</v>
      </c>
      <c r="J18" s="327"/>
      <c r="K18" s="301">
        <f t="shared" ref="K18:AA18" si="29">K12/K16</f>
        <v>4.4085605491636447E-2</v>
      </c>
      <c r="L18" s="301">
        <f t="shared" si="29"/>
        <v>2.6220915320290392E-2</v>
      </c>
      <c r="M18" s="301">
        <f t="shared" si="29"/>
        <v>4.6633875087625939E-2</v>
      </c>
      <c r="N18" s="301">
        <f t="shared" si="29"/>
        <v>5.061860921319894E-2</v>
      </c>
      <c r="O18" s="301">
        <f t="shared" si="29"/>
        <v>3.2782259071434061E-2</v>
      </c>
      <c r="P18" s="301">
        <f t="shared" si="29"/>
        <v>4.4347422960658245E-2</v>
      </c>
      <c r="Q18" s="301">
        <f t="shared" si="29"/>
        <v>3.8700640351518531E-2</v>
      </c>
      <c r="R18" s="301">
        <f t="shared" si="29"/>
        <v>4.8620585417595272E-2</v>
      </c>
      <c r="S18" s="301">
        <f t="shared" si="29"/>
        <v>4.0309153521016335E-2</v>
      </c>
      <c r="T18" s="301">
        <f t="shared" si="29"/>
        <v>4.4378043460152256E-2</v>
      </c>
      <c r="U18" s="301">
        <f t="shared" si="29"/>
        <v>4.2159442262429708E-2</v>
      </c>
      <c r="V18" s="301">
        <f t="shared" si="29"/>
        <v>4.4962357215369848E-2</v>
      </c>
      <c r="W18" s="301">
        <f t="shared" si="29"/>
        <v>4.8142369184789452E-2</v>
      </c>
      <c r="X18" s="301">
        <f t="shared" si="29"/>
        <v>4.9066733389372438E-2</v>
      </c>
      <c r="Y18" s="301">
        <f t="shared" si="29"/>
        <v>5.163089103848454E-2</v>
      </c>
      <c r="Z18" s="301">
        <f t="shared" si="29"/>
        <v>5.2977147751792485E-2</v>
      </c>
      <c r="AA18" s="301">
        <f t="shared" si="29"/>
        <v>5.5095613637360492E-2</v>
      </c>
      <c r="AB18" s="301">
        <f t="shared" ref="AB18:AC18" si="30">AB12/AB16</f>
        <v>5.5562359322360734E-2</v>
      </c>
      <c r="AC18" s="301">
        <f t="shared" si="30"/>
        <v>5.615052487716235E-2</v>
      </c>
      <c r="AD18" s="301">
        <f t="shared" ref="AD18" si="31">AD12/AD16</f>
        <v>5.9232693748222001E-2</v>
      </c>
      <c r="AE18" s="327"/>
      <c r="AF18" s="369">
        <f>(AD18-AC18)*100</f>
        <v>0.30821688710596512</v>
      </c>
      <c r="AG18" s="369">
        <f>(AD18-Z18)*100</f>
        <v>0.62555459964295168</v>
      </c>
    </row>
    <row r="19" spans="2:36" ht="13" customHeight="1">
      <c r="B19" s="24"/>
      <c r="C19" s="653"/>
      <c r="D19" s="653"/>
      <c r="E19" s="653"/>
      <c r="F19" s="653"/>
      <c r="G19" s="653"/>
      <c r="H19" s="653"/>
      <c r="I19" s="653"/>
      <c r="J19" s="327"/>
      <c r="K19" s="653"/>
      <c r="L19" s="653"/>
      <c r="M19" s="653"/>
      <c r="N19" s="653"/>
      <c r="O19" s="653"/>
      <c r="P19" s="653"/>
      <c r="Q19" s="653"/>
      <c r="R19" s="653"/>
      <c r="S19" s="653"/>
      <c r="T19" s="653"/>
      <c r="U19" s="653"/>
      <c r="V19" s="653"/>
      <c r="W19" s="653"/>
      <c r="X19" s="653"/>
      <c r="Y19" s="653"/>
      <c r="Z19" s="653"/>
      <c r="AA19" s="653"/>
      <c r="AB19" s="653"/>
      <c r="AC19" s="653"/>
      <c r="AD19" s="653"/>
      <c r="AE19" s="327"/>
      <c r="AF19" s="654"/>
      <c r="AG19" s="654"/>
    </row>
    <row r="20" spans="2:36" ht="13" customHeight="1">
      <c r="B20" s="3" t="str">
        <f>IF('Summary | Sumário'!D$6=Names!B$3,Names!Q18,Names!R18)</f>
        <v>NIM 1.0 (%)</v>
      </c>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row>
    <row r="21" spans="2:36" ht="13" customHeight="1">
      <c r="B21" s="288" t="str">
        <f>B5</f>
        <v>Annualized NII</v>
      </c>
      <c r="C21" s="289">
        <f>C5</f>
        <v>591527</v>
      </c>
      <c r="D21" s="289">
        <f t="shared" ref="D21:H21" si="32">D5</f>
        <v>733280.89517999999</v>
      </c>
      <c r="E21" s="289">
        <f t="shared" si="32"/>
        <v>1614134.912</v>
      </c>
      <c r="F21" s="289">
        <f t="shared" si="32"/>
        <v>2435209.1850000001</v>
      </c>
      <c r="G21" s="289">
        <f t="shared" si="32"/>
        <v>3296796.9950000001</v>
      </c>
      <c r="H21" s="289">
        <f t="shared" si="32"/>
        <v>4456744.9342886657</v>
      </c>
      <c r="I21" s="289">
        <f t="shared" ref="I21" si="33">I5</f>
        <v>6273819</v>
      </c>
      <c r="J21" s="179"/>
      <c r="K21" s="289">
        <f t="shared" ref="K21:AA21" si="34">K5</f>
        <v>1189829.3559999999</v>
      </c>
      <c r="L21" s="289">
        <f t="shared" si="34"/>
        <v>1235937.3880000003</v>
      </c>
      <c r="M21" s="289">
        <f t="shared" si="34"/>
        <v>1812643.52</v>
      </c>
      <c r="N21" s="289">
        <f t="shared" si="34"/>
        <v>2218129.3839999996</v>
      </c>
      <c r="O21" s="289">
        <f t="shared" si="34"/>
        <v>2241776.06</v>
      </c>
      <c r="P21" s="289">
        <f t="shared" si="34"/>
        <v>2346601.2440000004</v>
      </c>
      <c r="Q21" s="289">
        <f t="shared" si="34"/>
        <v>2346897.8680000002</v>
      </c>
      <c r="R21" s="289">
        <f t="shared" si="34"/>
        <v>2805561.568</v>
      </c>
      <c r="S21" s="289">
        <f t="shared" si="34"/>
        <v>2905924.4960000003</v>
      </c>
      <c r="T21" s="289">
        <f t="shared" si="34"/>
        <v>3313064</v>
      </c>
      <c r="U21" s="289">
        <f t="shared" si="34"/>
        <v>3380864.4318400002</v>
      </c>
      <c r="V21" s="289">
        <f t="shared" si="34"/>
        <v>3587335.0521599995</v>
      </c>
      <c r="W21" s="289">
        <f t="shared" si="34"/>
        <v>3969682.882079999</v>
      </c>
      <c r="X21" s="289">
        <f t="shared" si="34"/>
        <v>4167462.9032153999</v>
      </c>
      <c r="Y21" s="289">
        <f t="shared" si="34"/>
        <v>4657400.5262945322</v>
      </c>
      <c r="Z21" s="289">
        <f t="shared" si="34"/>
        <v>5032433.4255647324</v>
      </c>
      <c r="AA21" s="289">
        <f t="shared" si="34"/>
        <v>5450377.2000000002</v>
      </c>
      <c r="AB21" s="289">
        <f t="shared" ref="AB21:AC21" si="35">AB5</f>
        <v>5878028</v>
      </c>
      <c r="AC21" s="289">
        <f t="shared" si="35"/>
        <v>6490764</v>
      </c>
      <c r="AD21" s="289">
        <f t="shared" ref="AD21" si="36">AD5</f>
        <v>7276106.7999999998</v>
      </c>
      <c r="AE21" s="179"/>
      <c r="AF21" s="348">
        <f>AD21/AC21-1</f>
        <v>0.12099389224442603</v>
      </c>
      <c r="AG21" s="348">
        <f>AD21/Z21-1</f>
        <v>0.44584263410965752</v>
      </c>
    </row>
    <row r="22" spans="2:36" ht="13" customHeight="1">
      <c r="B22" s="55" t="str">
        <f>B6</f>
        <v>NII</v>
      </c>
      <c r="C22" s="179">
        <f>C6</f>
        <v>591527</v>
      </c>
      <c r="D22" s="179">
        <f t="shared" ref="D22:H22" si="37">D6</f>
        <v>733280.89517999999</v>
      </c>
      <c r="E22" s="179">
        <f t="shared" si="37"/>
        <v>1614134.912</v>
      </c>
      <c r="F22" s="179">
        <f t="shared" si="37"/>
        <v>2435209.1850000001</v>
      </c>
      <c r="G22" s="179">
        <f t="shared" si="37"/>
        <v>3296796.9950000001</v>
      </c>
      <c r="H22" s="179">
        <f t="shared" si="37"/>
        <v>4456744.9342886657</v>
      </c>
      <c r="I22" s="179">
        <f t="shared" ref="I22" si="38">I6</f>
        <v>6273819</v>
      </c>
      <c r="J22" s="179"/>
      <c r="K22" s="179">
        <f t="shared" ref="K22:AA22" si="39">K6</f>
        <v>297457.33899999998</v>
      </c>
      <c r="L22" s="179">
        <f t="shared" si="39"/>
        <v>308984.34700000007</v>
      </c>
      <c r="M22" s="179">
        <f t="shared" si="39"/>
        <v>453160.88</v>
      </c>
      <c r="N22" s="179">
        <f t="shared" si="39"/>
        <v>554532.3459999999</v>
      </c>
      <c r="O22" s="179">
        <f t="shared" si="39"/>
        <v>560444.01500000001</v>
      </c>
      <c r="P22" s="179">
        <f t="shared" si="39"/>
        <v>586650.3110000001</v>
      </c>
      <c r="Q22" s="179">
        <f t="shared" si="39"/>
        <v>586724.46700000006</v>
      </c>
      <c r="R22" s="179">
        <f t="shared" si="39"/>
        <v>701390.39199999999</v>
      </c>
      <c r="S22" s="179">
        <f t="shared" si="39"/>
        <v>726481.12400000007</v>
      </c>
      <c r="T22" s="179">
        <f t="shared" si="39"/>
        <v>828266</v>
      </c>
      <c r="U22" s="179">
        <f t="shared" si="39"/>
        <v>845216.10796000005</v>
      </c>
      <c r="V22" s="179">
        <f t="shared" si="39"/>
        <v>896833.76303999987</v>
      </c>
      <c r="W22" s="179">
        <f t="shared" si="39"/>
        <v>992420.72051999974</v>
      </c>
      <c r="X22" s="179">
        <f t="shared" si="39"/>
        <v>1041865.72580385</v>
      </c>
      <c r="Y22" s="179">
        <f t="shared" si="39"/>
        <v>1164350.1315736331</v>
      </c>
      <c r="Z22" s="179">
        <f t="shared" si="39"/>
        <v>1258108.3563911831</v>
      </c>
      <c r="AA22" s="179">
        <f t="shared" si="39"/>
        <v>1362594.3</v>
      </c>
      <c r="AB22" s="179">
        <f t="shared" ref="AB22:AC22" si="40">AB6</f>
        <v>1469507</v>
      </c>
      <c r="AC22" s="179">
        <f t="shared" si="40"/>
        <v>1622691</v>
      </c>
      <c r="AD22" s="179">
        <f t="shared" ref="AD22" si="41">AD6</f>
        <v>1819026.7</v>
      </c>
      <c r="AE22" s="179"/>
      <c r="AF22" s="349">
        <f>AD22/AC22-1</f>
        <v>0.12099389224442603</v>
      </c>
      <c r="AG22" s="349">
        <f>AD22/Z22-1</f>
        <v>0.44584263410965752</v>
      </c>
    </row>
    <row r="23" spans="2:36" ht="13" customHeight="1">
      <c r="B23" s="69" t="str">
        <f>IF('Summary | Sumário'!D$6=Names!B$3,Names!Q22,Names!R22)</f>
        <v>Avg. of IEP + non-interest credit card receivables</v>
      </c>
      <c r="C23" s="515">
        <f>C24+C25</f>
        <v>9453075</v>
      </c>
      <c r="D23" s="515">
        <f>AVERAGE((C24+C25),(D24+D25))</f>
        <v>14083860</v>
      </c>
      <c r="E23" s="515">
        <f t="shared" ref="E23:I23" si="42">AVERAGE((D24+D25),(E24+E25))</f>
        <v>26510473.360865001</v>
      </c>
      <c r="F23" s="515">
        <f t="shared" si="42"/>
        <v>38274129.860864997</v>
      </c>
      <c r="G23" s="515">
        <f t="shared" si="42"/>
        <v>48812832</v>
      </c>
      <c r="H23" s="515">
        <f t="shared" si="42"/>
        <v>62583005.568365797</v>
      </c>
      <c r="I23" s="515">
        <f t="shared" si="42"/>
        <v>80175741.568365797</v>
      </c>
      <c r="J23" s="513"/>
      <c r="K23" s="515">
        <f>AVERAGE((D24+D25),(K24+K25))</f>
        <v>19195037.672150001</v>
      </c>
      <c r="L23" s="515">
        <f t="shared" ref="L23" si="43">AVERAGE((K24+K25),(L24+L25))</f>
        <v>23964644.172650002</v>
      </c>
      <c r="M23" s="515">
        <f t="shared" ref="M23" si="44">AVERAGE((L24+L25),(M24+M25))</f>
        <v>29997936.149500001</v>
      </c>
      <c r="N23" s="515">
        <f t="shared" ref="N23" si="45">AVERAGE((M24+M25),(N24+N25))</f>
        <v>33024158.009865001</v>
      </c>
      <c r="O23" s="515">
        <f t="shared" ref="O23" si="46">AVERAGE((N24+N25),(O24+O25))</f>
        <v>34499818.360864997</v>
      </c>
      <c r="P23" s="515">
        <f t="shared" ref="P23" si="47">AVERAGE((O24+O25),(P24+P25))</f>
        <v>35732741.200000003</v>
      </c>
      <c r="Q23" s="515">
        <f t="shared" ref="Q23" si="48">AVERAGE((P24+P25),(Q24+Q25))</f>
        <v>38447190.200000003</v>
      </c>
      <c r="R23" s="515">
        <f t="shared" ref="R23" si="49">AVERAGE((Q24+Q25),(R24+R25))</f>
        <v>41182095.5</v>
      </c>
      <c r="S23" s="515">
        <f t="shared" ref="S23" si="50">AVERAGE((R24+R25),(S24+S25))</f>
        <v>42837823.5</v>
      </c>
      <c r="T23" s="515">
        <f t="shared" ref="T23" si="51">AVERAGE((S24+S25),(T24+T25))</f>
        <v>44523520</v>
      </c>
      <c r="U23" s="515">
        <f t="shared" ref="U23" si="52">AVERAGE((T24+T25),(U24+U25))</f>
        <v>47827682.24923943</v>
      </c>
      <c r="V23" s="515">
        <f t="shared" ref="V23" si="53">AVERAGE((U24+U25),(V24+V25))</f>
        <v>52712859.74923943</v>
      </c>
      <c r="W23" s="515">
        <f t="shared" ref="W23" si="54">AVERAGE((V24+V25),(W24+W25))</f>
        <v>56017000.414971948</v>
      </c>
      <c r="X23" s="515">
        <f t="shared" ref="X23" si="55">AVERAGE((W24+W25),(X24+X25))</f>
        <v>58683320.02965194</v>
      </c>
      <c r="Y23" s="515">
        <f t="shared" ref="Y23" si="56">AVERAGE((X24+X25),(Y24+Y25))</f>
        <v>62086280.520046785</v>
      </c>
      <c r="Z23" s="515">
        <f t="shared" ref="Z23" si="57">AVERAGE((Y24+Y25),(Z24+Z25))</f>
        <v>66619260.473732576</v>
      </c>
      <c r="AA23" s="515">
        <f t="shared" ref="AA23:AD23" si="58">AVERAGE((Z24+Z25),(AA24+AA25))</f>
        <v>71218327.568365797</v>
      </c>
      <c r="AB23" s="515">
        <f t="shared" si="58"/>
        <v>74687358</v>
      </c>
      <c r="AC23" s="515">
        <f t="shared" si="58"/>
        <v>80375273</v>
      </c>
      <c r="AD23" s="515">
        <f t="shared" si="58"/>
        <v>87299679</v>
      </c>
      <c r="AE23" s="191"/>
      <c r="AF23" s="350">
        <f>AD23/AC23-1</f>
        <v>8.6150948439080333E-2</v>
      </c>
      <c r="AG23" s="350">
        <f>AD23/Z23-1</f>
        <v>0.31042702034228586</v>
      </c>
    </row>
    <row r="24" spans="2:36" ht="13" customHeight="1">
      <c r="B24" s="64" t="str">
        <f>B8</f>
        <v>IEP</v>
      </c>
      <c r="C24" s="179">
        <f>C8</f>
        <v>9386236.3870000001</v>
      </c>
      <c r="D24" s="179">
        <f t="shared" ref="D24:H24" si="59">D8</f>
        <v>17040214.824999999</v>
      </c>
      <c r="E24" s="179">
        <f t="shared" si="59"/>
        <v>30183988.721730001</v>
      </c>
      <c r="F24" s="179">
        <f t="shared" si="59"/>
        <v>36830160</v>
      </c>
      <c r="G24" s="179">
        <f t="shared" si="59"/>
        <v>47893695.397</v>
      </c>
      <c r="H24" s="179">
        <f t="shared" si="59"/>
        <v>60232269.321271598</v>
      </c>
      <c r="I24" s="179">
        <f t="shared" ref="I24" si="60">I8</f>
        <v>78827120.74887</v>
      </c>
      <c r="J24" s="327"/>
      <c r="K24" s="179">
        <f t="shared" ref="K24:AA24" si="61">K8</f>
        <v>17581215.344299998</v>
      </c>
      <c r="L24" s="179">
        <f t="shared" si="61"/>
        <v>25603653.001000002</v>
      </c>
      <c r="M24" s="179">
        <f t="shared" si="61"/>
        <v>28461059.298</v>
      </c>
      <c r="N24" s="179">
        <f t="shared" si="61"/>
        <v>30183988.721730001</v>
      </c>
      <c r="O24" s="179">
        <f t="shared" si="61"/>
        <v>30214049</v>
      </c>
      <c r="P24" s="179">
        <f t="shared" si="61"/>
        <v>31875026.399999999</v>
      </c>
      <c r="Q24" s="179">
        <f t="shared" si="61"/>
        <v>35020294</v>
      </c>
      <c r="R24" s="179">
        <f t="shared" si="61"/>
        <v>36830160</v>
      </c>
      <c r="S24" s="179">
        <f t="shared" si="61"/>
        <v>37753420.387827471</v>
      </c>
      <c r="T24" s="179">
        <f t="shared" si="61"/>
        <v>39709390.767574593</v>
      </c>
      <c r="U24" s="179">
        <f t="shared" si="61"/>
        <v>43274080.453478865</v>
      </c>
      <c r="V24" s="179">
        <f t="shared" si="61"/>
        <v>47893695.397</v>
      </c>
      <c r="W24" s="179">
        <f t="shared" si="61"/>
        <v>48715213.614263885</v>
      </c>
      <c r="X24" s="179">
        <f t="shared" si="61"/>
        <v>52472376.744180001</v>
      </c>
      <c r="Y24" s="179">
        <f t="shared" si="61"/>
        <v>54893344.456663564</v>
      </c>
      <c r="Z24" s="179">
        <f t="shared" si="61"/>
        <v>60232269.321271598</v>
      </c>
      <c r="AA24" s="179">
        <f t="shared" si="61"/>
        <v>63031684.951030001</v>
      </c>
      <c r="AB24" s="179">
        <f t="shared" ref="AB24:AC24" si="62">AB8</f>
        <v>66589592.615950003</v>
      </c>
      <c r="AC24" s="179">
        <f t="shared" si="62"/>
        <v>73305092.557240009</v>
      </c>
      <c r="AD24" s="179">
        <f t="shared" ref="AD24" si="63">AD8</f>
        <v>78827120.74887</v>
      </c>
      <c r="AE24" s="327"/>
      <c r="AF24" s="349">
        <f>AD24/AC24-1</f>
        <v>7.5329393893311503E-2</v>
      </c>
      <c r="AG24" s="349">
        <f>AD24/Z24-1</f>
        <v>0.30871909089819827</v>
      </c>
    </row>
    <row r="25" spans="2:36" ht="13" customHeight="1">
      <c r="B25" s="68" t="str">
        <f>IF('Summary | Sumário'!D$6=Names!B$3,Names!Q23,Names!R23)</f>
        <v>Non-interest earning credit card receivables</v>
      </c>
      <c r="C25" s="176">
        <f>-'5. IEP'!C20</f>
        <v>66838.612999999998</v>
      </c>
      <c r="D25" s="176">
        <f>-'5. IEP'!D20</f>
        <v>1674430.175</v>
      </c>
      <c r="E25" s="176">
        <f>-'5. IEP'!E20</f>
        <v>4122313</v>
      </c>
      <c r="F25" s="176">
        <f>-'5. IEP'!F20</f>
        <v>5411798</v>
      </c>
      <c r="G25" s="176">
        <f>-'5. IEP'!G20</f>
        <v>7490010.6029999992</v>
      </c>
      <c r="H25" s="176">
        <f>-'5. IEP'!H20</f>
        <v>9550035.8154600002</v>
      </c>
      <c r="I25" s="176">
        <f>-'5. IEP'!I20</f>
        <v>11742057.25113</v>
      </c>
      <c r="J25" s="327"/>
      <c r="K25" s="176">
        <f>-'5. IEP'!K20</f>
        <v>2094215</v>
      </c>
      <c r="L25" s="176">
        <f>-'5. IEP'!L20</f>
        <v>2650205</v>
      </c>
      <c r="M25" s="176">
        <f>-'5. IEP'!M20</f>
        <v>3280955</v>
      </c>
      <c r="N25" s="176">
        <f>-'5. IEP'!N20</f>
        <v>4122313</v>
      </c>
      <c r="O25" s="176">
        <f>-'5. IEP'!O20</f>
        <v>4479286</v>
      </c>
      <c r="P25" s="176">
        <f>-'5. IEP'!P20</f>
        <v>4897121</v>
      </c>
      <c r="Q25" s="176">
        <f>-'5. IEP'!Q20</f>
        <v>5101939</v>
      </c>
      <c r="R25" s="176">
        <f>-'5. IEP'!R20</f>
        <v>5411798</v>
      </c>
      <c r="S25" s="176">
        <f>-'5. IEP'!S20</f>
        <v>5680268.6121725254</v>
      </c>
      <c r="T25" s="176">
        <f>-'5. IEP'!T20</f>
        <v>5903960.2324254084</v>
      </c>
      <c r="U25" s="176">
        <f>-'5. IEP'!U20</f>
        <v>6767933.0449999999</v>
      </c>
      <c r="V25" s="176">
        <f>-'5. IEP'!V20</f>
        <v>7490010.6029999992</v>
      </c>
      <c r="W25" s="176">
        <f>-'5. IEP'!W20</f>
        <v>7935081.2156800013</v>
      </c>
      <c r="X25" s="176">
        <f>-'5. IEP'!X20</f>
        <v>8243968.4851799998</v>
      </c>
      <c r="Y25" s="176">
        <f>-'5. IEP'!Y20</f>
        <v>8562871.3540700004</v>
      </c>
      <c r="Z25" s="176">
        <f>-'5. IEP'!Z20</f>
        <v>9550035.8154600002</v>
      </c>
      <c r="AA25" s="176">
        <f>-'5. IEP'!AA20</f>
        <v>9622665.0489700008</v>
      </c>
      <c r="AB25" s="176">
        <f>-'5. IEP'!AB20</f>
        <v>10130773.38405</v>
      </c>
      <c r="AC25" s="176">
        <f>-'5. IEP'!AC20</f>
        <v>10725087.44276</v>
      </c>
      <c r="AD25" s="176">
        <f>-'5. IEP'!AD20</f>
        <v>11742057.25113</v>
      </c>
      <c r="AE25" s="327"/>
      <c r="AF25" s="350">
        <f>AD25/AC25-1</f>
        <v>9.4821586658158985E-2</v>
      </c>
      <c r="AG25" s="350">
        <f>AD25/Z25-1</f>
        <v>0.22953017957497734</v>
      </c>
    </row>
    <row r="26" spans="2:36" ht="13" customHeight="1">
      <c r="B26" s="287" t="str">
        <f>IF('Summary | Sumário'!D$6=Names!B$3,Names!Q18,Names!R18)</f>
        <v>NIM 1.0 (%)</v>
      </c>
      <c r="C26" s="301">
        <f>C21/C23</f>
        <v>6.2575088000465462E-2</v>
      </c>
      <c r="D26" s="301">
        <f t="shared" ref="D26:AA26" si="64">D21/D23</f>
        <v>5.2065335439290081E-2</v>
      </c>
      <c r="E26" s="301">
        <f t="shared" si="64"/>
        <v>6.0886687688602364E-2</v>
      </c>
      <c r="F26" s="301">
        <f t="shared" si="64"/>
        <v>6.3625461737537303E-2</v>
      </c>
      <c r="G26" s="301">
        <f t="shared" si="64"/>
        <v>6.7539555889729985E-2</v>
      </c>
      <c r="H26" s="301">
        <f t="shared" si="64"/>
        <v>7.121334128671894E-2</v>
      </c>
      <c r="I26" s="301">
        <f t="shared" ref="I26" si="65">I21/I23</f>
        <v>7.8250838436590184E-2</v>
      </c>
      <c r="J26" s="327"/>
      <c r="K26" s="301">
        <f t="shared" si="64"/>
        <v>6.1986299601084829E-2</v>
      </c>
      <c r="L26" s="301">
        <f t="shared" si="64"/>
        <v>5.1573366960755117E-2</v>
      </c>
      <c r="M26" s="301">
        <f t="shared" si="64"/>
        <v>6.0425607647351859E-2</v>
      </c>
      <c r="N26" s="301">
        <f t="shared" si="64"/>
        <v>6.7166871698512293E-2</v>
      </c>
      <c r="O26" s="301">
        <f t="shared" si="64"/>
        <v>6.4979358341867896E-2</v>
      </c>
      <c r="P26" s="301">
        <f t="shared" si="64"/>
        <v>6.5670899158444637E-2</v>
      </c>
      <c r="Q26" s="301">
        <f t="shared" si="64"/>
        <v>6.1042116622608222E-2</v>
      </c>
      <c r="R26" s="301">
        <f t="shared" si="64"/>
        <v>6.8125760331938429E-2</v>
      </c>
      <c r="S26" s="301">
        <f t="shared" si="64"/>
        <v>6.7835484125378126E-2</v>
      </c>
      <c r="T26" s="301">
        <f t="shared" si="64"/>
        <v>7.4411546975620982E-2</v>
      </c>
      <c r="U26" s="301">
        <f t="shared" si="64"/>
        <v>7.0688443864405828E-2</v>
      </c>
      <c r="V26" s="301">
        <f t="shared" si="64"/>
        <v>6.8054267387983244E-2</v>
      </c>
      <c r="W26" s="301">
        <f t="shared" si="64"/>
        <v>7.0865681001708938E-2</v>
      </c>
      <c r="X26" s="301">
        <f t="shared" si="64"/>
        <v>7.1016140550835119E-2</v>
      </c>
      <c r="Y26" s="301">
        <f t="shared" si="64"/>
        <v>7.5014970896681812E-2</v>
      </c>
      <c r="Z26" s="301">
        <f t="shared" si="64"/>
        <v>7.5540217495343995E-2</v>
      </c>
      <c r="AA26" s="301">
        <f t="shared" si="64"/>
        <v>7.6530541871654159E-2</v>
      </c>
      <c r="AB26" s="301">
        <f t="shared" ref="AB26:AC26" si="66">AB21/AB23</f>
        <v>7.8701779757693394E-2</v>
      </c>
      <c r="AC26" s="301">
        <f t="shared" si="66"/>
        <v>8.0755731927653923E-2</v>
      </c>
      <c r="AD26" s="301">
        <f t="shared" ref="AD26" si="67">AD21/AD23</f>
        <v>8.334631791715981E-2</v>
      </c>
      <c r="AE26" s="327"/>
      <c r="AF26" s="369">
        <f>(AD26-AC26)*100</f>
        <v>0.25905859895058864</v>
      </c>
      <c r="AG26" s="369">
        <f>(AD26-Z26)*100</f>
        <v>0.78061004218158148</v>
      </c>
      <c r="AI26" s="160"/>
      <c r="AJ26" s="160"/>
    </row>
    <row r="27" spans="2:36" ht="13" customHeight="1">
      <c r="B27" s="3"/>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649"/>
      <c r="AG27" s="649"/>
    </row>
    <row r="28" spans="2:36" ht="13" customHeight="1">
      <c r="B28" s="24" t="str">
        <f>IF('Summary | Sumário'!D$6=Names!B$3,Names!Q20,Names!R20)</f>
        <v>Risk-Adjusted NIM 1.0 (%)</v>
      </c>
      <c r="C28" s="316"/>
      <c r="D28" s="316"/>
      <c r="E28" s="316"/>
      <c r="F28" s="316"/>
      <c r="G28" s="316"/>
      <c r="H28" s="316"/>
      <c r="I28" s="316"/>
      <c r="J28" s="182"/>
      <c r="K28" s="316"/>
      <c r="L28" s="316"/>
      <c r="M28" s="316"/>
      <c r="N28" s="316"/>
      <c r="O28" s="316"/>
      <c r="P28" s="316"/>
      <c r="Q28" s="316"/>
      <c r="R28" s="316"/>
      <c r="S28" s="316"/>
      <c r="T28" s="316"/>
      <c r="U28" s="316"/>
      <c r="V28" s="316"/>
      <c r="W28" s="316"/>
      <c r="X28" s="316"/>
      <c r="Y28" s="316"/>
      <c r="Z28" s="316"/>
      <c r="AA28" s="316"/>
      <c r="AB28" s="316"/>
      <c r="AC28" s="316"/>
      <c r="AD28" s="316"/>
      <c r="AE28" s="182"/>
      <c r="AF28" s="316"/>
      <c r="AG28" s="316"/>
    </row>
    <row r="29" spans="2:36" ht="13" customHeight="1">
      <c r="B29" s="291" t="str">
        <f>B12</f>
        <v>Annualized NII after impairment losses on financial assets</v>
      </c>
      <c r="C29" s="650">
        <f>C12</f>
        <v>452957</v>
      </c>
      <c r="D29" s="650">
        <f t="shared" ref="D29:H29" si="68">D12</f>
        <v>519592.89517999999</v>
      </c>
      <c r="E29" s="650">
        <f t="shared" si="68"/>
        <v>1018553.912</v>
      </c>
      <c r="F29" s="650">
        <f t="shared" si="68"/>
        <v>1351972.1850000001</v>
      </c>
      <c r="G29" s="650">
        <f t="shared" si="68"/>
        <v>1755212.9950000001</v>
      </c>
      <c r="H29" s="650">
        <f t="shared" si="68"/>
        <v>2657292.5982886655</v>
      </c>
      <c r="I29" s="650">
        <f t="shared" ref="I29" si="69">I12</f>
        <v>3857466</v>
      </c>
      <c r="J29" s="179"/>
      <c r="K29" s="650">
        <f t="shared" ref="K29:AA29" si="70">K12</f>
        <v>763153.35599999991</v>
      </c>
      <c r="L29" s="650">
        <f t="shared" si="70"/>
        <v>566173.38800000027</v>
      </c>
      <c r="M29" s="650">
        <f t="shared" si="70"/>
        <v>1260623.52</v>
      </c>
      <c r="N29" s="650">
        <f t="shared" si="70"/>
        <v>1484265.3839999996</v>
      </c>
      <c r="O29" s="650">
        <f t="shared" si="70"/>
        <v>989992.06</v>
      </c>
      <c r="P29" s="650">
        <f t="shared" si="70"/>
        <v>1376745.2440000004</v>
      </c>
      <c r="Q29" s="650">
        <f t="shared" si="70"/>
        <v>1294445.8680000002</v>
      </c>
      <c r="R29" s="650">
        <f t="shared" si="70"/>
        <v>1746705.568</v>
      </c>
      <c r="S29" s="650">
        <f t="shared" si="70"/>
        <v>1503200.4960000003</v>
      </c>
      <c r="T29" s="650">
        <f t="shared" si="70"/>
        <v>1718824</v>
      </c>
      <c r="U29" s="650">
        <f t="shared" si="70"/>
        <v>1749268.4318400002</v>
      </c>
      <c r="V29" s="650">
        <f t="shared" si="70"/>
        <v>2049559.0521599995</v>
      </c>
      <c r="W29" s="650">
        <f t="shared" si="70"/>
        <v>2325490.882079999</v>
      </c>
      <c r="X29" s="650">
        <f t="shared" si="70"/>
        <v>2482472.2592153996</v>
      </c>
      <c r="Y29" s="650">
        <f t="shared" si="70"/>
        <v>2771693.9262945321</v>
      </c>
      <c r="Z29" s="650">
        <f t="shared" si="70"/>
        <v>3049513.3255647337</v>
      </c>
      <c r="AA29" s="650">
        <f t="shared" si="70"/>
        <v>3395651.6</v>
      </c>
      <c r="AB29" s="650">
        <f t="shared" ref="AB29:AC29" si="71">AB12</f>
        <v>3601032</v>
      </c>
      <c r="AC29" s="650">
        <f t="shared" si="71"/>
        <v>3927580</v>
      </c>
      <c r="AD29" s="650">
        <f t="shared" ref="AD29" si="72">AD12</f>
        <v>4505600.3999999994</v>
      </c>
      <c r="AE29" s="179"/>
      <c r="AF29" s="352">
        <f t="shared" ref="AF29:AF35" si="73">AD29/AC29-1</f>
        <v>0.14716960571140492</v>
      </c>
      <c r="AG29" s="352">
        <f t="shared" ref="AG29:AG35" si="74">AD29/Z29-1</f>
        <v>0.47748178774251326</v>
      </c>
    </row>
    <row r="30" spans="2:36" ht="13" customHeight="1">
      <c r="B30" s="59" t="str">
        <f>B13</f>
        <v>NII after impairment losses on financial assets</v>
      </c>
      <c r="C30" s="655">
        <f>C13</f>
        <v>452957</v>
      </c>
      <c r="D30" s="655">
        <f t="shared" ref="D30:H30" si="75">D13</f>
        <v>519592.89517999999</v>
      </c>
      <c r="E30" s="655">
        <f t="shared" si="75"/>
        <v>1018553.912</v>
      </c>
      <c r="F30" s="655">
        <f t="shared" si="75"/>
        <v>1351972.1850000001</v>
      </c>
      <c r="G30" s="655">
        <f t="shared" si="75"/>
        <v>1755212.9950000001</v>
      </c>
      <c r="H30" s="655">
        <f t="shared" si="75"/>
        <v>2657292.5982886655</v>
      </c>
      <c r="I30" s="655">
        <f t="shared" ref="I30" si="76">I13</f>
        <v>3857466</v>
      </c>
      <c r="J30" s="179"/>
      <c r="K30" s="655">
        <f t="shared" ref="K30:AA30" si="77">K13</f>
        <v>190788.33899999998</v>
      </c>
      <c r="L30" s="655">
        <f t="shared" si="77"/>
        <v>141543.34700000007</v>
      </c>
      <c r="M30" s="655">
        <f t="shared" si="77"/>
        <v>315155.88</v>
      </c>
      <c r="N30" s="655">
        <f t="shared" si="77"/>
        <v>371066.3459999999</v>
      </c>
      <c r="O30" s="655">
        <f t="shared" si="77"/>
        <v>247498.01500000001</v>
      </c>
      <c r="P30" s="655">
        <f t="shared" si="77"/>
        <v>344186.3110000001</v>
      </c>
      <c r="Q30" s="655">
        <f t="shared" si="77"/>
        <v>323611.46700000006</v>
      </c>
      <c r="R30" s="655">
        <f t="shared" si="77"/>
        <v>436676.39199999999</v>
      </c>
      <c r="S30" s="655">
        <f t="shared" si="77"/>
        <v>375800.12400000007</v>
      </c>
      <c r="T30" s="655">
        <f t="shared" si="77"/>
        <v>429706</v>
      </c>
      <c r="U30" s="655">
        <f t="shared" si="77"/>
        <v>437317.10796000005</v>
      </c>
      <c r="V30" s="655">
        <f t="shared" si="77"/>
        <v>512389.76303999987</v>
      </c>
      <c r="W30" s="655">
        <f t="shared" si="77"/>
        <v>581372.72051999974</v>
      </c>
      <c r="X30" s="655">
        <f t="shared" si="77"/>
        <v>620618.06480384991</v>
      </c>
      <c r="Y30" s="655">
        <f t="shared" si="77"/>
        <v>692923.48157363303</v>
      </c>
      <c r="Z30" s="655">
        <f t="shared" si="77"/>
        <v>762378.33139118343</v>
      </c>
      <c r="AA30" s="655">
        <f t="shared" si="77"/>
        <v>848912.9</v>
      </c>
      <c r="AB30" s="655">
        <f t="shared" ref="AB30:AC30" si="78">AB13</f>
        <v>900258</v>
      </c>
      <c r="AC30" s="655">
        <f t="shared" si="78"/>
        <v>981895</v>
      </c>
      <c r="AD30" s="655">
        <f t="shared" ref="AD30" si="79">AD13</f>
        <v>1126400.0999999999</v>
      </c>
      <c r="AE30" s="179"/>
      <c r="AF30" s="350">
        <f t="shared" si="73"/>
        <v>0.14716960571140492</v>
      </c>
      <c r="AG30" s="350">
        <f t="shared" si="74"/>
        <v>0.47748178774251326</v>
      </c>
    </row>
    <row r="31" spans="2:36" ht="13" customHeight="1">
      <c r="B31" s="55" t="str">
        <f>B22</f>
        <v>NII</v>
      </c>
      <c r="C31" s="651">
        <f>C14</f>
        <v>591527</v>
      </c>
      <c r="D31" s="651">
        <f t="shared" ref="D31:H31" si="80">D14</f>
        <v>733280.89517999999</v>
      </c>
      <c r="E31" s="651">
        <f t="shared" si="80"/>
        <v>1614134.912</v>
      </c>
      <c r="F31" s="651">
        <f t="shared" si="80"/>
        <v>2435209.1850000001</v>
      </c>
      <c r="G31" s="651">
        <f t="shared" si="80"/>
        <v>3296796.9950000001</v>
      </c>
      <c r="H31" s="651">
        <f t="shared" si="80"/>
        <v>4456744.9342886657</v>
      </c>
      <c r="I31" s="651">
        <f t="shared" ref="I31" si="81">I14</f>
        <v>6273819</v>
      </c>
      <c r="J31" s="179"/>
      <c r="K31" s="651">
        <f t="shared" ref="K31:AA31" si="82">K14</f>
        <v>297457.33899999998</v>
      </c>
      <c r="L31" s="651">
        <f t="shared" si="82"/>
        <v>308984.34700000007</v>
      </c>
      <c r="M31" s="651">
        <f t="shared" si="82"/>
        <v>453160.88</v>
      </c>
      <c r="N31" s="651">
        <f t="shared" si="82"/>
        <v>554532.3459999999</v>
      </c>
      <c r="O31" s="651">
        <f t="shared" si="82"/>
        <v>560444.01500000001</v>
      </c>
      <c r="P31" s="651">
        <f t="shared" si="82"/>
        <v>586650.3110000001</v>
      </c>
      <c r="Q31" s="651">
        <f t="shared" si="82"/>
        <v>586724.46700000006</v>
      </c>
      <c r="R31" s="651">
        <f t="shared" si="82"/>
        <v>701390.39199999999</v>
      </c>
      <c r="S31" s="651">
        <f t="shared" si="82"/>
        <v>726481.12400000007</v>
      </c>
      <c r="T31" s="651">
        <f t="shared" si="82"/>
        <v>828266</v>
      </c>
      <c r="U31" s="651">
        <f t="shared" si="82"/>
        <v>845216.10796000005</v>
      </c>
      <c r="V31" s="651">
        <f t="shared" si="82"/>
        <v>896833.76303999987</v>
      </c>
      <c r="W31" s="651">
        <f t="shared" si="82"/>
        <v>992420.72051999974</v>
      </c>
      <c r="X31" s="651">
        <f t="shared" si="82"/>
        <v>1041865.72580385</v>
      </c>
      <c r="Y31" s="651">
        <f t="shared" si="82"/>
        <v>1164350.1315736331</v>
      </c>
      <c r="Z31" s="651">
        <f t="shared" si="82"/>
        <v>1258108.3563911831</v>
      </c>
      <c r="AA31" s="651">
        <f t="shared" si="82"/>
        <v>1362594.3</v>
      </c>
      <c r="AB31" s="651">
        <f t="shared" ref="AB31:AC31" si="83">AB14</f>
        <v>1469507</v>
      </c>
      <c r="AC31" s="651">
        <f t="shared" si="83"/>
        <v>1622691</v>
      </c>
      <c r="AD31" s="651">
        <f t="shared" ref="AD31" si="84">AD14</f>
        <v>1819026.7</v>
      </c>
      <c r="AE31" s="179"/>
      <c r="AF31" s="349">
        <f t="shared" si="73"/>
        <v>0.12099389224442603</v>
      </c>
      <c r="AG31" s="349">
        <f t="shared" si="74"/>
        <v>0.44584263410965752</v>
      </c>
    </row>
    <row r="32" spans="2:36" ht="13" customHeight="1">
      <c r="B32" s="60" t="str">
        <f>B15</f>
        <v>Impairment losses on financial assets</v>
      </c>
      <c r="C32" s="656">
        <f>C15</f>
        <v>-138570</v>
      </c>
      <c r="D32" s="656">
        <f t="shared" ref="D32:H32" si="85">D15</f>
        <v>-213688</v>
      </c>
      <c r="E32" s="656">
        <f t="shared" si="85"/>
        <v>-595581</v>
      </c>
      <c r="F32" s="656">
        <f t="shared" si="85"/>
        <v>-1083237</v>
      </c>
      <c r="G32" s="656">
        <f t="shared" si="85"/>
        <v>-1541584</v>
      </c>
      <c r="H32" s="656">
        <f t="shared" si="85"/>
        <v>-1799452.3359999999</v>
      </c>
      <c r="I32" s="656">
        <f t="shared" ref="I32" si="86">I15</f>
        <v>-2416353</v>
      </c>
      <c r="J32" s="513"/>
      <c r="K32" s="656">
        <f t="shared" ref="K32:AA32" si="87">K15</f>
        <v>-106669</v>
      </c>
      <c r="L32" s="656">
        <f t="shared" si="87"/>
        <v>-167441</v>
      </c>
      <c r="M32" s="656">
        <f t="shared" si="87"/>
        <v>-138005</v>
      </c>
      <c r="N32" s="656">
        <f t="shared" si="87"/>
        <v>-183466</v>
      </c>
      <c r="O32" s="656">
        <f t="shared" si="87"/>
        <v>-312946</v>
      </c>
      <c r="P32" s="656">
        <f t="shared" si="87"/>
        <v>-242464</v>
      </c>
      <c r="Q32" s="656">
        <f t="shared" si="87"/>
        <v>-263113</v>
      </c>
      <c r="R32" s="656">
        <f t="shared" si="87"/>
        <v>-264714</v>
      </c>
      <c r="S32" s="656">
        <f t="shared" si="87"/>
        <v>-350681</v>
      </c>
      <c r="T32" s="656">
        <f t="shared" si="87"/>
        <v>-398560</v>
      </c>
      <c r="U32" s="656">
        <f t="shared" si="87"/>
        <v>-407899</v>
      </c>
      <c r="V32" s="656">
        <f t="shared" si="87"/>
        <v>-384444</v>
      </c>
      <c r="W32" s="656">
        <f t="shared" si="87"/>
        <v>-411048</v>
      </c>
      <c r="X32" s="656">
        <f t="shared" si="87"/>
        <v>-421247.66100000002</v>
      </c>
      <c r="Y32" s="656">
        <f t="shared" si="87"/>
        <v>-471426.65</v>
      </c>
      <c r="Z32" s="656">
        <f t="shared" si="87"/>
        <v>-495730.02499999967</v>
      </c>
      <c r="AA32" s="656">
        <f t="shared" si="87"/>
        <v>-513681.4</v>
      </c>
      <c r="AB32" s="656">
        <f t="shared" ref="AB32:AC32" si="88">AB15</f>
        <v>-569249</v>
      </c>
      <c r="AC32" s="656">
        <f t="shared" si="88"/>
        <v>-640796</v>
      </c>
      <c r="AD32" s="656">
        <f t="shared" ref="AD32" si="89">AD15</f>
        <v>-692626.60000000009</v>
      </c>
      <c r="AE32" s="191"/>
      <c r="AF32" s="350">
        <f t="shared" si="73"/>
        <v>8.0884712139276838E-2</v>
      </c>
      <c r="AG32" s="350">
        <f t="shared" si="74"/>
        <v>0.39718509081631792</v>
      </c>
    </row>
    <row r="33" spans="2:36" ht="13" customHeight="1">
      <c r="B33" s="63" t="str">
        <f t="shared" ref="B33:C35" si="90">B23</f>
        <v>Avg. of IEP + non-interest credit card receivables</v>
      </c>
      <c r="C33" s="651">
        <f t="shared" si="90"/>
        <v>9453075</v>
      </c>
      <c r="D33" s="651">
        <f t="shared" ref="D33:H33" si="91">D23</f>
        <v>14083860</v>
      </c>
      <c r="E33" s="651">
        <f t="shared" si="91"/>
        <v>26510473.360865001</v>
      </c>
      <c r="F33" s="651">
        <f t="shared" si="91"/>
        <v>38274129.860864997</v>
      </c>
      <c r="G33" s="651">
        <f t="shared" si="91"/>
        <v>48812832</v>
      </c>
      <c r="H33" s="651">
        <f t="shared" si="91"/>
        <v>62583005.568365797</v>
      </c>
      <c r="I33" s="651">
        <f t="shared" ref="I33" si="92">I23</f>
        <v>80175741.568365797</v>
      </c>
      <c r="J33" s="327"/>
      <c r="K33" s="651">
        <f t="shared" ref="K33:AA33" si="93">K23</f>
        <v>19195037.672150001</v>
      </c>
      <c r="L33" s="651">
        <f t="shared" si="93"/>
        <v>23964644.172650002</v>
      </c>
      <c r="M33" s="651">
        <f t="shared" si="93"/>
        <v>29997936.149500001</v>
      </c>
      <c r="N33" s="651">
        <f t="shared" si="93"/>
        <v>33024158.009865001</v>
      </c>
      <c r="O33" s="651">
        <f t="shared" si="93"/>
        <v>34499818.360864997</v>
      </c>
      <c r="P33" s="651">
        <f t="shared" si="93"/>
        <v>35732741.200000003</v>
      </c>
      <c r="Q33" s="651">
        <f t="shared" si="93"/>
        <v>38447190.200000003</v>
      </c>
      <c r="R33" s="651">
        <f t="shared" si="93"/>
        <v>41182095.5</v>
      </c>
      <c r="S33" s="651">
        <f t="shared" si="93"/>
        <v>42837823.5</v>
      </c>
      <c r="T33" s="651">
        <f t="shared" si="93"/>
        <v>44523520</v>
      </c>
      <c r="U33" s="651">
        <f t="shared" si="93"/>
        <v>47827682.24923943</v>
      </c>
      <c r="V33" s="651">
        <f t="shared" si="93"/>
        <v>52712859.74923943</v>
      </c>
      <c r="W33" s="651">
        <f t="shared" si="93"/>
        <v>56017000.414971948</v>
      </c>
      <c r="X33" s="651">
        <f t="shared" si="93"/>
        <v>58683320.02965194</v>
      </c>
      <c r="Y33" s="651">
        <f t="shared" si="93"/>
        <v>62086280.520046785</v>
      </c>
      <c r="Z33" s="651">
        <f t="shared" si="93"/>
        <v>66619260.473732576</v>
      </c>
      <c r="AA33" s="651">
        <f t="shared" si="93"/>
        <v>71218327.568365797</v>
      </c>
      <c r="AB33" s="651">
        <f t="shared" ref="AB33:AC33" si="94">AB23</f>
        <v>74687358</v>
      </c>
      <c r="AC33" s="651">
        <f t="shared" si="94"/>
        <v>80375273</v>
      </c>
      <c r="AD33" s="651">
        <f t="shared" ref="AD33" si="95">AD23</f>
        <v>87299679</v>
      </c>
      <c r="AE33" s="327"/>
      <c r="AF33" s="349">
        <f t="shared" si="73"/>
        <v>8.6150948439080333E-2</v>
      </c>
      <c r="AG33" s="349">
        <f t="shared" si="74"/>
        <v>0.31042702034228586</v>
      </c>
    </row>
    <row r="34" spans="2:36" ht="13" customHeight="1">
      <c r="B34" s="68" t="str">
        <f t="shared" si="90"/>
        <v>IEP</v>
      </c>
      <c r="C34" s="655">
        <f t="shared" si="90"/>
        <v>9386236.3870000001</v>
      </c>
      <c r="D34" s="655">
        <f t="shared" ref="D34:H34" si="96">D24</f>
        <v>17040214.824999999</v>
      </c>
      <c r="E34" s="655">
        <f t="shared" si="96"/>
        <v>30183988.721730001</v>
      </c>
      <c r="F34" s="655">
        <f t="shared" si="96"/>
        <v>36830160</v>
      </c>
      <c r="G34" s="655">
        <f t="shared" si="96"/>
        <v>47893695.397</v>
      </c>
      <c r="H34" s="655">
        <f t="shared" si="96"/>
        <v>60232269.321271598</v>
      </c>
      <c r="I34" s="655">
        <f t="shared" ref="I34" si="97">I24</f>
        <v>78827120.74887</v>
      </c>
      <c r="J34" s="327"/>
      <c r="K34" s="655">
        <f t="shared" ref="K34:AA34" si="98">K24</f>
        <v>17581215.344299998</v>
      </c>
      <c r="L34" s="655">
        <f t="shared" si="98"/>
        <v>25603653.001000002</v>
      </c>
      <c r="M34" s="655">
        <f t="shared" si="98"/>
        <v>28461059.298</v>
      </c>
      <c r="N34" s="655">
        <f t="shared" si="98"/>
        <v>30183988.721730001</v>
      </c>
      <c r="O34" s="655">
        <f t="shared" si="98"/>
        <v>30214049</v>
      </c>
      <c r="P34" s="655">
        <f t="shared" si="98"/>
        <v>31875026.399999999</v>
      </c>
      <c r="Q34" s="655">
        <f t="shared" si="98"/>
        <v>35020294</v>
      </c>
      <c r="R34" s="655">
        <f t="shared" si="98"/>
        <v>36830160</v>
      </c>
      <c r="S34" s="655">
        <f t="shared" si="98"/>
        <v>37753420.387827471</v>
      </c>
      <c r="T34" s="655">
        <f t="shared" si="98"/>
        <v>39709390.767574593</v>
      </c>
      <c r="U34" s="655">
        <f t="shared" si="98"/>
        <v>43274080.453478865</v>
      </c>
      <c r="V34" s="655">
        <f t="shared" si="98"/>
        <v>47893695.397</v>
      </c>
      <c r="W34" s="655">
        <f t="shared" si="98"/>
        <v>48715213.614263885</v>
      </c>
      <c r="X34" s="655">
        <f t="shared" si="98"/>
        <v>52472376.744180001</v>
      </c>
      <c r="Y34" s="655">
        <f t="shared" si="98"/>
        <v>54893344.456663564</v>
      </c>
      <c r="Z34" s="655">
        <f t="shared" si="98"/>
        <v>60232269.321271598</v>
      </c>
      <c r="AA34" s="655">
        <f t="shared" si="98"/>
        <v>63031684.951030001</v>
      </c>
      <c r="AB34" s="655">
        <f t="shared" ref="AB34:AC34" si="99">AB24</f>
        <v>66589592.615950003</v>
      </c>
      <c r="AC34" s="655">
        <f t="shared" si="99"/>
        <v>73305092.557240009</v>
      </c>
      <c r="AD34" s="655">
        <f t="shared" ref="AD34" si="100">AD24</f>
        <v>78827120.74887</v>
      </c>
      <c r="AE34" s="327"/>
      <c r="AF34" s="350">
        <f t="shared" si="73"/>
        <v>7.5329393893311503E-2</v>
      </c>
      <c r="AG34" s="350">
        <f t="shared" si="74"/>
        <v>0.30871909089819827</v>
      </c>
    </row>
    <row r="35" spans="2:36" ht="13" customHeight="1">
      <c r="B35" s="64" t="str">
        <f t="shared" si="90"/>
        <v>Non-interest earning credit card receivables</v>
      </c>
      <c r="C35" s="652">
        <f t="shared" si="90"/>
        <v>66838.612999999998</v>
      </c>
      <c r="D35" s="652">
        <f t="shared" ref="D35:H35" si="101">D25</f>
        <v>1674430.175</v>
      </c>
      <c r="E35" s="652">
        <f t="shared" si="101"/>
        <v>4122313</v>
      </c>
      <c r="F35" s="652">
        <f t="shared" si="101"/>
        <v>5411798</v>
      </c>
      <c r="G35" s="652">
        <f t="shared" si="101"/>
        <v>7490010.6029999992</v>
      </c>
      <c r="H35" s="652">
        <f t="shared" si="101"/>
        <v>9550035.8154600002</v>
      </c>
      <c r="I35" s="652">
        <f t="shared" ref="I35" si="102">I25</f>
        <v>11742057.25113</v>
      </c>
      <c r="J35" s="327"/>
      <c r="K35" s="652">
        <f t="shared" ref="K35:AA35" si="103">K25</f>
        <v>2094215</v>
      </c>
      <c r="L35" s="652">
        <f t="shared" si="103"/>
        <v>2650205</v>
      </c>
      <c r="M35" s="652">
        <f t="shared" si="103"/>
        <v>3280955</v>
      </c>
      <c r="N35" s="652">
        <f t="shared" si="103"/>
        <v>4122313</v>
      </c>
      <c r="O35" s="652">
        <f t="shared" si="103"/>
        <v>4479286</v>
      </c>
      <c r="P35" s="652">
        <f t="shared" si="103"/>
        <v>4897121</v>
      </c>
      <c r="Q35" s="652">
        <f t="shared" si="103"/>
        <v>5101939</v>
      </c>
      <c r="R35" s="652">
        <f t="shared" si="103"/>
        <v>5411798</v>
      </c>
      <c r="S35" s="652">
        <f t="shared" si="103"/>
        <v>5680268.6121725254</v>
      </c>
      <c r="T35" s="652">
        <f t="shared" si="103"/>
        <v>5903960.2324254084</v>
      </c>
      <c r="U35" s="652">
        <f t="shared" si="103"/>
        <v>6767933.0449999999</v>
      </c>
      <c r="V35" s="652">
        <f t="shared" si="103"/>
        <v>7490010.6029999992</v>
      </c>
      <c r="W35" s="652">
        <f t="shared" si="103"/>
        <v>7935081.2156800013</v>
      </c>
      <c r="X35" s="652">
        <f t="shared" si="103"/>
        <v>8243968.4851799998</v>
      </c>
      <c r="Y35" s="652">
        <f t="shared" si="103"/>
        <v>8562871.3540700004</v>
      </c>
      <c r="Z35" s="652">
        <f t="shared" si="103"/>
        <v>9550035.8154600002</v>
      </c>
      <c r="AA35" s="652">
        <f t="shared" si="103"/>
        <v>9622665.0489700008</v>
      </c>
      <c r="AB35" s="652">
        <f t="shared" ref="AB35:AC35" si="104">AB25</f>
        <v>10130773.38405</v>
      </c>
      <c r="AC35" s="652">
        <f t="shared" si="104"/>
        <v>10725087.44276</v>
      </c>
      <c r="AD35" s="652">
        <f t="shared" ref="AD35" si="105">AD25</f>
        <v>11742057.25113</v>
      </c>
      <c r="AE35" s="327"/>
      <c r="AF35" s="349">
        <f t="shared" si="73"/>
        <v>9.4821586658158985E-2</v>
      </c>
      <c r="AG35" s="349">
        <f t="shared" si="74"/>
        <v>0.22953017957497734</v>
      </c>
    </row>
    <row r="36" spans="2:36" ht="13" customHeight="1">
      <c r="B36" s="286" t="str">
        <f>IF('Summary | Sumário'!D$6=Names!B$3,Names!Q21,Names!R21)</f>
        <v>Risk-adjusted NIM 1.0 (%)</v>
      </c>
      <c r="C36" s="315">
        <f>C29/C33</f>
        <v>4.7916365838629231E-2</v>
      </c>
      <c r="D36" s="315">
        <f t="shared" ref="D36:AA36" si="106">D29/D33</f>
        <v>3.6892790412571555E-2</v>
      </c>
      <c r="E36" s="315">
        <f t="shared" si="106"/>
        <v>3.8420811961192611E-2</v>
      </c>
      <c r="F36" s="315">
        <f t="shared" si="106"/>
        <v>3.5323394415881448E-2</v>
      </c>
      <c r="G36" s="315">
        <f t="shared" si="106"/>
        <v>3.5958024213796902E-2</v>
      </c>
      <c r="H36" s="315">
        <f t="shared" si="106"/>
        <v>4.2460290523852098E-2</v>
      </c>
      <c r="I36" s="315">
        <f t="shared" ref="I36" si="107">I29/I33</f>
        <v>4.8112632631040167E-2</v>
      </c>
      <c r="J36" s="327"/>
      <c r="K36" s="315">
        <f t="shared" si="106"/>
        <v>3.9757846222268994E-2</v>
      </c>
      <c r="L36" s="315">
        <f t="shared" si="106"/>
        <v>2.3625361758809416E-2</v>
      </c>
      <c r="M36" s="315">
        <f t="shared" si="106"/>
        <v>4.2023675019423355E-2</v>
      </c>
      <c r="N36" s="315">
        <f t="shared" si="106"/>
        <v>4.4944836551370021E-2</v>
      </c>
      <c r="O36" s="315">
        <f t="shared" si="106"/>
        <v>2.8695573108379068E-2</v>
      </c>
      <c r="P36" s="315">
        <f t="shared" si="106"/>
        <v>3.8528956854841027E-2</v>
      </c>
      <c r="Q36" s="315">
        <f t="shared" si="106"/>
        <v>3.3668152633947228E-2</v>
      </c>
      <c r="R36" s="315">
        <f t="shared" si="106"/>
        <v>4.2414198374145382E-2</v>
      </c>
      <c r="S36" s="315">
        <f t="shared" si="106"/>
        <v>3.5090496509469028E-2</v>
      </c>
      <c r="T36" s="315">
        <f t="shared" si="106"/>
        <v>3.8604854243330267E-2</v>
      </c>
      <c r="U36" s="315">
        <f t="shared" si="106"/>
        <v>3.6574392685897246E-2</v>
      </c>
      <c r="V36" s="315">
        <f t="shared" si="106"/>
        <v>3.8881575803512952E-2</v>
      </c>
      <c r="W36" s="315">
        <f t="shared" si="106"/>
        <v>4.151402011626551E-2</v>
      </c>
      <c r="X36" s="315">
        <f t="shared" si="106"/>
        <v>4.2302859789818265E-2</v>
      </c>
      <c r="Y36" s="315">
        <f t="shared" si="106"/>
        <v>4.4642615132977584E-2</v>
      </c>
      <c r="Z36" s="315">
        <f t="shared" si="106"/>
        <v>4.5775250338708454E-2</v>
      </c>
      <c r="AA36" s="315">
        <f t="shared" si="106"/>
        <v>4.767946280036351E-2</v>
      </c>
      <c r="AB36" s="315">
        <f t="shared" ref="AB36:AC36" si="108">AB29/AB33</f>
        <v>4.8214746061843561E-2</v>
      </c>
      <c r="AC36" s="315">
        <f t="shared" si="108"/>
        <v>4.8865526092832061E-2</v>
      </c>
      <c r="AD36" s="315">
        <f t="shared" ref="AD36" si="109">AD29/AD33</f>
        <v>5.1610732726749195E-2</v>
      </c>
      <c r="AE36" s="327"/>
      <c r="AF36" s="370">
        <f>(AD36-AC36)*100</f>
        <v>0.27452066339171344</v>
      </c>
      <c r="AG36" s="370">
        <f>(AD36-Z36)*100</f>
        <v>0.58354823880407414</v>
      </c>
      <c r="AI36" s="160"/>
      <c r="AJ36" s="160"/>
    </row>
    <row r="37" spans="2:36" ht="13" customHeight="1">
      <c r="B37" s="64"/>
      <c r="C37" s="175"/>
      <c r="D37" s="175"/>
      <c r="E37" s="175"/>
      <c r="F37" s="175"/>
      <c r="G37" s="175"/>
      <c r="H37" s="175"/>
      <c r="I37" s="175"/>
      <c r="J37" s="327"/>
      <c r="K37" s="175"/>
      <c r="L37" s="175"/>
      <c r="M37" s="175"/>
      <c r="N37" s="175"/>
      <c r="O37" s="175"/>
      <c r="P37" s="175"/>
      <c r="Q37" s="175"/>
      <c r="R37" s="175"/>
      <c r="S37" s="175"/>
      <c r="T37" s="175"/>
      <c r="U37" s="175"/>
      <c r="V37" s="175"/>
      <c r="W37" s="175"/>
      <c r="X37" s="175"/>
      <c r="Y37" s="175"/>
      <c r="Z37" s="175"/>
      <c r="AA37" s="175"/>
      <c r="AB37" s="175"/>
      <c r="AC37" s="175"/>
      <c r="AD37" s="175"/>
      <c r="AE37" s="327"/>
      <c r="AF37" s="349"/>
      <c r="AG37" s="349"/>
    </row>
    <row r="38" spans="2:36" ht="13" customHeight="1">
      <c r="B38" s="24" t="str">
        <f>IF('Summary | Sumário'!D$6=Names!B$3,Names!O69,Names!Z69)</f>
        <v>Loan interest income including hedge accounting results</v>
      </c>
      <c r="C38" s="316"/>
      <c r="D38" s="316"/>
      <c r="E38" s="316"/>
      <c r="F38" s="316"/>
      <c r="G38" s="316"/>
      <c r="H38" s="316"/>
      <c r="I38" s="316"/>
      <c r="J38" s="182"/>
      <c r="K38" s="316"/>
      <c r="L38" s="316"/>
      <c r="M38" s="316"/>
      <c r="N38" s="316"/>
      <c r="O38" s="316"/>
      <c r="P38" s="316"/>
      <c r="Q38" s="316"/>
      <c r="R38" s="316"/>
      <c r="S38" s="316"/>
      <c r="T38" s="316"/>
      <c r="U38" s="316"/>
      <c r="V38" s="316"/>
      <c r="W38" s="316"/>
      <c r="X38" s="316"/>
      <c r="Y38" s="316"/>
      <c r="Z38" s="316"/>
      <c r="AA38" s="316"/>
      <c r="AB38" s="316"/>
      <c r="AC38" s="316"/>
      <c r="AD38" s="316"/>
      <c r="AE38" s="182"/>
      <c r="AF38" s="316"/>
      <c r="AG38" s="316"/>
    </row>
    <row r="39" spans="2:36" ht="13" customHeight="1">
      <c r="B39" s="291" t="str">
        <f>IF('Summary | Sumário'!D$6=Names!B$3,Names!O70,Names!Z70)</f>
        <v>Loan interest income including hedge accounting results</v>
      </c>
      <c r="C39" s="292">
        <f t="shared" ref="C39:Z39" si="110">C40+C43+C46+C47+C48</f>
        <v>0</v>
      </c>
      <c r="D39" s="292">
        <f t="shared" si="110"/>
        <v>737699.81700066302</v>
      </c>
      <c r="E39" s="292">
        <f t="shared" si="110"/>
        <v>1269380.477</v>
      </c>
      <c r="F39" s="292">
        <f t="shared" si="110"/>
        <v>2539555.3358900002</v>
      </c>
      <c r="G39" s="292">
        <f t="shared" si="110"/>
        <v>3939985.3047600002</v>
      </c>
      <c r="H39" s="292">
        <f t="shared" si="110"/>
        <v>5136849.6064396547</v>
      </c>
      <c r="I39" s="292">
        <f t="shared" ref="I39" si="111">I40+I43+I46+I47+I48</f>
        <v>7702874.2455700003</v>
      </c>
      <c r="J39" s="179"/>
      <c r="K39" s="292">
        <f t="shared" si="110"/>
        <v>254089.647</v>
      </c>
      <c r="L39" s="292">
        <f t="shared" si="110"/>
        <v>259130.68700000001</v>
      </c>
      <c r="M39" s="292">
        <f t="shared" si="110"/>
        <v>333597.48799999995</v>
      </c>
      <c r="N39" s="292">
        <f t="shared" si="110"/>
        <v>422562.65499999997</v>
      </c>
      <c r="O39" s="292">
        <f t="shared" si="110"/>
        <v>462706.47729999997</v>
      </c>
      <c r="P39" s="292">
        <f t="shared" si="110"/>
        <v>590255.37990000006</v>
      </c>
      <c r="Q39" s="292">
        <f t="shared" si="110"/>
        <v>696713.13199000002</v>
      </c>
      <c r="R39" s="292">
        <f t="shared" si="110"/>
        <v>789880.34670000011</v>
      </c>
      <c r="S39" s="292">
        <f t="shared" si="110"/>
        <v>886304.71213999996</v>
      </c>
      <c r="T39" s="292">
        <f t="shared" si="110"/>
        <v>977301.38766000001</v>
      </c>
      <c r="U39" s="292">
        <f t="shared" si="110"/>
        <v>1003693.5776600001</v>
      </c>
      <c r="V39" s="292">
        <f t="shared" si="110"/>
        <v>1072685.6272999998</v>
      </c>
      <c r="W39" s="292">
        <f t="shared" si="110"/>
        <v>1149452.21037318</v>
      </c>
      <c r="X39" s="292">
        <f t="shared" si="110"/>
        <v>1233417.7871065245</v>
      </c>
      <c r="Y39" s="292">
        <f t="shared" si="110"/>
        <v>1319780.3339592982</v>
      </c>
      <c r="Z39" s="292">
        <f t="shared" si="110"/>
        <v>1434199.2750006525</v>
      </c>
      <c r="AA39" s="292">
        <f>AA40+AA43+AA46+AA47+AA48</f>
        <v>1620463.92</v>
      </c>
      <c r="AB39" s="292">
        <f>AB40+AB43+AB46+AB47+AB48</f>
        <v>1860406.1469999999</v>
      </c>
      <c r="AC39" s="292">
        <f>AC40+AC43+AC46+AC47+AC48</f>
        <v>2037949.6535700001</v>
      </c>
      <c r="AD39" s="292">
        <f>AD40+AD43+AD46+AD47+AD48</f>
        <v>2184054.5249999999</v>
      </c>
      <c r="AE39" s="179"/>
      <c r="AF39" s="339">
        <f t="shared" ref="AF39:AF58" si="112">AD39/AC39-1</f>
        <v>7.1692090711887424E-2</v>
      </c>
      <c r="AG39" s="339">
        <f t="shared" ref="AG39:AG58" si="113">AD39/Z39-1</f>
        <v>0.52283895485793375</v>
      </c>
    </row>
    <row r="40" spans="2:36" ht="13" customHeight="1">
      <c r="B40" s="60" t="str">
        <f>IF('Summary | Sumário'!D$6=Names!B$3,Names!O71,Names!Z71)</f>
        <v>Real estate net of hedge accounting</v>
      </c>
      <c r="C40" s="192">
        <f>SUM(C41:C42)</f>
        <v>0</v>
      </c>
      <c r="D40" s="192">
        <f t="shared" ref="D40:AA40" si="114">SUM(D41:D42)</f>
        <v>364047.24736066308</v>
      </c>
      <c r="E40" s="192">
        <f t="shared" si="114"/>
        <v>506152.02299999999</v>
      </c>
      <c r="F40" s="192">
        <f t="shared" si="114"/>
        <v>686426.02495000011</v>
      </c>
      <c r="G40" s="192">
        <f t="shared" si="114"/>
        <v>916460.17859000002</v>
      </c>
      <c r="H40" s="192">
        <f t="shared" si="114"/>
        <v>1289071.2848545881</v>
      </c>
      <c r="I40" s="192">
        <f t="shared" ref="I40" si="115">SUM(I41:I42)</f>
        <v>1995036.3283800001</v>
      </c>
      <c r="J40" s="193"/>
      <c r="K40" s="192">
        <f t="shared" si="114"/>
        <v>122829.734</v>
      </c>
      <c r="L40" s="192">
        <f t="shared" si="114"/>
        <v>99909.904999999999</v>
      </c>
      <c r="M40" s="192">
        <f t="shared" si="114"/>
        <v>138366.29499999998</v>
      </c>
      <c r="N40" s="192">
        <f t="shared" si="114"/>
        <v>145046.08900000001</v>
      </c>
      <c r="O40" s="192">
        <f t="shared" si="114"/>
        <v>155160.64770999999</v>
      </c>
      <c r="P40" s="192">
        <f t="shared" si="114"/>
        <v>194074.39667999998</v>
      </c>
      <c r="Q40" s="192">
        <f t="shared" si="114"/>
        <v>160131.83665000004</v>
      </c>
      <c r="R40" s="192">
        <f t="shared" si="114"/>
        <v>177059.14390999998</v>
      </c>
      <c r="S40" s="192">
        <f t="shared" si="114"/>
        <v>215435.45587999999</v>
      </c>
      <c r="T40" s="192">
        <f t="shared" si="114"/>
        <v>236226.77327000001</v>
      </c>
      <c r="U40" s="192">
        <f t="shared" si="114"/>
        <v>216442.19209</v>
      </c>
      <c r="V40" s="192">
        <f t="shared" si="114"/>
        <v>248355.75734999997</v>
      </c>
      <c r="W40" s="192">
        <f t="shared" si="114"/>
        <v>295138.91551317996</v>
      </c>
      <c r="X40" s="192">
        <f t="shared" si="114"/>
        <v>333405.19177652436</v>
      </c>
      <c r="Y40" s="192">
        <f t="shared" si="114"/>
        <v>291609.27909697121</v>
      </c>
      <c r="Z40" s="192">
        <f t="shared" si="114"/>
        <v>368917.89846791275</v>
      </c>
      <c r="AA40" s="192">
        <f t="shared" si="114"/>
        <v>428299.84499999997</v>
      </c>
      <c r="AB40" s="192">
        <f t="shared" ref="AB40:AC40" si="116">SUM(AB41:AB42)</f>
        <v>487001.54499999998</v>
      </c>
      <c r="AC40" s="192">
        <f t="shared" si="116"/>
        <v>503686.41337999998</v>
      </c>
      <c r="AD40" s="192">
        <f t="shared" ref="AD40" si="117">SUM(AD41:AD42)</f>
        <v>576048.52500000002</v>
      </c>
      <c r="AF40" s="156">
        <f t="shared" si="112"/>
        <v>0.14366500603900012</v>
      </c>
      <c r="AG40" s="156">
        <f t="shared" si="113"/>
        <v>0.56145453335900641</v>
      </c>
    </row>
    <row r="41" spans="2:36" ht="13" customHeight="1">
      <c r="B41" s="648" t="str">
        <f>IF('Summary | Sumário'!D$6=Names!B$3,Names!O72,Names!Z72)</f>
        <v>Real estate</v>
      </c>
      <c r="C41" s="191">
        <f>'6. NII'!C7</f>
        <v>0</v>
      </c>
      <c r="D41" s="191">
        <f>'6. NII'!D7</f>
        <v>435019.64619000006</v>
      </c>
      <c r="E41" s="191">
        <f>'6. NII'!E7</f>
        <v>579506.26199999999</v>
      </c>
      <c r="F41" s="191">
        <f>'6. NII'!F7</f>
        <v>714011.42595000006</v>
      </c>
      <c r="G41" s="191">
        <f>'6. NII'!G7</f>
        <v>925900</v>
      </c>
      <c r="H41" s="191">
        <f>'6. NII'!H7</f>
        <v>1080760.6800631299</v>
      </c>
      <c r="I41" s="191">
        <f>'6. NII'!I7</f>
        <v>1889846</v>
      </c>
      <c r="J41" s="175"/>
      <c r="K41" s="191">
        <f>'6. NII'!K7</f>
        <v>139297.851</v>
      </c>
      <c r="L41" s="191">
        <f>'6. NII'!L7</f>
        <v>136320.81899999999</v>
      </c>
      <c r="M41" s="191">
        <f>'6. NII'!M7</f>
        <v>141281.71</v>
      </c>
      <c r="N41" s="191">
        <f>'6. NII'!N7</f>
        <v>162605.88200000001</v>
      </c>
      <c r="O41" s="191">
        <f>'6. NII'!O7</f>
        <v>163483.92470999999</v>
      </c>
      <c r="P41" s="191">
        <f>'6. NII'!P7</f>
        <v>208572.24767999997</v>
      </c>
      <c r="Q41" s="191">
        <f>'6. NII'!Q7</f>
        <v>169001.99365000005</v>
      </c>
      <c r="R41" s="191">
        <f>'6. NII'!R7</f>
        <v>172953.25990999999</v>
      </c>
      <c r="S41" s="191">
        <f>'6. NII'!S7</f>
        <v>220549.84688</v>
      </c>
      <c r="T41" s="191">
        <f>'6. NII'!T7</f>
        <v>230186.84327000001</v>
      </c>
      <c r="U41" s="191">
        <f>'6. NII'!U7</f>
        <v>210305.65125</v>
      </c>
      <c r="V41" s="191">
        <f>'6. NII'!V7</f>
        <v>264857.65859999997</v>
      </c>
      <c r="W41" s="191">
        <f>'6. NII'!W7</f>
        <v>268726.12008999998</v>
      </c>
      <c r="X41" s="191">
        <f>'6. NII'!X7</f>
        <v>266162.86888999998</v>
      </c>
      <c r="Y41" s="191">
        <f>'6. NII'!Y7</f>
        <v>280656.44909697119</v>
      </c>
      <c r="Z41" s="191">
        <f>'6. NII'!Z7</f>
        <v>265215.24198615877</v>
      </c>
      <c r="AA41" s="191">
        <f>'6. NII'!AA7</f>
        <v>443469</v>
      </c>
      <c r="AB41" s="191">
        <f>'6. NII'!AB7</f>
        <v>507523</v>
      </c>
      <c r="AC41" s="191">
        <f>'6. NII'!AC7</f>
        <v>367166</v>
      </c>
      <c r="AD41" s="191">
        <f>'6. NII'!AD7</f>
        <v>571688</v>
      </c>
      <c r="AF41" s="155">
        <f t="shared" si="112"/>
        <v>0.55702870091457268</v>
      </c>
      <c r="AG41" s="155">
        <f t="shared" si="113"/>
        <v>1.155562386681515</v>
      </c>
    </row>
    <row r="42" spans="2:36" ht="13" customHeight="1">
      <c r="B42" s="560" t="str">
        <f>IF('Summary | Sumário'!D$6=Names!B$3,Names!O73,Names!Z73)</f>
        <v>(+) Hedge accounting from real estate loans</v>
      </c>
      <c r="C42" s="190">
        <f>'6. NII'!C26</f>
        <v>0</v>
      </c>
      <c r="D42" s="190">
        <f>'6. NII'!D26</f>
        <v>-70972.398829336977</v>
      </c>
      <c r="E42" s="190">
        <f>'6. NII'!E26</f>
        <v>-73354.239000000001</v>
      </c>
      <c r="F42" s="190">
        <f>'6. NII'!F26</f>
        <v>-27585.400999999998</v>
      </c>
      <c r="G42" s="190">
        <f>'6. NII'!G26</f>
        <v>-9439.8214100000023</v>
      </c>
      <c r="H42" s="190">
        <f>'6. NII'!H26</f>
        <v>208310.60479145829</v>
      </c>
      <c r="I42" s="190">
        <f>'6. NII'!I26</f>
        <v>105190.32837999998</v>
      </c>
      <c r="J42" s="175"/>
      <c r="K42" s="190">
        <f>'6. NII'!K26</f>
        <v>-16468.116999999998</v>
      </c>
      <c r="L42" s="190">
        <f>'6. NII'!L26</f>
        <v>-36410.913999999997</v>
      </c>
      <c r="M42" s="190">
        <f>'6. NII'!M26</f>
        <v>-2915.415</v>
      </c>
      <c r="N42" s="190">
        <f>'6. NII'!N26</f>
        <v>-17559.793000000001</v>
      </c>
      <c r="O42" s="190">
        <f>'6. NII'!O26</f>
        <v>-8323.277</v>
      </c>
      <c r="P42" s="190">
        <f>'6. NII'!P26</f>
        <v>-14497.851000000001</v>
      </c>
      <c r="Q42" s="190">
        <f>'6. NII'!Q26</f>
        <v>-8870.1569999999992</v>
      </c>
      <c r="R42" s="190">
        <f>'6. NII'!R26</f>
        <v>4105.884</v>
      </c>
      <c r="S42" s="190">
        <f>'6. NII'!S26</f>
        <v>-5114.3909999999996</v>
      </c>
      <c r="T42" s="190">
        <f>'6. NII'!T26</f>
        <v>6039.93</v>
      </c>
      <c r="U42" s="190">
        <f>'6. NII'!U26</f>
        <v>6136.5408399999997</v>
      </c>
      <c r="V42" s="190">
        <f>'6. NII'!V26</f>
        <v>-16501.901250000003</v>
      </c>
      <c r="W42" s="190">
        <f>'6. NII'!W26</f>
        <v>26412.795423179959</v>
      </c>
      <c r="X42" s="190">
        <f>'6. NII'!X26</f>
        <v>67242.322886524373</v>
      </c>
      <c r="Y42" s="190">
        <f>'6. NII'!Y26</f>
        <v>10952.83</v>
      </c>
      <c r="Z42" s="190">
        <f>'6. NII'!Z26</f>
        <v>103702.65648175398</v>
      </c>
      <c r="AA42" s="190">
        <f>'6. NII'!AA26</f>
        <v>-15169.155000000001</v>
      </c>
      <c r="AB42" s="190">
        <f>'6. NII'!AB26</f>
        <v>-20521.455000000002</v>
      </c>
      <c r="AC42" s="190">
        <f>'6. NII'!AC26</f>
        <v>136520.41337999998</v>
      </c>
      <c r="AD42" s="190">
        <f>'6. NII'!AD26</f>
        <v>4360.5249999999996</v>
      </c>
      <c r="AF42" s="156">
        <f t="shared" si="112"/>
        <v>-0.96805953855514171</v>
      </c>
      <c r="AG42" s="156">
        <f t="shared" si="113"/>
        <v>-0.95795165574406271</v>
      </c>
    </row>
    <row r="43" spans="2:36" ht="13" customHeight="1">
      <c r="B43" s="55" t="str">
        <f>IF('Summary | Sumário'!D$6=Names!B$3,Names!O74,Names!Z74)</f>
        <v>Personal net of hedge accounting</v>
      </c>
      <c r="C43" s="193">
        <f>SUM(C44:C45)</f>
        <v>0</v>
      </c>
      <c r="D43" s="193">
        <f t="shared" ref="D43:AA43" si="118">SUM(D44:D45)</f>
        <v>194589.16927000001</v>
      </c>
      <c r="E43" s="193">
        <f t="shared" si="118"/>
        <v>319455.67200000002</v>
      </c>
      <c r="F43" s="193">
        <f t="shared" si="118"/>
        <v>583197.69805000001</v>
      </c>
      <c r="G43" s="193">
        <f t="shared" si="118"/>
        <v>1012664.1261700001</v>
      </c>
      <c r="H43" s="193">
        <f t="shared" si="118"/>
        <v>1383732.0246502999</v>
      </c>
      <c r="I43" s="193">
        <f t="shared" ref="I43" si="119">SUM(I44:I45)</f>
        <v>2347436.9171899999</v>
      </c>
      <c r="J43" s="193"/>
      <c r="K43" s="193">
        <f t="shared" si="118"/>
        <v>63981.644999999997</v>
      </c>
      <c r="L43" s="193">
        <f t="shared" si="118"/>
        <v>73178.934000000008</v>
      </c>
      <c r="M43" s="193">
        <f t="shared" si="118"/>
        <v>85052.814000000013</v>
      </c>
      <c r="N43" s="193">
        <f t="shared" si="118"/>
        <v>97242.27900000001</v>
      </c>
      <c r="O43" s="193">
        <f t="shared" si="118"/>
        <v>108222.83400999999</v>
      </c>
      <c r="P43" s="193">
        <f t="shared" si="118"/>
        <v>133460.16244000001</v>
      </c>
      <c r="Q43" s="193">
        <f t="shared" si="118"/>
        <v>159493.41924999998</v>
      </c>
      <c r="R43" s="193">
        <f t="shared" si="118"/>
        <v>182021.28234999996</v>
      </c>
      <c r="S43" s="193">
        <f t="shared" si="118"/>
        <v>209198.23068999997</v>
      </c>
      <c r="T43" s="193">
        <f t="shared" si="118"/>
        <v>253833.49125999992</v>
      </c>
      <c r="U43" s="193">
        <f t="shared" si="118"/>
        <v>261285.72764000003</v>
      </c>
      <c r="V43" s="193">
        <f t="shared" si="118"/>
        <v>288346.67658000003</v>
      </c>
      <c r="W43" s="193">
        <f t="shared" si="118"/>
        <v>317612.29486000002</v>
      </c>
      <c r="X43" s="193">
        <f t="shared" si="118"/>
        <v>325101.85233000002</v>
      </c>
      <c r="Y43" s="193">
        <f t="shared" si="118"/>
        <v>365865.23014069098</v>
      </c>
      <c r="Z43" s="193">
        <f t="shared" si="118"/>
        <v>375152.64731960883</v>
      </c>
      <c r="AA43" s="193">
        <f t="shared" si="118"/>
        <v>420569.07500000001</v>
      </c>
      <c r="AB43" s="193">
        <f t="shared" ref="AB43:AC43" si="120">SUM(AB44:AB45)</f>
        <v>543861.60199999996</v>
      </c>
      <c r="AC43" s="193">
        <f t="shared" si="120"/>
        <v>676286.24019000004</v>
      </c>
      <c r="AD43" s="193">
        <f t="shared" ref="AD43" si="121">SUM(AD44:AD45)</f>
        <v>706720</v>
      </c>
      <c r="AF43" s="155">
        <f t="shared" si="112"/>
        <v>4.5001299747647883E-2</v>
      </c>
      <c r="AG43" s="155">
        <f t="shared" si="113"/>
        <v>0.88381983986884816</v>
      </c>
    </row>
    <row r="44" spans="2:36" ht="13" customHeight="1">
      <c r="B44" s="560" t="str">
        <f>IF('Summary | Sumário'!D$6=Names!B$3,Names!O75,Names!Z75)</f>
        <v>Personal</v>
      </c>
      <c r="C44" s="190">
        <f>'6. NII'!C8</f>
        <v>0</v>
      </c>
      <c r="D44" s="190">
        <f>'6. NII'!D8</f>
        <v>194589.16927000001</v>
      </c>
      <c r="E44" s="190">
        <f>'6. NII'!E8</f>
        <v>319455.67200000002</v>
      </c>
      <c r="F44" s="190">
        <f>'6. NII'!F8</f>
        <v>583197.69805000001</v>
      </c>
      <c r="G44" s="190">
        <f>'6. NII'!G8</f>
        <v>1117470</v>
      </c>
      <c r="H44" s="190">
        <f>'6. NII'!H8</f>
        <v>1040254.5429802999</v>
      </c>
      <c r="I44" s="190">
        <f>'6. NII'!I8</f>
        <v>2447331</v>
      </c>
      <c r="J44" s="175"/>
      <c r="K44" s="190">
        <f>'6. NII'!K8</f>
        <v>63981.644999999997</v>
      </c>
      <c r="L44" s="190">
        <f>'6. NII'!L8</f>
        <v>73178.934000000008</v>
      </c>
      <c r="M44" s="190">
        <f>'6. NII'!M8</f>
        <v>85052.814000000013</v>
      </c>
      <c r="N44" s="190">
        <f>'6. NII'!N8</f>
        <v>97242.27900000001</v>
      </c>
      <c r="O44" s="190">
        <f>'6. NII'!O8</f>
        <v>108222.83400999999</v>
      </c>
      <c r="P44" s="190">
        <f>'6. NII'!P8</f>
        <v>133460.16244000001</v>
      </c>
      <c r="Q44" s="190">
        <f>'6. NII'!Q8</f>
        <v>159493.41924999998</v>
      </c>
      <c r="R44" s="190">
        <f>'6. NII'!R8</f>
        <v>182021.28234999996</v>
      </c>
      <c r="S44" s="190">
        <f>'6. NII'!S8</f>
        <v>223476.20140999998</v>
      </c>
      <c r="T44" s="190">
        <f>'6. NII'!T8</f>
        <v>318868.07952999993</v>
      </c>
      <c r="U44" s="190">
        <f>'6. NII'!U8</f>
        <v>215827.96117000002</v>
      </c>
      <c r="V44" s="190">
        <f>'6. NII'!V8</f>
        <v>359297.75789000001</v>
      </c>
      <c r="W44" s="190">
        <f>'6. NII'!W8</f>
        <v>275126</v>
      </c>
      <c r="X44" s="190">
        <f>'6. NII'!X8</f>
        <v>204785.36600000001</v>
      </c>
      <c r="Y44" s="190">
        <f>'6. NII'!Y8</f>
        <v>355360.76014069101</v>
      </c>
      <c r="Z44" s="190">
        <f>'6. NII'!Z8</f>
        <v>204982.41683960881</v>
      </c>
      <c r="AA44" s="190">
        <f>'6. NII'!AA8</f>
        <v>473524</v>
      </c>
      <c r="AB44" s="190">
        <f>'6. NII'!AB8</f>
        <v>609166</v>
      </c>
      <c r="AC44" s="190">
        <f>'6. NII'!AC8</f>
        <v>662784</v>
      </c>
      <c r="AD44" s="190">
        <f>'6. NII'!AD8</f>
        <v>701857</v>
      </c>
      <c r="AF44" s="156">
        <f t="shared" si="112"/>
        <v>5.8952841348010709E-2</v>
      </c>
      <c r="AG44" s="156">
        <f t="shared" si="113"/>
        <v>2.4239863634214891</v>
      </c>
    </row>
    <row r="45" spans="2:36" ht="13" customHeight="1">
      <c r="B45" s="648" t="str">
        <f>IF('Summary | Sumário'!D$6=Names!B$3,Names!O76,Names!Z76)</f>
        <v>(+) Hedge accounting from personal loans</v>
      </c>
      <c r="C45" s="191">
        <f>'6. NII'!C27</f>
        <v>0</v>
      </c>
      <c r="D45" s="191">
        <f>'6. NII'!D27</f>
        <v>0</v>
      </c>
      <c r="E45" s="191">
        <f>'6. NII'!E27</f>
        <v>0</v>
      </c>
      <c r="F45" s="191">
        <f>'6. NII'!F27</f>
        <v>0</v>
      </c>
      <c r="G45" s="191">
        <f>'6. NII'!G27</f>
        <v>-104805.87383</v>
      </c>
      <c r="H45" s="191">
        <f>'6. NII'!H27</f>
        <v>343477.48167000001</v>
      </c>
      <c r="I45" s="191">
        <f>'6. NII'!I27</f>
        <v>-99894.082809999993</v>
      </c>
      <c r="J45" s="175"/>
      <c r="K45" s="191">
        <f>'6. NII'!K27</f>
        <v>0</v>
      </c>
      <c r="L45" s="191">
        <f>'6. NII'!L27</f>
        <v>0</v>
      </c>
      <c r="M45" s="191">
        <f>'6. NII'!M27</f>
        <v>0</v>
      </c>
      <c r="N45" s="191">
        <f>'6. NII'!N27</f>
        <v>0</v>
      </c>
      <c r="O45" s="191">
        <f>'6. NII'!O27</f>
        <v>0</v>
      </c>
      <c r="P45" s="191">
        <f>'6. NII'!P27</f>
        <v>0</v>
      </c>
      <c r="Q45" s="191">
        <f>'6. NII'!Q27</f>
        <v>0</v>
      </c>
      <c r="R45" s="191">
        <f>'6. NII'!R27</f>
        <v>0</v>
      </c>
      <c r="S45" s="191">
        <f>'6. NII'!S27</f>
        <v>-14277.970720000001</v>
      </c>
      <c r="T45" s="191">
        <f>'6. NII'!T27</f>
        <v>-65034.58827</v>
      </c>
      <c r="U45" s="191">
        <f>'6. NII'!U27</f>
        <v>45457.766470000002</v>
      </c>
      <c r="V45" s="191">
        <f>'6. NII'!V27</f>
        <v>-70951.081309999994</v>
      </c>
      <c r="W45" s="191">
        <f>'6. NII'!W27</f>
        <v>42486.294860000002</v>
      </c>
      <c r="X45" s="191">
        <f>'6. NII'!X27</f>
        <v>120316.48633000001</v>
      </c>
      <c r="Y45" s="191">
        <f>'6. NII'!Y27</f>
        <v>10504.47</v>
      </c>
      <c r="Z45" s="191">
        <f>'6. NII'!Z27</f>
        <v>170170.23048</v>
      </c>
      <c r="AA45" s="191">
        <f>'6. NII'!AA27</f>
        <v>-52954.925000000003</v>
      </c>
      <c r="AB45" s="191">
        <f>'6. NII'!AB27</f>
        <v>-65304.398000000001</v>
      </c>
      <c r="AC45" s="191">
        <f>'6. NII'!AC27</f>
        <v>13502.240190000006</v>
      </c>
      <c r="AD45" s="191">
        <f>'6. NII'!AD27</f>
        <v>4863</v>
      </c>
      <c r="AF45" s="155">
        <f t="shared" si="112"/>
        <v>-0.63983754313587005</v>
      </c>
      <c r="AG45" s="155">
        <f t="shared" si="113"/>
        <v>-0.97142273365745047</v>
      </c>
    </row>
    <row r="46" spans="2:36" ht="13" customHeight="1">
      <c r="B46" s="60" t="str">
        <f>IF('Summary | Sumário'!D$6=Names!B$3,Names!O77,Names!Z77)</f>
        <v>SME</v>
      </c>
      <c r="C46" s="190">
        <f>'6. NII'!C9</f>
        <v>0</v>
      </c>
      <c r="D46" s="190">
        <f>'6. NII'!D9</f>
        <v>59990.754910000003</v>
      </c>
      <c r="E46" s="190">
        <f>'6. NII'!E9</f>
        <v>186131.85699999999</v>
      </c>
      <c r="F46" s="190">
        <f>'6. NII'!F9</f>
        <v>450650.24199999997</v>
      </c>
      <c r="G46" s="190">
        <f>'6. NII'!G9</f>
        <v>521929</v>
      </c>
      <c r="H46" s="190">
        <f>'6. NII'!H9</f>
        <v>567087.72747602698</v>
      </c>
      <c r="I46" s="190">
        <f>'6. NII'!I9</f>
        <v>571431</v>
      </c>
      <c r="J46" s="175"/>
      <c r="K46" s="190">
        <f>'6. NII'!K9</f>
        <v>20454.21</v>
      </c>
      <c r="L46" s="190">
        <f>'6. NII'!L9</f>
        <v>37744.78</v>
      </c>
      <c r="M46" s="190">
        <f>'6. NII'!M9</f>
        <v>42772.136999999988</v>
      </c>
      <c r="N46" s="190">
        <f>'6. NII'!N9</f>
        <v>85160.73000000001</v>
      </c>
      <c r="O46" s="190">
        <f>'6. NII'!O9</f>
        <v>84615.255999999994</v>
      </c>
      <c r="P46" s="190">
        <f>'6. NII'!P9</f>
        <v>107134.802</v>
      </c>
      <c r="Q46" s="190">
        <f>'6. NII'!Q9</f>
        <v>112397.92600000002</v>
      </c>
      <c r="R46" s="190">
        <f>'6. NII'!R9</f>
        <v>146502.258</v>
      </c>
      <c r="S46" s="190">
        <f>'6. NII'!S9</f>
        <v>124265.87599999999</v>
      </c>
      <c r="T46" s="190">
        <f>'6. NII'!T9</f>
        <v>120750</v>
      </c>
      <c r="U46" s="190">
        <f>'6. NII'!U9</f>
        <v>131787.38165</v>
      </c>
      <c r="V46" s="190">
        <f>'6. NII'!V9</f>
        <v>145125.74235000001</v>
      </c>
      <c r="W46" s="190">
        <f>'6. NII'!W9</f>
        <v>124639</v>
      </c>
      <c r="X46" s="190">
        <f>'6. NII'!X9</f>
        <v>152217.704</v>
      </c>
      <c r="Y46" s="190">
        <f>'6. NII'!Y9</f>
        <v>145605.608548077</v>
      </c>
      <c r="Z46" s="190">
        <f>'6. NII'!Z9</f>
        <v>144625.41492794995</v>
      </c>
      <c r="AA46" s="190">
        <f>'6. NII'!AA9</f>
        <v>127223</v>
      </c>
      <c r="AB46" s="190">
        <f>'6. NII'!AB9</f>
        <v>136543</v>
      </c>
      <c r="AC46" s="190">
        <f>'6. NII'!AC9</f>
        <v>143359</v>
      </c>
      <c r="AD46" s="190">
        <f>'6. NII'!AD9</f>
        <v>164306</v>
      </c>
      <c r="AF46" s="156">
        <f t="shared" si="112"/>
        <v>0.1461156955614924</v>
      </c>
      <c r="AG46" s="156">
        <f t="shared" si="113"/>
        <v>0.13607971380310024</v>
      </c>
    </row>
    <row r="47" spans="2:36" ht="13" customHeight="1">
      <c r="B47" s="55" t="str">
        <f>IF('Summary | Sumário'!D$6=Names!B$3,Names!O78,Names!Z78)</f>
        <v>Credit Cards</v>
      </c>
      <c r="C47" s="191">
        <f>'6. NII'!C10</f>
        <v>0</v>
      </c>
      <c r="D47" s="191">
        <f>'6. NII'!D10</f>
        <v>118278.86974999998</v>
      </c>
      <c r="E47" s="191">
        <f>'6. NII'!E10</f>
        <v>245100.40700000001</v>
      </c>
      <c r="F47" s="191">
        <f>'6. NII'!F10</f>
        <v>717577.09288999997</v>
      </c>
      <c r="G47" s="191">
        <f>'6. NII'!G10</f>
        <v>1246489</v>
      </c>
      <c r="H47" s="191">
        <f>'6. NII'!H10</f>
        <v>1478234.26339874</v>
      </c>
      <c r="I47" s="191">
        <f>'6. NII'!I10</f>
        <v>1997184</v>
      </c>
      <c r="J47" s="175"/>
      <c r="K47" s="191">
        <f>'6. NII'!K10</f>
        <v>44269.502</v>
      </c>
      <c r="L47" s="191">
        <f>'6. NII'!L10</f>
        <v>45538.873</v>
      </c>
      <c r="M47" s="191">
        <f>'6. NII'!M10</f>
        <v>66073.068999999989</v>
      </c>
      <c r="N47" s="191">
        <f>'6. NII'!N10</f>
        <v>89218.963000000018</v>
      </c>
      <c r="O47" s="191">
        <f>'6. NII'!O10</f>
        <v>109464.90658000001</v>
      </c>
      <c r="P47" s="191">
        <f>'6. NII'!P10</f>
        <v>137867.95378000001</v>
      </c>
      <c r="Q47" s="191">
        <f>'6. NII'!Q10</f>
        <v>231785.95109000002</v>
      </c>
      <c r="R47" s="191">
        <f>'6. NII'!R10</f>
        <v>238458.28143999999</v>
      </c>
      <c r="S47" s="191">
        <f>'6. NII'!S10</f>
        <v>272598.95357000001</v>
      </c>
      <c r="T47" s="191">
        <f>'6. NII'!T10</f>
        <v>306514.12313000002</v>
      </c>
      <c r="U47" s="191">
        <f>'6. NII'!U10</f>
        <v>333795.27627999999</v>
      </c>
      <c r="V47" s="191">
        <f>'6. NII'!V10</f>
        <v>333580.64701999992</v>
      </c>
      <c r="W47" s="191">
        <f>'6. NII'!W10</f>
        <v>352400</v>
      </c>
      <c r="X47" s="191">
        <f>'6. NII'!X10</f>
        <v>369047.58500000002</v>
      </c>
      <c r="Y47" s="191">
        <f>'6. NII'!Y10</f>
        <v>379767.67666355905</v>
      </c>
      <c r="Z47" s="191">
        <f>'6. NII'!Z10</f>
        <v>377019.00173518108</v>
      </c>
      <c r="AA47" s="191">
        <f>'6. NII'!AA10</f>
        <v>403675</v>
      </c>
      <c r="AB47" s="191">
        <f>'6. NII'!AB10</f>
        <v>446533</v>
      </c>
      <c r="AC47" s="191">
        <f>'6. NII'!AC10</f>
        <v>551464</v>
      </c>
      <c r="AD47" s="191">
        <f>'6. NII'!AD10</f>
        <v>595512</v>
      </c>
      <c r="AE47" s="191"/>
      <c r="AF47" s="155">
        <f t="shared" si="112"/>
        <v>7.9874660902615524E-2</v>
      </c>
      <c r="AG47" s="155">
        <f t="shared" si="113"/>
        <v>0.57952781493567485</v>
      </c>
    </row>
    <row r="48" spans="2:36" ht="13" customHeight="1">
      <c r="B48" s="60" t="str">
        <f>IF('Summary | Sumário'!D$6=Names!B$3,Names!O80,Names!Z80)</f>
        <v>Prepayment of receivables</v>
      </c>
      <c r="C48" s="190">
        <f>'6. NII'!C11</f>
        <v>0</v>
      </c>
      <c r="D48" s="190">
        <f>'6. NII'!D11</f>
        <v>793.77571</v>
      </c>
      <c r="E48" s="190">
        <f>'6. NII'!E11</f>
        <v>12540.518</v>
      </c>
      <c r="F48" s="190">
        <f>'6. NII'!F11</f>
        <v>101704.27800000001</v>
      </c>
      <c r="G48" s="190">
        <f>'6. NII'!G11</f>
        <v>242443</v>
      </c>
      <c r="H48" s="190">
        <f>'6. NII'!H11</f>
        <v>418724.30605999997</v>
      </c>
      <c r="I48" s="190">
        <f>'6. NII'!I11</f>
        <v>791786</v>
      </c>
      <c r="J48" s="175"/>
      <c r="K48" s="190">
        <f>'6. NII'!K11</f>
        <v>2554.556</v>
      </c>
      <c r="L48" s="190">
        <f>'6. NII'!L11</f>
        <v>2758.1950000000002</v>
      </c>
      <c r="M48" s="190">
        <f>'6. NII'!M11</f>
        <v>1333.1729999999998</v>
      </c>
      <c r="N48" s="190">
        <f>'6. NII'!N11</f>
        <v>5894.594000000001</v>
      </c>
      <c r="O48" s="190">
        <f>'6. NII'!O11</f>
        <v>5242.8329999999996</v>
      </c>
      <c r="P48" s="190">
        <f>'6. NII'!P11</f>
        <v>17718.065000000002</v>
      </c>
      <c r="Q48" s="190">
        <f>'6. NII'!Q11</f>
        <v>32903.998999999996</v>
      </c>
      <c r="R48" s="190">
        <f>'6. NII'!R11</f>
        <v>45839.381000000008</v>
      </c>
      <c r="S48" s="190">
        <f>'6. NII'!S11</f>
        <v>64806.196000000004</v>
      </c>
      <c r="T48" s="190">
        <f>'6. NII'!T11</f>
        <v>59977</v>
      </c>
      <c r="U48" s="190">
        <f>'6. NII'!U11</f>
        <v>60383</v>
      </c>
      <c r="V48" s="190">
        <f>'6. NII'!V11</f>
        <v>57276.804000000004</v>
      </c>
      <c r="W48" s="190">
        <f>'6. NII'!W11</f>
        <v>59662</v>
      </c>
      <c r="X48" s="190">
        <f>'6. NII'!X11</f>
        <v>53645.453999999998</v>
      </c>
      <c r="Y48" s="190">
        <f>'6. NII'!Y11</f>
        <v>136932.53951</v>
      </c>
      <c r="Z48" s="190">
        <f>'6. NII'!Z11</f>
        <v>168484.31254999997</v>
      </c>
      <c r="AA48" s="190">
        <f>'6. NII'!AA11</f>
        <v>240697</v>
      </c>
      <c r="AB48" s="190">
        <f>'6. NII'!AB11</f>
        <v>246467</v>
      </c>
      <c r="AC48" s="190">
        <f>'6. NII'!AC11</f>
        <v>163154</v>
      </c>
      <c r="AD48" s="190">
        <f>'6. NII'!AD11</f>
        <v>141468</v>
      </c>
      <c r="AF48" s="156">
        <f t="shared" si="112"/>
        <v>-0.1329173664145531</v>
      </c>
      <c r="AG48" s="156">
        <f t="shared" si="113"/>
        <v>-0.16034912770874454</v>
      </c>
    </row>
    <row r="49" spans="2:35" ht="13" customHeight="1">
      <c r="B49" s="51" t="str">
        <f>IF('Summary | Sumário'!D$6=Names!B$3,Names!O81,Names!Z81)</f>
        <v>Amounts due from financial institutions</v>
      </c>
      <c r="C49" s="191">
        <v>0</v>
      </c>
      <c r="D49" s="191">
        <f>'6. NII'!D12</f>
        <v>126619</v>
      </c>
      <c r="E49" s="191">
        <f>'6. NII'!E12</f>
        <v>71106.437999999995</v>
      </c>
      <c r="F49" s="191">
        <f>'6. NII'!F12</f>
        <v>221136.43900000001</v>
      </c>
      <c r="G49" s="191">
        <f>'6. NII'!G12</f>
        <v>497054</v>
      </c>
      <c r="H49" s="191">
        <f>'6. NII'!H12</f>
        <v>338955.05183999997</v>
      </c>
      <c r="I49" s="191">
        <f>'6. NII'!I12</f>
        <v>379823</v>
      </c>
      <c r="J49" s="175"/>
      <c r="K49" s="191">
        <f>'6. NII'!K12</f>
        <v>14427.704</v>
      </c>
      <c r="L49" s="191">
        <f>'6. NII'!L12</f>
        <v>7946.8799999999992</v>
      </c>
      <c r="M49" s="191">
        <f>'6. NII'!M12</f>
        <v>24631.656000000003</v>
      </c>
      <c r="N49" s="191">
        <f>'6. NII'!N12</f>
        <v>24100.197999999997</v>
      </c>
      <c r="O49" s="191">
        <f>'6. NII'!O12</f>
        <v>30138.153999999999</v>
      </c>
      <c r="P49" s="191">
        <f>'6. NII'!P12</f>
        <v>31814.657000000003</v>
      </c>
      <c r="Q49" s="191">
        <f>'6. NII'!Q12</f>
        <v>78399.862000000008</v>
      </c>
      <c r="R49" s="191">
        <f>'6. NII'!R12</f>
        <v>80783.765999999989</v>
      </c>
      <c r="S49" s="191">
        <f>'6. NII'!S12</f>
        <v>97468.479000000007</v>
      </c>
      <c r="T49" s="191">
        <f>'6. NII'!T12</f>
        <v>114751</v>
      </c>
      <c r="U49" s="191">
        <f>'6. NII'!U12</f>
        <v>147490</v>
      </c>
      <c r="V49" s="191">
        <f>'6. NII'!V12</f>
        <v>137344.52100000001</v>
      </c>
      <c r="W49" s="191">
        <f>'6. NII'!W12</f>
        <v>117428</v>
      </c>
      <c r="X49" s="191">
        <f>'6. NII'!X12</f>
        <v>99401.437999999995</v>
      </c>
      <c r="Y49" s="191">
        <f>'6. NII'!Y12</f>
        <v>71615.8989899999</v>
      </c>
      <c r="Z49" s="191">
        <f>'6. NII'!Z12</f>
        <v>50509.714850000106</v>
      </c>
      <c r="AA49" s="191">
        <f>'6. NII'!AA12</f>
        <v>31738</v>
      </c>
      <c r="AB49" s="191">
        <f>'6. NII'!AB12</f>
        <v>65647</v>
      </c>
      <c r="AC49" s="191">
        <f>'6. NII'!AC12</f>
        <v>170971</v>
      </c>
      <c r="AD49" s="191">
        <f>'6. NII'!AD12</f>
        <v>111467</v>
      </c>
      <c r="AF49" s="155">
        <f t="shared" si="112"/>
        <v>-0.34803563177380958</v>
      </c>
      <c r="AG49" s="155">
        <f t="shared" si="113"/>
        <v>1.2068427891748388</v>
      </c>
    </row>
    <row r="50" spans="2:35" ht="13" customHeight="1">
      <c r="B50" s="53" t="str">
        <f>IF('Summary | Sumário'!D$6=Names!B$3,Names!O57,Names!Z57)</f>
        <v>Income from securities</v>
      </c>
      <c r="C50" s="190">
        <v>0</v>
      </c>
      <c r="D50" s="190">
        <f>'6. NII'!D19</f>
        <v>12060</v>
      </c>
      <c r="E50" s="190">
        <f>'6. NII'!E19</f>
        <v>745613</v>
      </c>
      <c r="F50" s="190">
        <f>'6. NII'!F19</f>
        <v>1471737</v>
      </c>
      <c r="G50" s="190">
        <f>'6. NII'!G19</f>
        <v>1615108</v>
      </c>
      <c r="H50" s="190">
        <f>'6. NII'!H19</f>
        <v>2007869.4701800002</v>
      </c>
      <c r="I50" s="190">
        <f>'6. NII'!I19</f>
        <v>3331154</v>
      </c>
      <c r="J50" s="175"/>
      <c r="K50" s="190">
        <f>'6. NII'!K19</f>
        <v>88068</v>
      </c>
      <c r="L50" s="190">
        <f>'6. NII'!L19</f>
        <v>106662</v>
      </c>
      <c r="M50" s="190">
        <f>'6. NII'!M19</f>
        <v>228420</v>
      </c>
      <c r="N50" s="190">
        <f>'6. NII'!N19</f>
        <v>322463</v>
      </c>
      <c r="O50" s="190">
        <f>'6. NII'!O19</f>
        <v>348013</v>
      </c>
      <c r="P50" s="190">
        <f>'6. NII'!P19</f>
        <v>406846</v>
      </c>
      <c r="Q50" s="190">
        <f>'6. NII'!Q19</f>
        <v>340982</v>
      </c>
      <c r="R50" s="190">
        <f>'6. NII'!R19</f>
        <v>375896</v>
      </c>
      <c r="S50" s="190">
        <f>'6. NII'!S19</f>
        <v>370924</v>
      </c>
      <c r="T50" s="190">
        <f>'6. NII'!T19</f>
        <v>402038</v>
      </c>
      <c r="U50" s="190">
        <f>'6. NII'!U19</f>
        <v>417887</v>
      </c>
      <c r="V50" s="190">
        <f>'6. NII'!V19</f>
        <v>424259</v>
      </c>
      <c r="W50" s="190">
        <f>'6. NII'!W19</f>
        <v>446719</v>
      </c>
      <c r="X50" s="190">
        <f>'6. NII'!X19</f>
        <v>456585.37339384999</v>
      </c>
      <c r="Y50" s="190">
        <f>'6. NII'!Y19</f>
        <v>513731</v>
      </c>
      <c r="Z50" s="190">
        <f>'6. NII'!Z19</f>
        <v>590834.09678615024</v>
      </c>
      <c r="AA50" s="190">
        <f>'6. NII'!AA19</f>
        <v>737446</v>
      </c>
      <c r="AB50" s="190">
        <f>'6. NII'!AB19</f>
        <v>802844</v>
      </c>
      <c r="AC50" s="190">
        <f>'6. NII'!AC19</f>
        <v>832987</v>
      </c>
      <c r="AD50" s="190">
        <f>'6. NII'!AD19</f>
        <v>957877</v>
      </c>
      <c r="AF50" s="156">
        <f t="shared" si="112"/>
        <v>0.14993031103726717</v>
      </c>
      <c r="AG50" s="156">
        <f t="shared" si="113"/>
        <v>0.62122837055339963</v>
      </c>
    </row>
    <row r="51" spans="2:35" ht="13" customHeight="1">
      <c r="B51" s="51" t="str">
        <f>IF('Summary | Sumário'!D$6=Names!B$3,Names!O41,Names!Z41)</f>
        <v xml:space="preserve">Others </v>
      </c>
      <c r="C51" s="191">
        <f t="shared" ref="C51:Z51" si="122">C52+C56+C57</f>
        <v>0</v>
      </c>
      <c r="D51" s="191">
        <f t="shared" si="122"/>
        <v>16453.398829336977</v>
      </c>
      <c r="E51" s="191">
        <f t="shared" si="122"/>
        <v>11936.633000000002</v>
      </c>
      <c r="F51" s="191">
        <f t="shared" si="122"/>
        <v>-22272.64499999996</v>
      </c>
      <c r="G51" s="191">
        <f t="shared" si="122"/>
        <v>-105786.30975999989</v>
      </c>
      <c r="H51" s="191">
        <f t="shared" si="122"/>
        <v>-203019.89002732438</v>
      </c>
      <c r="I51" s="191">
        <f t="shared" ref="I51" si="123">I52+I56+I57</f>
        <v>-31399.24556999997</v>
      </c>
      <c r="J51" s="175"/>
      <c r="K51" s="191">
        <f t="shared" si="122"/>
        <v>-3370.7750000000051</v>
      </c>
      <c r="L51" s="191">
        <f t="shared" si="122"/>
        <v>14280.282999999999</v>
      </c>
      <c r="M51" s="191">
        <f t="shared" si="122"/>
        <v>-6891.5979999999772</v>
      </c>
      <c r="N51" s="191">
        <f t="shared" si="122"/>
        <v>7918.7229999999981</v>
      </c>
      <c r="O51" s="191">
        <f t="shared" si="122"/>
        <v>14578.622999999992</v>
      </c>
      <c r="P51" s="191">
        <f t="shared" si="122"/>
        <v>12898.053999999982</v>
      </c>
      <c r="Q51" s="191">
        <f t="shared" si="122"/>
        <v>-35231.837999999916</v>
      </c>
      <c r="R51" s="191">
        <f t="shared" si="122"/>
        <v>-14517.484000000033</v>
      </c>
      <c r="S51" s="191">
        <f t="shared" si="122"/>
        <v>-12121.750279999993</v>
      </c>
      <c r="T51" s="191">
        <f t="shared" si="122"/>
        <v>-23071.34173</v>
      </c>
      <c r="U51" s="191">
        <f t="shared" si="122"/>
        <v>-35443.28808999998</v>
      </c>
      <c r="V51" s="191">
        <f t="shared" si="122"/>
        <v>-35149.929660000031</v>
      </c>
      <c r="W51" s="191">
        <f t="shared" si="122"/>
        <v>-59879.529343179995</v>
      </c>
      <c r="X51" s="191">
        <f t="shared" si="122"/>
        <v>-89399.293806524394</v>
      </c>
      <c r="Y51" s="191">
        <f t="shared" si="122"/>
        <v>5945.4018500001621</v>
      </c>
      <c r="Z51" s="191">
        <f t="shared" si="122"/>
        <v>-59686.468727620188</v>
      </c>
      <c r="AA51" s="191">
        <f>AA52+AA56+AA57</f>
        <v>-27146.619999999995</v>
      </c>
      <c r="AB51" s="191">
        <f>AB52+AB56+AB57</f>
        <v>-55723.146999999997</v>
      </c>
      <c r="AC51" s="191">
        <f>AC52+AC56+AC57</f>
        <v>11473.346430000005</v>
      </c>
      <c r="AD51" s="191">
        <f>AD52+AD56+AD57</f>
        <v>39997.174999999988</v>
      </c>
      <c r="AF51" s="155">
        <f t="shared" si="112"/>
        <v>2.486094945709747</v>
      </c>
      <c r="AG51" s="155">
        <f t="shared" si="113"/>
        <v>-1.6701213164834312</v>
      </c>
    </row>
    <row r="52" spans="2:35" ht="13" customHeight="1">
      <c r="B52" s="60" t="str">
        <f>IF('Summary | Sumário'!D$6=Names!B$3,Names!P4,Names!Q4)</f>
        <v>Income from derivatives excl. loan hedge accouting</v>
      </c>
      <c r="C52" s="192">
        <v>0</v>
      </c>
      <c r="D52" s="192">
        <f t="shared" ref="D52:Z52" si="124">SUM(D53:D55)</f>
        <v>16554.398829336977</v>
      </c>
      <c r="E52" s="192">
        <f t="shared" si="124"/>
        <v>25023.904999999999</v>
      </c>
      <c r="F52" s="192">
        <f t="shared" si="124"/>
        <v>61469.504000000001</v>
      </c>
      <c r="G52" s="192">
        <f t="shared" si="124"/>
        <v>44972.695240000001</v>
      </c>
      <c r="H52" s="192">
        <f t="shared" si="124"/>
        <v>-5075.5435114582651</v>
      </c>
      <c r="I52" s="192">
        <f t="shared" ref="I52" si="125">SUM(I53:I55)</f>
        <v>139747.75443000003</v>
      </c>
      <c r="J52" s="193"/>
      <c r="K52" s="192">
        <f t="shared" si="124"/>
        <v>-3463.479000000003</v>
      </c>
      <c r="L52" s="192">
        <f t="shared" si="124"/>
        <v>12645.509999999998</v>
      </c>
      <c r="M52" s="192">
        <f t="shared" si="124"/>
        <v>-6953.585</v>
      </c>
      <c r="N52" s="192">
        <f t="shared" si="124"/>
        <v>22795.459000000003</v>
      </c>
      <c r="O52" s="192">
        <f t="shared" si="124"/>
        <v>19332.66</v>
      </c>
      <c r="P52" s="192">
        <f t="shared" si="124"/>
        <v>11467.525000000001</v>
      </c>
      <c r="Q52" s="192">
        <f t="shared" si="124"/>
        <v>14810.892999999998</v>
      </c>
      <c r="R52" s="192">
        <f t="shared" si="124"/>
        <v>15858.426000000001</v>
      </c>
      <c r="S52" s="192">
        <f t="shared" si="124"/>
        <v>19874.66372</v>
      </c>
      <c r="T52" s="192">
        <f t="shared" si="124"/>
        <v>132.6582699999999</v>
      </c>
      <c r="U52" s="192">
        <f t="shared" si="124"/>
        <v>12538.71191000002</v>
      </c>
      <c r="V52" s="192">
        <f t="shared" si="124"/>
        <v>12426.661339999984</v>
      </c>
      <c r="W52" s="192">
        <f t="shared" si="124"/>
        <v>-237.47946317993046</v>
      </c>
      <c r="X52" s="192">
        <f t="shared" si="124"/>
        <v>-14247.986806524365</v>
      </c>
      <c r="Y52" s="192">
        <f t="shared" si="124"/>
        <v>22967.409440000098</v>
      </c>
      <c r="Z52" s="192">
        <f t="shared" si="124"/>
        <v>-13557.48668175409</v>
      </c>
      <c r="AA52" s="192">
        <f>SUM(AA53:AA55)</f>
        <v>48937.08</v>
      </c>
      <c r="AB52" s="192">
        <f>SUM(AB53:AB55)</f>
        <v>31276.853000000003</v>
      </c>
      <c r="AC52" s="192">
        <f>SUM(AC53:AC55)</f>
        <v>32609.346430000012</v>
      </c>
      <c r="AD52" s="192">
        <f>SUM(AD53:AD55)</f>
        <v>26924.474999999999</v>
      </c>
      <c r="AF52" s="156">
        <f t="shared" si="112"/>
        <v>-0.17433257799886581</v>
      </c>
      <c r="AG52" s="156">
        <f t="shared" si="113"/>
        <v>-2.9859488437658168</v>
      </c>
    </row>
    <row r="53" spans="2:35" ht="13" customHeight="1">
      <c r="B53" s="648" t="str">
        <f>IF('Summary | Sumário'!D$6=Names!B$3,Names!O61,Names!Z61)</f>
        <v>Income from derivatives</v>
      </c>
      <c r="C53" s="191">
        <v>0</v>
      </c>
      <c r="D53" s="191">
        <f>'6. NII'!D23</f>
        <v>-54418</v>
      </c>
      <c r="E53" s="191">
        <f>'6. NII'!E23</f>
        <v>-48330.334000000003</v>
      </c>
      <c r="F53" s="191">
        <f>'6. NII'!F23</f>
        <v>33884.103000000003</v>
      </c>
      <c r="G53" s="191">
        <f>'6. NII'!G23</f>
        <v>-69273</v>
      </c>
      <c r="H53" s="191">
        <f>'6. NII'!H23</f>
        <v>546712.54295000003</v>
      </c>
      <c r="I53" s="191">
        <f>'6. NII'!I23</f>
        <v>145044</v>
      </c>
      <c r="J53" s="175"/>
      <c r="K53" s="191">
        <f>'6. NII'!K23</f>
        <v>-19931.596000000001</v>
      </c>
      <c r="L53" s="191">
        <f>'6. NII'!L23</f>
        <v>-23765.403999999999</v>
      </c>
      <c r="M53" s="191">
        <f>'6. NII'!M23</f>
        <v>-9869</v>
      </c>
      <c r="N53" s="191">
        <f>'6. NII'!N23</f>
        <v>5235.6660000000011</v>
      </c>
      <c r="O53" s="191">
        <f>'6. NII'!O23</f>
        <v>11009.383</v>
      </c>
      <c r="P53" s="191">
        <f>'6. NII'!P23</f>
        <v>-3030.3259999999982</v>
      </c>
      <c r="Q53" s="191">
        <f>'6. NII'!Q23</f>
        <v>5940.735999999999</v>
      </c>
      <c r="R53" s="191">
        <f>'6. NII'!R23</f>
        <v>19964.310000000001</v>
      </c>
      <c r="S53" s="191">
        <f>'6. NII'!S23</f>
        <v>482.30199999999877</v>
      </c>
      <c r="T53" s="191">
        <f>'6. NII'!T23</f>
        <v>-58862</v>
      </c>
      <c r="U53" s="191">
        <f>'6. NII'!U23</f>
        <v>64133.019220000024</v>
      </c>
      <c r="V53" s="191">
        <f>'6. NII'!V23</f>
        <v>-75026.321220000013</v>
      </c>
      <c r="W53" s="191">
        <f>'6. NII'!W23</f>
        <v>68661.610820000031</v>
      </c>
      <c r="X53" s="191">
        <f>'6. NII'!X23</f>
        <v>173310.82241000002</v>
      </c>
      <c r="Y53" s="191">
        <f>'6. NII'!Y23</f>
        <v>44424.709440000101</v>
      </c>
      <c r="Z53" s="191">
        <f>'6. NII'!Z23</f>
        <v>260315.40027999989</v>
      </c>
      <c r="AA53" s="191">
        <f>'6. NII'!AA23</f>
        <v>-19187</v>
      </c>
      <c r="AB53" s="191">
        <f>'6. NII'!AB23</f>
        <v>-54549</v>
      </c>
      <c r="AC53" s="191">
        <f>'6. NII'!AC23</f>
        <v>182632</v>
      </c>
      <c r="AD53" s="191">
        <f>'6. NII'!AD23</f>
        <v>36148</v>
      </c>
      <c r="AE53" s="191"/>
      <c r="AF53" s="155">
        <f t="shared" si="112"/>
        <v>-0.80207192605896016</v>
      </c>
      <c r="AG53" s="155">
        <f t="shared" si="113"/>
        <v>-0.86113768159271964</v>
      </c>
    </row>
    <row r="54" spans="2:35" ht="13" customHeight="1">
      <c r="B54" s="560" t="str">
        <f>IF('Summary | Sumário'!D$6=Names!B$3,Names!P2,Names!Q2)</f>
        <v>(-) Hedge accounting from real estate loans</v>
      </c>
      <c r="C54" s="192">
        <f t="shared" ref="C54:H54" si="126">-C42</f>
        <v>0</v>
      </c>
      <c r="D54" s="192">
        <f t="shared" si="126"/>
        <v>70972.398829336977</v>
      </c>
      <c r="E54" s="192">
        <f t="shared" si="126"/>
        <v>73354.239000000001</v>
      </c>
      <c r="F54" s="192">
        <f t="shared" si="126"/>
        <v>27585.400999999998</v>
      </c>
      <c r="G54" s="192">
        <f t="shared" si="126"/>
        <v>9439.8214100000023</v>
      </c>
      <c r="H54" s="192">
        <f t="shared" si="126"/>
        <v>-208310.60479145829</v>
      </c>
      <c r="I54" s="192">
        <f t="shared" ref="I54" si="127">-I42</f>
        <v>-105190.32837999998</v>
      </c>
      <c r="J54" s="193"/>
      <c r="K54" s="192">
        <f t="shared" ref="K54:AA54" si="128">-K42</f>
        <v>16468.116999999998</v>
      </c>
      <c r="L54" s="192">
        <f t="shared" si="128"/>
        <v>36410.913999999997</v>
      </c>
      <c r="M54" s="192">
        <f t="shared" si="128"/>
        <v>2915.415</v>
      </c>
      <c r="N54" s="192">
        <f t="shared" si="128"/>
        <v>17559.793000000001</v>
      </c>
      <c r="O54" s="192">
        <f t="shared" si="128"/>
        <v>8323.277</v>
      </c>
      <c r="P54" s="192">
        <f t="shared" si="128"/>
        <v>14497.851000000001</v>
      </c>
      <c r="Q54" s="192">
        <f t="shared" si="128"/>
        <v>8870.1569999999992</v>
      </c>
      <c r="R54" s="192">
        <f t="shared" si="128"/>
        <v>-4105.884</v>
      </c>
      <c r="S54" s="192">
        <f t="shared" si="128"/>
        <v>5114.3909999999996</v>
      </c>
      <c r="T54" s="192">
        <f t="shared" si="128"/>
        <v>-6039.93</v>
      </c>
      <c r="U54" s="192">
        <f t="shared" si="128"/>
        <v>-6136.5408399999997</v>
      </c>
      <c r="V54" s="192">
        <f t="shared" si="128"/>
        <v>16501.901250000003</v>
      </c>
      <c r="W54" s="192">
        <f t="shared" si="128"/>
        <v>-26412.795423179959</v>
      </c>
      <c r="X54" s="192">
        <f t="shared" si="128"/>
        <v>-67242.322886524373</v>
      </c>
      <c r="Y54" s="192">
        <f t="shared" si="128"/>
        <v>-10952.83</v>
      </c>
      <c r="Z54" s="192">
        <f t="shared" si="128"/>
        <v>-103702.65648175398</v>
      </c>
      <c r="AA54" s="192">
        <f t="shared" si="128"/>
        <v>15169.155000000001</v>
      </c>
      <c r="AB54" s="192">
        <f t="shared" ref="AB54:AC54" si="129">-AB42</f>
        <v>20521.455000000002</v>
      </c>
      <c r="AC54" s="192">
        <f t="shared" si="129"/>
        <v>-136520.41337999998</v>
      </c>
      <c r="AD54" s="192">
        <f t="shared" ref="AD54" si="130">-AD42</f>
        <v>-4360.5249999999996</v>
      </c>
      <c r="AF54" s="156">
        <f t="shared" si="112"/>
        <v>-0.96805953855514171</v>
      </c>
      <c r="AG54" s="156">
        <f t="shared" si="113"/>
        <v>-0.95795165574406271</v>
      </c>
    </row>
    <row r="55" spans="2:35" ht="13" customHeight="1">
      <c r="B55" s="648" t="str">
        <f>IF('Summary | Sumário'!D$6=Names!B$3,Names!P3,Names!Q3)</f>
        <v>(-) Hedge accounting from personal loans</v>
      </c>
      <c r="C55" s="193">
        <f t="shared" ref="C55:H55" si="131">-C45</f>
        <v>0</v>
      </c>
      <c r="D55" s="193">
        <f t="shared" si="131"/>
        <v>0</v>
      </c>
      <c r="E55" s="193">
        <f t="shared" si="131"/>
        <v>0</v>
      </c>
      <c r="F55" s="193">
        <f t="shared" si="131"/>
        <v>0</v>
      </c>
      <c r="G55" s="193">
        <f t="shared" si="131"/>
        <v>104805.87383</v>
      </c>
      <c r="H55" s="193">
        <f t="shared" si="131"/>
        <v>-343477.48167000001</v>
      </c>
      <c r="I55" s="193">
        <f t="shared" ref="I55" si="132">-I45</f>
        <v>99894.082809999993</v>
      </c>
      <c r="J55" s="193"/>
      <c r="K55" s="193">
        <f t="shared" ref="K55:AA55" si="133">-K45</f>
        <v>0</v>
      </c>
      <c r="L55" s="193">
        <f t="shared" si="133"/>
        <v>0</v>
      </c>
      <c r="M55" s="193">
        <f t="shared" si="133"/>
        <v>0</v>
      </c>
      <c r="N55" s="193">
        <f t="shared" si="133"/>
        <v>0</v>
      </c>
      <c r="O55" s="193">
        <f t="shared" si="133"/>
        <v>0</v>
      </c>
      <c r="P55" s="193">
        <f t="shared" si="133"/>
        <v>0</v>
      </c>
      <c r="Q55" s="193">
        <f t="shared" si="133"/>
        <v>0</v>
      </c>
      <c r="R55" s="193">
        <f t="shared" si="133"/>
        <v>0</v>
      </c>
      <c r="S55" s="193">
        <f t="shared" si="133"/>
        <v>14277.970720000001</v>
      </c>
      <c r="T55" s="193">
        <f t="shared" si="133"/>
        <v>65034.58827</v>
      </c>
      <c r="U55" s="193">
        <f t="shared" si="133"/>
        <v>-45457.766470000002</v>
      </c>
      <c r="V55" s="193">
        <f t="shared" si="133"/>
        <v>70951.081309999994</v>
      </c>
      <c r="W55" s="193">
        <f t="shared" si="133"/>
        <v>-42486.294860000002</v>
      </c>
      <c r="X55" s="193">
        <f t="shared" si="133"/>
        <v>-120316.48633000001</v>
      </c>
      <c r="Y55" s="193">
        <f t="shared" si="133"/>
        <v>-10504.47</v>
      </c>
      <c r="Z55" s="193">
        <f t="shared" si="133"/>
        <v>-170170.23048</v>
      </c>
      <c r="AA55" s="193">
        <f t="shared" si="133"/>
        <v>52954.925000000003</v>
      </c>
      <c r="AB55" s="193">
        <f t="shared" ref="AB55:AC55" si="134">-AB45</f>
        <v>65304.398000000001</v>
      </c>
      <c r="AC55" s="193">
        <f t="shared" si="134"/>
        <v>-13502.240190000006</v>
      </c>
      <c r="AD55" s="193">
        <f t="shared" ref="AD55" si="135">-AD45</f>
        <v>-4863</v>
      </c>
      <c r="AF55" s="155">
        <f t="shared" si="112"/>
        <v>-0.63983754313587005</v>
      </c>
      <c r="AG55" s="155">
        <f t="shared" si="113"/>
        <v>-0.97142273365745047</v>
      </c>
    </row>
    <row r="56" spans="2:35" ht="13" customHeight="1">
      <c r="B56" s="60" t="str">
        <f>IF('Summary | Sumário'!D$6=Names!B$3,Names!O68,Names!Z68)</f>
        <v>Revenue foreign exchange</v>
      </c>
      <c r="C56" s="190">
        <v>0</v>
      </c>
      <c r="D56" s="190">
        <f>'6. NII'!D29</f>
        <v>17318</v>
      </c>
      <c r="E56" s="190">
        <f>'6. NII'!E29</f>
        <v>24667</v>
      </c>
      <c r="F56" s="190">
        <f>'6. NII'!F29</f>
        <v>99780</v>
      </c>
      <c r="G56" s="190">
        <f>'6. NII'!G29</f>
        <v>88708</v>
      </c>
      <c r="H56" s="190">
        <f>'6. NII'!H29</f>
        <v>74587.800272134002</v>
      </c>
      <c r="I56" s="190">
        <f>'6. NII'!I29</f>
        <v>136271</v>
      </c>
      <c r="J56" s="175"/>
      <c r="K56" s="190">
        <f>'6. NII'!K29</f>
        <v>5876</v>
      </c>
      <c r="L56" s="190">
        <f>'6. NII'!L29</f>
        <v>6689</v>
      </c>
      <c r="M56" s="190">
        <f>'6. NII'!M29</f>
        <v>5791</v>
      </c>
      <c r="N56" s="190">
        <f>'6. NII'!N29</f>
        <v>6311</v>
      </c>
      <c r="O56" s="190">
        <f>'6. NII'!O29</f>
        <v>17033</v>
      </c>
      <c r="P56" s="190">
        <f>'6. NII'!P29</f>
        <v>25563</v>
      </c>
      <c r="Q56" s="190">
        <f>'6. NII'!Q29</f>
        <v>31137</v>
      </c>
      <c r="R56" s="190">
        <f>'6. NII'!R29</f>
        <v>26047</v>
      </c>
      <c r="S56" s="190">
        <f>'6. NII'!S29</f>
        <v>14919</v>
      </c>
      <c r="T56" s="190">
        <f>'6. NII'!T29</f>
        <v>26191</v>
      </c>
      <c r="U56" s="190">
        <f>'6. NII'!U29</f>
        <v>26659</v>
      </c>
      <c r="V56" s="190">
        <f>'6. NII'!V29</f>
        <v>20939</v>
      </c>
      <c r="W56" s="190">
        <f>'6. NII'!W29</f>
        <v>21756</v>
      </c>
      <c r="X56" s="190">
        <f>'6. NII'!X29</f>
        <v>12197</v>
      </c>
      <c r="Y56" s="190">
        <f>'6. NII'!Y29</f>
        <v>29585</v>
      </c>
      <c r="Z56" s="190">
        <f>'6. NII'!Z29</f>
        <v>11049.800272134002</v>
      </c>
      <c r="AA56" s="190">
        <f>'6. NII'!AA29</f>
        <v>16485.3</v>
      </c>
      <c r="AB56" s="190">
        <f>'6. NII'!AB29</f>
        <v>16956</v>
      </c>
      <c r="AC56" s="190">
        <f>'6. NII'!AC29</f>
        <v>34408</v>
      </c>
      <c r="AD56" s="190">
        <f>'6. NII'!AD29</f>
        <v>68421.7</v>
      </c>
      <c r="AF56" s="156">
        <f t="shared" si="112"/>
        <v>0.98854045570797489</v>
      </c>
      <c r="AG56" s="156">
        <f t="shared" si="113"/>
        <v>5.1921209718649513</v>
      </c>
    </row>
    <row r="57" spans="2:35" ht="13" customHeight="1">
      <c r="B57" s="55" t="str">
        <f>IF('Summary | Sumário'!D$6=Names!B$3,Names!O41,Names!Z41)</f>
        <v xml:space="preserve">Others </v>
      </c>
      <c r="C57" s="191">
        <f>'6. NII'!C17</f>
        <v>0</v>
      </c>
      <c r="D57" s="191">
        <f>'6. NII'!D17</f>
        <v>-17419</v>
      </c>
      <c r="E57" s="191">
        <f>'6. NII'!E17</f>
        <v>-37754.271999999997</v>
      </c>
      <c r="F57" s="191">
        <f>'6. NII'!F17</f>
        <v>-183522.14899999998</v>
      </c>
      <c r="G57" s="191">
        <f>'6. NII'!G17</f>
        <v>-239467.00499999989</v>
      </c>
      <c r="H57" s="191">
        <f>'6. NII'!H17</f>
        <v>-272532.14678800013</v>
      </c>
      <c r="I57" s="191">
        <f>'6. NII'!I17</f>
        <v>-307418</v>
      </c>
      <c r="J57" s="175"/>
      <c r="K57" s="191">
        <f>'6. NII'!K17</f>
        <v>-5783.2960000000021</v>
      </c>
      <c r="L57" s="191">
        <f>'6. NII'!L17</f>
        <v>-5054.226999999999</v>
      </c>
      <c r="M57" s="191">
        <f>'6. NII'!M17</f>
        <v>-5729.0129999999772</v>
      </c>
      <c r="N57" s="191">
        <f>'6. NII'!N17</f>
        <v>-21187.736000000004</v>
      </c>
      <c r="O57" s="191">
        <f>'6. NII'!O17</f>
        <v>-21787.037000000011</v>
      </c>
      <c r="P57" s="191">
        <f>'6. NII'!P17</f>
        <v>-24132.47100000002</v>
      </c>
      <c r="Q57" s="191">
        <f>'6. NII'!Q17</f>
        <v>-81179.730999999912</v>
      </c>
      <c r="R57" s="191">
        <f>'6. NII'!R17</f>
        <v>-56422.910000000033</v>
      </c>
      <c r="S57" s="191">
        <f>'6. NII'!S17</f>
        <v>-46915.41399999999</v>
      </c>
      <c r="T57" s="191">
        <f>'6. NII'!T17</f>
        <v>-49395</v>
      </c>
      <c r="U57" s="191">
        <f>'6. NII'!U17</f>
        <v>-74641</v>
      </c>
      <c r="V57" s="191">
        <f>'6. NII'!V17</f>
        <v>-68515.591000000015</v>
      </c>
      <c r="W57" s="191">
        <f>'6. NII'!W17</f>
        <v>-81398.049880000064</v>
      </c>
      <c r="X57" s="191">
        <f>'6. NII'!X17</f>
        <v>-87348.30700000003</v>
      </c>
      <c r="Y57" s="191">
        <f>'6. NII'!Y17</f>
        <v>-46607.007589999936</v>
      </c>
      <c r="Z57" s="191">
        <f>'6. NII'!Z17</f>
        <v>-57178.7823180001</v>
      </c>
      <c r="AA57" s="191">
        <f>'6. NII'!AA17</f>
        <v>-92569</v>
      </c>
      <c r="AB57" s="191">
        <f>'6. NII'!AB17</f>
        <v>-103956</v>
      </c>
      <c r="AC57" s="191">
        <f>'6. NII'!AC17</f>
        <v>-55544</v>
      </c>
      <c r="AD57" s="191">
        <f>'6. NII'!AD17</f>
        <v>-55349</v>
      </c>
      <c r="AF57" s="155">
        <f t="shared" si="112"/>
        <v>-3.5107302318881928E-3</v>
      </c>
      <c r="AG57" s="155">
        <f t="shared" si="113"/>
        <v>-3.2001071793095526E-2</v>
      </c>
    </row>
    <row r="58" spans="2:35" ht="13" customHeight="1">
      <c r="B58" s="286" t="str">
        <f>IF('Summary | Sumário'!D$6=Names!B$3,Names!P5,Names!Q5)</f>
        <v>Gross interest income</v>
      </c>
      <c r="C58" s="530">
        <f t="shared" ref="C58:Z58" si="136">C39+C49+C50+C51</f>
        <v>0</v>
      </c>
      <c r="D58" s="530">
        <f t="shared" si="136"/>
        <v>892832.21583</v>
      </c>
      <c r="E58" s="530">
        <f t="shared" si="136"/>
        <v>2098036.548</v>
      </c>
      <c r="F58" s="530">
        <f t="shared" si="136"/>
        <v>4210156.1298900004</v>
      </c>
      <c r="G58" s="530">
        <f t="shared" si="136"/>
        <v>5946360.9950000001</v>
      </c>
      <c r="H58" s="530">
        <f t="shared" si="136"/>
        <v>7280654.2384323301</v>
      </c>
      <c r="I58" s="530">
        <f t="shared" ref="I58" si="137">I39+I49+I50+I51</f>
        <v>11382452</v>
      </c>
      <c r="J58" s="184"/>
      <c r="K58" s="530">
        <f t="shared" si="136"/>
        <v>353214.576</v>
      </c>
      <c r="L58" s="530">
        <f t="shared" si="136"/>
        <v>388019.85</v>
      </c>
      <c r="M58" s="530">
        <f t="shared" si="136"/>
        <v>579757.54599999997</v>
      </c>
      <c r="N58" s="530">
        <f t="shared" si="136"/>
        <v>777044.57599999988</v>
      </c>
      <c r="O58" s="530">
        <f t="shared" si="136"/>
        <v>855436.25430000003</v>
      </c>
      <c r="P58" s="530">
        <f t="shared" si="136"/>
        <v>1041814.0909000001</v>
      </c>
      <c r="Q58" s="530">
        <f t="shared" si="136"/>
        <v>1080863.1559899999</v>
      </c>
      <c r="R58" s="530">
        <f t="shared" si="136"/>
        <v>1232042.6287</v>
      </c>
      <c r="S58" s="530">
        <f t="shared" si="136"/>
        <v>1342575.44086</v>
      </c>
      <c r="T58" s="530">
        <f t="shared" si="136"/>
        <v>1471019.04593</v>
      </c>
      <c r="U58" s="530">
        <f t="shared" si="136"/>
        <v>1533627.28957</v>
      </c>
      <c r="V58" s="530">
        <f t="shared" si="136"/>
        <v>1599139.2186399996</v>
      </c>
      <c r="W58" s="530">
        <f t="shared" si="136"/>
        <v>1653719.6810300001</v>
      </c>
      <c r="X58" s="530">
        <f t="shared" si="136"/>
        <v>1700005.30469385</v>
      </c>
      <c r="Y58" s="530">
        <f t="shared" si="136"/>
        <v>1911072.6347992984</v>
      </c>
      <c r="Z58" s="530">
        <f t="shared" si="136"/>
        <v>2015856.6179091828</v>
      </c>
      <c r="AA58" s="530">
        <f>AA39+AA49+AA50+AA51</f>
        <v>2362501.2999999998</v>
      </c>
      <c r="AB58" s="530">
        <f>AB39+AB49+AB50+AB51</f>
        <v>2673174</v>
      </c>
      <c r="AC58" s="530">
        <f>AC39+AC49+AC50+AC51</f>
        <v>3053381</v>
      </c>
      <c r="AD58" s="530">
        <f>AD39+AD49+AD50+AD51</f>
        <v>3293395.6999999997</v>
      </c>
      <c r="AE58" s="327"/>
      <c r="AF58" s="315">
        <f t="shared" si="112"/>
        <v>7.8606207348509649E-2</v>
      </c>
      <c r="AG58" s="315">
        <f t="shared" si="113"/>
        <v>0.63374501476988065</v>
      </c>
    </row>
    <row r="60" spans="2:35" ht="13" customHeight="1">
      <c r="B60" s="24" t="str">
        <f>IF('Summary | Sumário'!D$6=Names!B$3,Names!V14,Names!W14)</f>
        <v>Gross IEP</v>
      </c>
      <c r="C60" s="316"/>
      <c r="D60" s="316"/>
      <c r="E60" s="316"/>
      <c r="F60" s="316"/>
      <c r="G60" s="316"/>
      <c r="H60" s="316"/>
      <c r="I60" s="316"/>
      <c r="J60" s="182"/>
      <c r="K60" s="316"/>
      <c r="L60" s="316"/>
      <c r="M60" s="316"/>
      <c r="N60" s="316"/>
      <c r="O60" s="316"/>
      <c r="P60" s="316"/>
      <c r="Q60" s="316"/>
      <c r="R60" s="316"/>
      <c r="S60" s="316"/>
      <c r="T60" s="316"/>
      <c r="U60" s="316"/>
      <c r="V60" s="316"/>
      <c r="W60" s="316"/>
      <c r="X60" s="316"/>
      <c r="Y60" s="316"/>
      <c r="Z60" s="316"/>
      <c r="AA60" s="316"/>
      <c r="AB60" s="316"/>
      <c r="AC60" s="316"/>
      <c r="AD60" s="316"/>
      <c r="AE60" s="182"/>
      <c r="AF60" s="316"/>
      <c r="AG60" s="316"/>
    </row>
    <row r="61" spans="2:35" ht="13" customHeight="1">
      <c r="B61" s="291" t="str">
        <f>IF('Summary | Sumário'!D$6=Names!B$3,Names!V18,Names!W18)</f>
        <v>Gross loans and advances to customers excl. rural</v>
      </c>
      <c r="C61" s="292">
        <f>SUM(C62:C66)</f>
        <v>4710548.3870000001</v>
      </c>
      <c r="D61" s="292">
        <f t="shared" ref="D61:AA61" si="138">SUM(D62:D66)</f>
        <v>6937990.8250000002</v>
      </c>
      <c r="E61" s="292">
        <f t="shared" si="138"/>
        <v>12691962</v>
      </c>
      <c r="F61" s="292">
        <f t="shared" si="138"/>
        <v>18412526</v>
      </c>
      <c r="G61" s="292">
        <f t="shared" si="138"/>
        <v>22785868.397</v>
      </c>
      <c r="H61" s="292">
        <f t="shared" si="138"/>
        <v>31291943.489700001</v>
      </c>
      <c r="I61" s="292">
        <f t="shared" ref="I61" si="139">SUM(I62:I66)</f>
        <v>40435987.74887</v>
      </c>
      <c r="J61" s="179"/>
      <c r="K61" s="292">
        <f t="shared" ref="K61" si="140">SUM(K62:K66)</f>
        <v>8018109.7009899989</v>
      </c>
      <c r="L61" s="292">
        <f t="shared" ref="L61" si="141">SUM(L62:L66)</f>
        <v>9523986.0610000007</v>
      </c>
      <c r="M61" s="292">
        <f t="shared" ref="M61" si="142">SUM(M62:M66)</f>
        <v>11131449.932</v>
      </c>
      <c r="N61" s="292">
        <f t="shared" ref="N61" si="143">SUM(N62:N66)</f>
        <v>12691962</v>
      </c>
      <c r="O61" s="292">
        <f t="shared" ref="O61" si="144">SUM(O62:O66)</f>
        <v>13401177.585999999</v>
      </c>
      <c r="P61" s="292">
        <f t="shared" ref="P61" si="145">SUM(P62:P66)</f>
        <v>14477433.610000001</v>
      </c>
      <c r="Q61" s="292">
        <f t="shared" ref="Q61" si="146">SUM(Q62:Q66)</f>
        <v>16305725</v>
      </c>
      <c r="R61" s="292">
        <f t="shared" ref="R61" si="147">SUM(R62:R66)</f>
        <v>18412526</v>
      </c>
      <c r="S61" s="292">
        <f t="shared" ref="S61" si="148">SUM(S62:S66)</f>
        <v>18698095.387827475</v>
      </c>
      <c r="T61" s="292">
        <f t="shared" ref="T61" si="149">SUM(T62:T66)</f>
        <v>19846256.767574593</v>
      </c>
      <c r="U61" s="292">
        <f t="shared" ref="U61" si="150">SUM(U62:U66)</f>
        <v>20726741.954999998</v>
      </c>
      <c r="V61" s="292">
        <f t="shared" ref="V61" si="151">SUM(V62:V66)</f>
        <v>22785868.397</v>
      </c>
      <c r="W61" s="292">
        <f t="shared" ref="W61" si="152">SUM(W62:W66)</f>
        <v>23400618.588550199</v>
      </c>
      <c r="X61" s="292">
        <f t="shared" ref="X61" si="153">SUM(X62:X66)</f>
        <v>26585297.931400001</v>
      </c>
      <c r="Y61" s="292">
        <f t="shared" ref="Y61" si="154">SUM(Y62:Y66)</f>
        <v>28980163.44898</v>
      </c>
      <c r="Z61" s="292">
        <f t="shared" ref="Z61" si="155">SUM(Z62:Z66)</f>
        <v>31291943.489700001</v>
      </c>
      <c r="AA61" s="292">
        <f t="shared" si="138"/>
        <v>32686813.951030001</v>
      </c>
      <c r="AB61" s="292">
        <f t="shared" ref="AB61" si="156">SUM(AB62:AB66)</f>
        <v>33419230.61595</v>
      </c>
      <c r="AC61" s="292">
        <f>SUM(AC62:AC66)</f>
        <v>35622059.557240002</v>
      </c>
      <c r="AD61" s="292">
        <f t="shared" ref="AD61" si="157">SUM(AD62:AD66)</f>
        <v>40435987.74887</v>
      </c>
      <c r="AE61" s="179"/>
      <c r="AF61" s="339">
        <f t="shared" ref="AF61:AF81" si="158">AD61/AC61-1</f>
        <v>0.13513896308815743</v>
      </c>
      <c r="AG61" s="339">
        <f t="shared" ref="AG61:AG81" si="159">AD61/Z61-1</f>
        <v>0.29221720479521629</v>
      </c>
      <c r="AI61" s="188"/>
    </row>
    <row r="62" spans="2:35" ht="13" customHeight="1">
      <c r="B62" s="60" t="str">
        <f>IF('Summary | Sumário'!D$6=Names!B$3,Names!O4,Names!Z4)</f>
        <v>Real estate</v>
      </c>
      <c r="C62" s="190">
        <f>'5. IEP'!C15</f>
        <v>2519153</v>
      </c>
      <c r="D62" s="190">
        <f>'5. IEP'!D15</f>
        <v>3471356</v>
      </c>
      <c r="E62" s="190">
        <f>'5. IEP'!E15</f>
        <v>5121411</v>
      </c>
      <c r="F62" s="190">
        <f>'5. IEP'!F15</f>
        <v>6251813</v>
      </c>
      <c r="G62" s="190">
        <f>'5. IEP'!G15</f>
        <v>8583568</v>
      </c>
      <c r="H62" s="190">
        <f>'5. IEP'!H15</f>
        <v>11250187</v>
      </c>
      <c r="I62" s="190">
        <f>'5. IEP'!I15</f>
        <v>16194722</v>
      </c>
      <c r="J62" s="175"/>
      <c r="K62" s="190">
        <f>'5. IEP'!K15</f>
        <v>3925594.9876600001</v>
      </c>
      <c r="L62" s="190">
        <f>'5. IEP'!L15</f>
        <v>4211173</v>
      </c>
      <c r="M62" s="190">
        <f>'5. IEP'!M15</f>
        <v>4703223</v>
      </c>
      <c r="N62" s="190">
        <f>'5. IEP'!N15</f>
        <v>5121411</v>
      </c>
      <c r="O62" s="190">
        <f>'5. IEP'!O15</f>
        <v>5350879</v>
      </c>
      <c r="P62" s="190">
        <f>'5. IEP'!P15</f>
        <v>5647720</v>
      </c>
      <c r="Q62" s="190">
        <f>'5. IEP'!Q15</f>
        <v>5930070</v>
      </c>
      <c r="R62" s="190">
        <f>'5. IEP'!R15</f>
        <v>6251813</v>
      </c>
      <c r="S62" s="190">
        <f>'5. IEP'!S15</f>
        <v>6616802</v>
      </c>
      <c r="T62" s="190">
        <f>'5. IEP'!T15</f>
        <v>7020433</v>
      </c>
      <c r="U62" s="190">
        <f>'5. IEP'!U15</f>
        <v>7527810</v>
      </c>
      <c r="V62" s="190">
        <f>'5. IEP'!V15</f>
        <v>8583568</v>
      </c>
      <c r="W62" s="190">
        <f>'5. IEP'!W15</f>
        <v>9124375.4985301998</v>
      </c>
      <c r="X62" s="190">
        <f>'5. IEP'!X15</f>
        <v>9703768</v>
      </c>
      <c r="Y62" s="190">
        <f>'5. IEP'!Y15</f>
        <v>10266209</v>
      </c>
      <c r="Z62" s="190">
        <f>'5. IEP'!Z15</f>
        <v>11250187</v>
      </c>
      <c r="AA62" s="190">
        <f>'5. IEP'!AA15</f>
        <v>12200387</v>
      </c>
      <c r="AB62" s="190">
        <f>'5. IEP'!AB15</f>
        <v>13312029</v>
      </c>
      <c r="AC62" s="190">
        <f>'5. IEP'!AC15</f>
        <v>14524260</v>
      </c>
      <c r="AD62" s="190">
        <f>'5. IEP'!AD15</f>
        <v>16194722</v>
      </c>
      <c r="AE62" s="191"/>
      <c r="AF62" s="156">
        <f t="shared" si="158"/>
        <v>0.11501184914067908</v>
      </c>
      <c r="AG62" s="156">
        <f t="shared" si="159"/>
        <v>0.43950691664058561</v>
      </c>
      <c r="AI62" s="188"/>
    </row>
    <row r="63" spans="2:35" ht="13" customHeight="1">
      <c r="B63" s="55" t="str">
        <f>IF('Summary | Sumário'!D$6=Names!B$3,Names!O5,Names!Z5)</f>
        <v>Personal</v>
      </c>
      <c r="C63" s="191">
        <f>'5. IEP'!C16</f>
        <v>1002386</v>
      </c>
      <c r="D63" s="191">
        <f>'5. IEP'!D16</f>
        <v>1653554</v>
      </c>
      <c r="E63" s="191">
        <f>'5. IEP'!E16</f>
        <v>3579283</v>
      </c>
      <c r="F63" s="191">
        <f>'5. IEP'!F16</f>
        <v>5463781</v>
      </c>
      <c r="G63" s="191">
        <f>'5. IEP'!G16</f>
        <v>7138744</v>
      </c>
      <c r="H63" s="191">
        <f>'5. IEP'!H16</f>
        <v>8236791</v>
      </c>
      <c r="I63" s="191">
        <f>'5. IEP'!I16</f>
        <v>12113979</v>
      </c>
      <c r="J63" s="175"/>
      <c r="K63" s="191">
        <f>'5. IEP'!K16</f>
        <v>2123654.0038399999</v>
      </c>
      <c r="L63" s="191">
        <f>'5. IEP'!L16</f>
        <v>2620848</v>
      </c>
      <c r="M63" s="191">
        <f>'5. IEP'!M16</f>
        <v>3100640</v>
      </c>
      <c r="N63" s="191">
        <f>'5. IEP'!N16</f>
        <v>3579283</v>
      </c>
      <c r="O63" s="191">
        <f>'5. IEP'!O16</f>
        <v>3936755</v>
      </c>
      <c r="P63" s="191">
        <f>'5. IEP'!P16</f>
        <v>4460508.5</v>
      </c>
      <c r="Q63" s="191">
        <f>'5. IEP'!Q16</f>
        <v>5057444</v>
      </c>
      <c r="R63" s="191">
        <f>'5. IEP'!R16</f>
        <v>5463781</v>
      </c>
      <c r="S63" s="191">
        <f>'5. IEP'!S16</f>
        <v>6081266</v>
      </c>
      <c r="T63" s="191">
        <f>'5. IEP'!T16</f>
        <v>6500480</v>
      </c>
      <c r="U63" s="191">
        <f>'5. IEP'!U16</f>
        <v>6663058</v>
      </c>
      <c r="V63" s="191">
        <f>'5. IEP'!V16</f>
        <v>7138744</v>
      </c>
      <c r="W63" s="191">
        <f>'5. IEP'!W16</f>
        <v>7437794.5190500002</v>
      </c>
      <c r="X63" s="191">
        <f>'5. IEP'!X16</f>
        <v>7555457</v>
      </c>
      <c r="Y63" s="191">
        <f>'5. IEP'!Y16</f>
        <v>8003536</v>
      </c>
      <c r="Z63" s="191">
        <f>'5. IEP'!Z16</f>
        <v>8236791</v>
      </c>
      <c r="AA63" s="191">
        <f>'5. IEP'!AA16</f>
        <v>8909592</v>
      </c>
      <c r="AB63" s="191">
        <f>'5. IEP'!AB16</f>
        <v>9955975</v>
      </c>
      <c r="AC63" s="191">
        <f>'5. IEP'!AC16</f>
        <v>11070559</v>
      </c>
      <c r="AD63" s="191">
        <f>'5. IEP'!AD16</f>
        <v>12113979</v>
      </c>
      <c r="AE63" s="191"/>
      <c r="AF63" s="155">
        <f t="shared" si="158"/>
        <v>9.4251789814769005E-2</v>
      </c>
      <c r="AG63" s="155">
        <f t="shared" si="159"/>
        <v>0.47071584067144601</v>
      </c>
      <c r="AI63" s="188"/>
    </row>
    <row r="64" spans="2:35" ht="13" customHeight="1">
      <c r="B64" s="60" t="str">
        <f>IF('Summary | Sumário'!D$6=Names!B$3,Names!O6,Names!Z6)</f>
        <v>SME</v>
      </c>
      <c r="C64" s="190">
        <f>'5. IEP'!C17</f>
        <v>472304</v>
      </c>
      <c r="D64" s="190">
        <f>'5. IEP'!D17</f>
        <v>1582869</v>
      </c>
      <c r="E64" s="190">
        <f>'5. IEP'!E17</f>
        <v>3017159</v>
      </c>
      <c r="F64" s="190">
        <f>'5. IEP'!F17</f>
        <v>3392500</v>
      </c>
      <c r="G64" s="190">
        <f>'5. IEP'!G17</f>
        <v>3855754</v>
      </c>
      <c r="H64" s="190">
        <f>'5. IEP'!H17</f>
        <v>3968591</v>
      </c>
      <c r="I64" s="190">
        <f>'5. IEP'!I17</f>
        <v>4293595</v>
      </c>
      <c r="J64" s="175"/>
      <c r="K64" s="190">
        <f>'5. IEP'!K17</f>
        <v>1572378.93881</v>
      </c>
      <c r="L64" s="190">
        <f>'5. IEP'!L17</f>
        <v>2153921</v>
      </c>
      <c r="M64" s="190">
        <f>'5. IEP'!M17</f>
        <v>2703302</v>
      </c>
      <c r="N64" s="190">
        <f>'5. IEP'!N17</f>
        <v>3017159</v>
      </c>
      <c r="O64" s="190">
        <f>'5. IEP'!O17</f>
        <v>2929546</v>
      </c>
      <c r="P64" s="190">
        <f>'5. IEP'!P17</f>
        <v>2905002.5</v>
      </c>
      <c r="Q64" s="190">
        <f>'5. IEP'!Q17</f>
        <v>2978792</v>
      </c>
      <c r="R64" s="190">
        <f>'5. IEP'!R17</f>
        <v>3392500</v>
      </c>
      <c r="S64" s="190">
        <f>'5. IEP'!S17</f>
        <v>3110840</v>
      </c>
      <c r="T64" s="190">
        <f>'5. IEP'!T17</f>
        <v>3215316</v>
      </c>
      <c r="U64" s="190">
        <f>'5. IEP'!U17</f>
        <v>3438526</v>
      </c>
      <c r="V64" s="190">
        <f>'5. IEP'!V17</f>
        <v>3855754</v>
      </c>
      <c r="W64" s="190">
        <f>'5. IEP'!W17</f>
        <v>3376688</v>
      </c>
      <c r="X64" s="190">
        <f>'5. IEP'!X17</f>
        <v>4359140</v>
      </c>
      <c r="Y64" s="190">
        <f>'5. IEP'!Y17</f>
        <v>4149476</v>
      </c>
      <c r="Z64" s="190">
        <f>'5. IEP'!Z17</f>
        <v>3968591</v>
      </c>
      <c r="AA64" s="190">
        <f>'5. IEP'!AA17</f>
        <v>3747963</v>
      </c>
      <c r="AB64" s="190">
        <f>'5. IEP'!AB17</f>
        <v>3683260</v>
      </c>
      <c r="AC64" s="190">
        <f>'5. IEP'!AC17</f>
        <v>3916890</v>
      </c>
      <c r="AD64" s="190">
        <f>'5. IEP'!AD17</f>
        <v>4293595</v>
      </c>
      <c r="AE64" s="191"/>
      <c r="AF64" s="156">
        <f t="shared" si="158"/>
        <v>9.6174516006321431E-2</v>
      </c>
      <c r="AG64" s="156">
        <f t="shared" si="159"/>
        <v>8.1894052574326803E-2</v>
      </c>
      <c r="AI64" s="188"/>
    </row>
    <row r="65" spans="2:35" ht="13" customHeight="1">
      <c r="B65" s="55" t="str">
        <f>IF('Summary | Sumário'!D6=Names!B3,Names!V7,Names!W7)</f>
        <v>Non-transactor credit card portfolio</v>
      </c>
      <c r="C65" s="191">
        <f>'5. IEP'!C18</f>
        <v>716705.38699999999</v>
      </c>
      <c r="D65" s="191">
        <f>'5. IEP'!D18</f>
        <v>230211.82499999995</v>
      </c>
      <c r="E65" s="191">
        <f>'5. IEP'!E18</f>
        <v>676005</v>
      </c>
      <c r="F65" s="191">
        <f>'5. IEP'!F18</f>
        <v>1458767</v>
      </c>
      <c r="G65" s="191">
        <f>'5. IEP'!G18</f>
        <v>1971266.3970000008</v>
      </c>
      <c r="H65" s="191">
        <f>'5. IEP'!H18</f>
        <v>2249854.1845399998</v>
      </c>
      <c r="I65" s="191">
        <f>'5. IEP'!I18</f>
        <v>3520120.7488700002</v>
      </c>
      <c r="J65" s="175"/>
      <c r="K65" s="191">
        <f>'5. IEP'!K18</f>
        <v>310705.48867999995</v>
      </c>
      <c r="L65" s="191">
        <f>'5. IEP'!L18</f>
        <v>466529</v>
      </c>
      <c r="M65" s="191">
        <f>'5. IEP'!M18</f>
        <v>526729</v>
      </c>
      <c r="N65" s="191">
        <f>'5. IEP'!N18</f>
        <v>676005</v>
      </c>
      <c r="O65" s="191">
        <f>'5. IEP'!O18</f>
        <v>836644</v>
      </c>
      <c r="P65" s="191">
        <f>'5. IEP'!P18</f>
        <v>1084285.4000000004</v>
      </c>
      <c r="Q65" s="191">
        <f>'5. IEP'!Q18</f>
        <v>1309633</v>
      </c>
      <c r="R65" s="191">
        <f>'5. IEP'!R18</f>
        <v>1458767</v>
      </c>
      <c r="S65" s="191">
        <f>'5. IEP'!S18</f>
        <v>1592763.3878274746</v>
      </c>
      <c r="T65" s="191">
        <f>'5. IEP'!T18</f>
        <v>1777050.7675745916</v>
      </c>
      <c r="U65" s="191">
        <f>'5. IEP'!U18</f>
        <v>1882205.9550000001</v>
      </c>
      <c r="V65" s="191">
        <f>'5. IEP'!V18</f>
        <v>1971266.3970000008</v>
      </c>
      <c r="W65" s="191">
        <f>'5. IEP'!W18</f>
        <v>2176763.9201100003</v>
      </c>
      <c r="X65" s="191">
        <f>'5. IEP'!X18</f>
        <v>2264113.5148200002</v>
      </c>
      <c r="Y65" s="191">
        <f>'5. IEP'!Y18</f>
        <v>2206943.6459299996</v>
      </c>
      <c r="Z65" s="191">
        <f>'5. IEP'!Z18</f>
        <v>2249854.1845399998</v>
      </c>
      <c r="AA65" s="191">
        <f>'5. IEP'!AA18</f>
        <v>2629254.9510299992</v>
      </c>
      <c r="AB65" s="191">
        <f>'5. IEP'!AB18</f>
        <v>2865086.6159499995</v>
      </c>
      <c r="AC65" s="190">
        <f>'5. IEP'!AC18</f>
        <v>3242380.55724</v>
      </c>
      <c r="AD65" s="191">
        <f>'5. IEP'!AD18</f>
        <v>3520120.7488700002</v>
      </c>
      <c r="AE65" s="191"/>
      <c r="AF65" s="155">
        <f t="shared" si="158"/>
        <v>8.5659344030368789E-2</v>
      </c>
      <c r="AG65" s="155">
        <f t="shared" si="159"/>
        <v>0.56459950740750608</v>
      </c>
      <c r="AI65" s="188"/>
    </row>
    <row r="66" spans="2:35" ht="13" customHeight="1">
      <c r="B66" s="60" t="str">
        <f>IF('Summary | Sumário'!D6=Names!B3,Names!V11,Names!W11)</f>
        <v>Prepayment of receivables</v>
      </c>
      <c r="C66" s="190">
        <f>'9.1 Asset Quality'!C11</f>
        <v>0</v>
      </c>
      <c r="D66" s="190">
        <f>'9.1 Asset Quality'!D11</f>
        <v>0</v>
      </c>
      <c r="E66" s="190">
        <f>'9.1 Asset Quality'!E11</f>
        <v>298104</v>
      </c>
      <c r="F66" s="190">
        <f>'9.1 Asset Quality'!F11</f>
        <v>1845665</v>
      </c>
      <c r="G66" s="190">
        <f>'9.1 Asset Quality'!G11</f>
        <v>1236536</v>
      </c>
      <c r="H66" s="190">
        <f>'9.1 Asset Quality'!H11</f>
        <v>5586520.30516</v>
      </c>
      <c r="I66" s="190">
        <f>'9.1 Asset Quality'!I11</f>
        <v>4313571</v>
      </c>
      <c r="J66" s="175"/>
      <c r="K66" s="190">
        <f>'9.1 Asset Quality'!K11</f>
        <v>85776.282000000007</v>
      </c>
      <c r="L66" s="190">
        <f>'9.1 Asset Quality'!L11</f>
        <v>71515.061000000002</v>
      </c>
      <c r="M66" s="190">
        <f>'9.1 Asset Quality'!M11</f>
        <v>97555.932000000001</v>
      </c>
      <c r="N66" s="190">
        <f>'9.1 Asset Quality'!N11</f>
        <v>298104</v>
      </c>
      <c r="O66" s="190">
        <f>'9.1 Asset Quality'!O11</f>
        <v>347353.58600000001</v>
      </c>
      <c r="P66" s="190">
        <f>'9.1 Asset Quality'!P11</f>
        <v>379917.21</v>
      </c>
      <c r="Q66" s="190">
        <f>'9.1 Asset Quality'!Q11</f>
        <v>1029786.0000000001</v>
      </c>
      <c r="R66" s="190">
        <f>'9.1 Asset Quality'!R11</f>
        <v>1845665</v>
      </c>
      <c r="S66" s="190">
        <f>'9.1 Asset Quality'!S11</f>
        <v>1296424</v>
      </c>
      <c r="T66" s="190">
        <f>'9.1 Asset Quality'!T11</f>
        <v>1332977</v>
      </c>
      <c r="U66" s="190">
        <f>'9.1 Asset Quality'!U11</f>
        <v>1215142</v>
      </c>
      <c r="V66" s="190">
        <f>'9.1 Asset Quality'!V11</f>
        <v>1236536</v>
      </c>
      <c r="W66" s="190">
        <f>'9.1 Asset Quality'!W11</f>
        <v>1284996.6508599999</v>
      </c>
      <c r="X66" s="190">
        <f>'9.1 Asset Quality'!X11</f>
        <v>2702819.41658</v>
      </c>
      <c r="Y66" s="190">
        <f>'9.1 Asset Quality'!Y11</f>
        <v>4353998.8030500002</v>
      </c>
      <c r="Z66" s="190">
        <f>'9.1 Asset Quality'!Z11</f>
        <v>5586520.30516</v>
      </c>
      <c r="AA66" s="190">
        <f>'9.1 Asset Quality'!AA11</f>
        <v>5199617</v>
      </c>
      <c r="AB66" s="190">
        <f>'9.1 Asset Quality'!AB11</f>
        <v>3602880</v>
      </c>
      <c r="AC66" s="190">
        <f>'9.1 Asset Quality'!AC11</f>
        <v>2867970</v>
      </c>
      <c r="AD66" s="190">
        <f>'9.1 Asset Quality'!AD11</f>
        <v>4313571</v>
      </c>
      <c r="AE66" s="191"/>
      <c r="AF66" s="156">
        <f t="shared" si="158"/>
        <v>0.50405025157166916</v>
      </c>
      <c r="AG66" s="156">
        <f t="shared" si="159"/>
        <v>-0.2278608571393248</v>
      </c>
      <c r="AI66" s="188"/>
    </row>
    <row r="67" spans="2:35" ht="13" customHeight="1">
      <c r="B67" s="51" t="str">
        <f>IF('Summary | Sumário'!D6=Names!B3,Names!V10,Names!W10)</f>
        <v>Amounts due from financial institutions</v>
      </c>
      <c r="C67" s="193">
        <f t="shared" ref="C67:Z67" si="160">C68+C69</f>
        <v>3249765</v>
      </c>
      <c r="D67" s="193">
        <f t="shared" si="160"/>
        <v>2155044</v>
      </c>
      <c r="E67" s="193">
        <f t="shared" si="160"/>
        <v>1765267</v>
      </c>
      <c r="F67" s="193">
        <f t="shared" si="160"/>
        <v>3103024</v>
      </c>
      <c r="G67" s="193">
        <f t="shared" si="160"/>
        <v>5544223</v>
      </c>
      <c r="H67" s="193">
        <f t="shared" si="160"/>
        <v>704918.00316999992</v>
      </c>
      <c r="I67" s="193">
        <f t="shared" ref="I67" si="161">I68+I69</f>
        <v>930446</v>
      </c>
      <c r="J67" s="193"/>
      <c r="K67" s="193">
        <f t="shared" si="160"/>
        <v>508295</v>
      </c>
      <c r="L67" s="193">
        <f t="shared" si="160"/>
        <v>588650</v>
      </c>
      <c r="M67" s="193">
        <f t="shared" si="160"/>
        <v>1310627.068</v>
      </c>
      <c r="N67" s="193">
        <f t="shared" si="160"/>
        <v>1765267</v>
      </c>
      <c r="O67" s="193">
        <f t="shared" si="160"/>
        <v>1533440.4139999999</v>
      </c>
      <c r="P67" s="193">
        <f t="shared" si="160"/>
        <v>1858830.79</v>
      </c>
      <c r="Q67" s="193">
        <f t="shared" si="160"/>
        <v>2663637</v>
      </c>
      <c r="R67" s="193">
        <f t="shared" si="160"/>
        <v>3103024</v>
      </c>
      <c r="S67" s="193">
        <f t="shared" si="160"/>
        <v>3336565</v>
      </c>
      <c r="T67" s="193">
        <f t="shared" si="160"/>
        <v>4056311</v>
      </c>
      <c r="U67" s="193">
        <f t="shared" si="160"/>
        <v>5294009</v>
      </c>
      <c r="V67" s="193">
        <f t="shared" si="160"/>
        <v>5544223</v>
      </c>
      <c r="W67" s="193">
        <f t="shared" si="160"/>
        <v>4589841.4213999994</v>
      </c>
      <c r="X67" s="193">
        <f t="shared" si="160"/>
        <v>4341752.1309200004</v>
      </c>
      <c r="Y67" s="193">
        <f t="shared" si="160"/>
        <v>2225564.6693000002</v>
      </c>
      <c r="Z67" s="193">
        <f t="shared" si="160"/>
        <v>704918.00316999992</v>
      </c>
      <c r="AA67" s="193">
        <f>AA68+AA69</f>
        <v>1112090</v>
      </c>
      <c r="AB67" s="193">
        <f>AB68+AB69</f>
        <v>4476177</v>
      </c>
      <c r="AC67" s="193">
        <f>AC68+AC69</f>
        <v>4270294</v>
      </c>
      <c r="AD67" s="193">
        <f>AD68+AD69</f>
        <v>930446</v>
      </c>
      <c r="AF67" s="155">
        <f t="shared" si="158"/>
        <v>-0.78211195763102026</v>
      </c>
      <c r="AG67" s="155">
        <f t="shared" si="159"/>
        <v>0.31993507871242599</v>
      </c>
      <c r="AI67" s="188"/>
    </row>
    <row r="68" spans="2:35" ht="13" customHeight="1">
      <c r="B68" s="60" t="str">
        <f>IF('Summary | Sumário'!D6=Names!B3,Names!V12,Names!W12)</f>
        <v>Interbank deposit investments</v>
      </c>
      <c r="C68" s="221">
        <v>229088</v>
      </c>
      <c r="D68" s="221">
        <v>502347</v>
      </c>
      <c r="E68" s="221">
        <f>N68</f>
        <v>1729676</v>
      </c>
      <c r="F68" s="221">
        <f>R68</f>
        <v>2383526</v>
      </c>
      <c r="G68" s="221">
        <f>V68</f>
        <v>2451736</v>
      </c>
      <c r="H68" s="221">
        <f>Z68</f>
        <v>579720.22265999997</v>
      </c>
      <c r="I68" s="221">
        <f>AD68</f>
        <v>267305</v>
      </c>
      <c r="J68" s="220"/>
      <c r="K68" s="221">
        <v>508295</v>
      </c>
      <c r="L68" s="221">
        <v>588650</v>
      </c>
      <c r="M68" s="221">
        <v>1310627.068</v>
      </c>
      <c r="N68" s="221">
        <v>1729676</v>
      </c>
      <c r="O68" s="221">
        <v>1092110.4139999999</v>
      </c>
      <c r="P68" s="221">
        <v>1038630.79</v>
      </c>
      <c r="Q68" s="221">
        <v>2376438</v>
      </c>
      <c r="R68" s="221">
        <v>2383526</v>
      </c>
      <c r="S68" s="221">
        <v>2445298</v>
      </c>
      <c r="T68" s="221">
        <v>1209154</v>
      </c>
      <c r="U68" s="221">
        <v>2126047</v>
      </c>
      <c r="V68" s="221">
        <v>2451736</v>
      </c>
      <c r="W68" s="221">
        <v>2609001.0491299992</v>
      </c>
      <c r="X68" s="221">
        <v>2402910.8812500006</v>
      </c>
      <c r="Y68" s="221">
        <v>564054.04582</v>
      </c>
      <c r="Z68" s="221">
        <v>579720.22265999997</v>
      </c>
      <c r="AA68" s="221">
        <v>554051</v>
      </c>
      <c r="AB68" s="221">
        <v>466977</v>
      </c>
      <c r="AC68" s="221">
        <v>200982</v>
      </c>
      <c r="AD68" s="221">
        <v>267305</v>
      </c>
      <c r="AF68" s="156">
        <f t="shared" si="158"/>
        <v>0.32999472589585133</v>
      </c>
      <c r="AG68" s="156">
        <f t="shared" si="159"/>
        <v>-0.53890689068341913</v>
      </c>
      <c r="AI68" s="188"/>
    </row>
    <row r="69" spans="2:35" ht="13" customHeight="1">
      <c r="B69" s="55" t="str">
        <f>IF('Summary | Sumário'!D6=Names!B3,Names!V13,Names!W13)</f>
        <v>Reverse repurchase agreements</v>
      </c>
      <c r="C69" s="220">
        <v>3020677</v>
      </c>
      <c r="D69" s="220">
        <v>1652697</v>
      </c>
      <c r="E69" s="220">
        <f>N69</f>
        <v>35591</v>
      </c>
      <c r="F69" s="220">
        <f>R69</f>
        <v>719498</v>
      </c>
      <c r="G69" s="220">
        <f>V69</f>
        <v>3092487</v>
      </c>
      <c r="H69" s="220">
        <f>Z69</f>
        <v>125197.78051000001</v>
      </c>
      <c r="I69" s="220">
        <f>AD69</f>
        <v>663141</v>
      </c>
      <c r="J69" s="220"/>
      <c r="K69" s="220">
        <v>0</v>
      </c>
      <c r="L69" s="220">
        <v>0</v>
      </c>
      <c r="M69" s="220">
        <v>0</v>
      </c>
      <c r="N69" s="220">
        <v>35591</v>
      </c>
      <c r="O69" s="220">
        <v>441330</v>
      </c>
      <c r="P69" s="220">
        <v>820200</v>
      </c>
      <c r="Q69" s="220">
        <v>287199</v>
      </c>
      <c r="R69" s="220">
        <v>719498</v>
      </c>
      <c r="S69" s="220">
        <v>891267</v>
      </c>
      <c r="T69" s="220">
        <v>2847157</v>
      </c>
      <c r="U69" s="220">
        <v>3167962</v>
      </c>
      <c r="V69" s="220">
        <v>3092487</v>
      </c>
      <c r="W69" s="220">
        <v>1980840.3722699999</v>
      </c>
      <c r="X69" s="220">
        <v>1938841.2496699998</v>
      </c>
      <c r="Y69" s="220">
        <v>1661510.6234800001</v>
      </c>
      <c r="Z69" s="220">
        <v>125197.78051000001</v>
      </c>
      <c r="AA69" s="220">
        <v>558039</v>
      </c>
      <c r="AB69" s="220">
        <v>4009200</v>
      </c>
      <c r="AC69" s="220">
        <v>4069312</v>
      </c>
      <c r="AD69" s="220">
        <v>663141</v>
      </c>
      <c r="AF69" s="155">
        <f t="shared" si="158"/>
        <v>-0.83703854607363604</v>
      </c>
      <c r="AG69" s="155">
        <f t="shared" si="159"/>
        <v>4.296747253015659</v>
      </c>
      <c r="AI69" s="188"/>
    </row>
    <row r="70" spans="2:35" ht="13" customHeight="1">
      <c r="B70" s="53" t="str">
        <f>IF('Summary | Sumário'!D6=Names!B3,Names!K6,Names!L6)</f>
        <v>Securities, net of provisions for expected credit losses</v>
      </c>
      <c r="C70" s="190">
        <f>'5. IEP'!C10</f>
        <v>1155094</v>
      </c>
      <c r="D70" s="190">
        <f>'5. IEP'!D10</f>
        <v>5812622</v>
      </c>
      <c r="E70" s="190">
        <f>'5. IEP'!E10</f>
        <v>12757687</v>
      </c>
      <c r="F70" s="190">
        <f>'5. IEP'!F10</f>
        <v>12448565</v>
      </c>
      <c r="G70" s="190">
        <f>'5. IEP'!G10</f>
        <v>16868112</v>
      </c>
      <c r="H70" s="190">
        <f>'5. IEP'!H10</f>
        <v>23899551.020405103</v>
      </c>
      <c r="I70" s="190">
        <f>'5. IEP'!I10</f>
        <v>29010323</v>
      </c>
      <c r="J70" s="175"/>
      <c r="K70" s="190">
        <f>'5. IEP'!K10</f>
        <v>6619726</v>
      </c>
      <c r="L70" s="190">
        <f>'5. IEP'!L10</f>
        <v>8230481</v>
      </c>
      <c r="M70" s="190">
        <f>'5. IEP'!M10</f>
        <v>13241180</v>
      </c>
      <c r="N70" s="190">
        <f>'5. IEP'!N10</f>
        <v>12757687</v>
      </c>
      <c r="O70" s="190">
        <f>'5. IEP'!O10</f>
        <v>12335401</v>
      </c>
      <c r="P70" s="190">
        <f>'5. IEP'!P10</f>
        <v>12710051</v>
      </c>
      <c r="Q70" s="190">
        <f>'5. IEP'!Q10</f>
        <v>13373465</v>
      </c>
      <c r="R70" s="190">
        <f>'5. IEP'!R10</f>
        <v>12448565</v>
      </c>
      <c r="S70" s="190">
        <f>'5. IEP'!S10</f>
        <v>12535351</v>
      </c>
      <c r="T70" s="190">
        <f>'5. IEP'!T10</f>
        <v>14169684</v>
      </c>
      <c r="U70" s="190">
        <f>'5. IEP'!U10</f>
        <v>14908297</v>
      </c>
      <c r="V70" s="190">
        <f>'5. IEP'!V10</f>
        <v>16868112</v>
      </c>
      <c r="W70" s="190">
        <f>'5. IEP'!W10</f>
        <v>18167251</v>
      </c>
      <c r="X70" s="190">
        <f>'5. IEP'!X10</f>
        <v>18276425.519000001</v>
      </c>
      <c r="Y70" s="190">
        <f>'5. IEP'!Y10</f>
        <v>20586354.700983003</v>
      </c>
      <c r="Z70" s="190">
        <f>'5. IEP'!Z10</f>
        <v>23899551.020405103</v>
      </c>
      <c r="AA70" s="190">
        <f>'5. IEP'!AA10</f>
        <v>24703003</v>
      </c>
      <c r="AB70" s="190">
        <f>'5. IEP'!AB10</f>
        <v>23860348</v>
      </c>
      <c r="AC70" s="190">
        <f>'5. IEP'!AC10</f>
        <v>27078010</v>
      </c>
      <c r="AD70" s="190">
        <f>'5. IEP'!AD10</f>
        <v>29010323</v>
      </c>
      <c r="AF70" s="156">
        <f t="shared" si="158"/>
        <v>7.1360967811149978E-2</v>
      </c>
      <c r="AG70" s="156">
        <f t="shared" si="159"/>
        <v>0.21384384900081987</v>
      </c>
      <c r="AI70" s="188"/>
    </row>
    <row r="71" spans="2:35" ht="13" customHeight="1">
      <c r="B71" s="51" t="str">
        <f>IF('Summary | Sumário'!D6=Names!B3,Names!V15,Names!W15)</f>
        <v>Other IEPs</v>
      </c>
      <c r="C71" s="193">
        <f>C72+C75+C76+C77</f>
        <v>486392</v>
      </c>
      <c r="D71" s="193">
        <f t="shared" ref="D71:AA71" si="162">D72+D75+D76+D77</f>
        <v>2416869</v>
      </c>
      <c r="E71" s="193">
        <f t="shared" si="162"/>
        <v>3651482</v>
      </c>
      <c r="F71" s="193">
        <f t="shared" si="162"/>
        <v>4186597</v>
      </c>
      <c r="G71" s="193">
        <f t="shared" si="162"/>
        <v>4580503</v>
      </c>
      <c r="H71" s="193">
        <f t="shared" si="162"/>
        <v>6609994.6947964998</v>
      </c>
      <c r="I71" s="193">
        <f t="shared" ref="I71" si="163">I72+I75+I76+I77</f>
        <v>11451651</v>
      </c>
      <c r="J71" s="193"/>
      <c r="K71" s="193">
        <f t="shared" si="162"/>
        <v>2785445.9253099998</v>
      </c>
      <c r="L71" s="193">
        <f t="shared" si="162"/>
        <v>7760559.0010000002</v>
      </c>
      <c r="M71" s="193">
        <f t="shared" si="162"/>
        <v>3336348.298</v>
      </c>
      <c r="N71" s="193">
        <f t="shared" si="162"/>
        <v>3651482</v>
      </c>
      <c r="O71" s="193">
        <f t="shared" si="162"/>
        <v>3745702</v>
      </c>
      <c r="P71" s="193">
        <f t="shared" si="162"/>
        <v>3803168</v>
      </c>
      <c r="Q71" s="193">
        <f t="shared" si="162"/>
        <v>3865325</v>
      </c>
      <c r="R71" s="193">
        <f t="shared" si="162"/>
        <v>4186597</v>
      </c>
      <c r="S71" s="193">
        <f t="shared" si="162"/>
        <v>4646112</v>
      </c>
      <c r="T71" s="193">
        <f t="shared" si="162"/>
        <v>3256699</v>
      </c>
      <c r="U71" s="193">
        <f t="shared" si="162"/>
        <v>4093444.6461388674</v>
      </c>
      <c r="V71" s="193">
        <f t="shared" si="162"/>
        <v>4580503</v>
      </c>
      <c r="W71" s="193">
        <f t="shared" si="162"/>
        <v>4590443.8267636886</v>
      </c>
      <c r="X71" s="193">
        <f t="shared" si="162"/>
        <v>5436555.2713299999</v>
      </c>
      <c r="Y71" s="193">
        <f t="shared" si="162"/>
        <v>5332550.9482305599</v>
      </c>
      <c r="Z71" s="193">
        <f t="shared" si="162"/>
        <v>6609994.6947964998</v>
      </c>
      <c r="AA71" s="193">
        <f t="shared" si="162"/>
        <v>6842412</v>
      </c>
      <c r="AB71" s="193">
        <f t="shared" ref="AB71:AC71" si="164">AB72+AB75+AB76+AB77</f>
        <v>7294919</v>
      </c>
      <c r="AC71" s="193">
        <f t="shared" si="164"/>
        <v>9040190</v>
      </c>
      <c r="AD71" s="193">
        <f t="shared" ref="AD71" si="165">AD72+AD75+AD76+AD77</f>
        <v>11451651</v>
      </c>
      <c r="AF71" s="155">
        <f t="shared" si="158"/>
        <v>0.2667489289495022</v>
      </c>
      <c r="AG71" s="155">
        <f t="shared" si="159"/>
        <v>0.73247506673718421</v>
      </c>
      <c r="AI71" s="188"/>
    </row>
    <row r="72" spans="2:35" ht="13" customHeight="1">
      <c r="B72" s="60" t="str">
        <f>IF('Summary | Sumário'!D6=Names!B3,Names!V17,Names!W17)</f>
        <v>Cash and equivalents excl. reverse repurchase agreements</v>
      </c>
      <c r="C72" s="190">
        <f>C73+C74</f>
        <v>94112</v>
      </c>
      <c r="D72" s="190">
        <f t="shared" ref="D72:AA72" si="166">D73+D74</f>
        <v>501990</v>
      </c>
      <c r="E72" s="190">
        <f t="shared" si="166"/>
        <v>464855</v>
      </c>
      <c r="F72" s="190">
        <f t="shared" si="166"/>
        <v>612150</v>
      </c>
      <c r="G72" s="190">
        <f t="shared" si="166"/>
        <v>1166892</v>
      </c>
      <c r="H72" s="190">
        <f t="shared" si="166"/>
        <v>983196.16579649993</v>
      </c>
      <c r="I72" s="190">
        <f t="shared" ref="I72" si="167">I73+I74</f>
        <v>3138372</v>
      </c>
      <c r="J72" s="175"/>
      <c r="K72" s="190">
        <f t="shared" si="166"/>
        <v>906123</v>
      </c>
      <c r="L72" s="190">
        <f t="shared" si="166"/>
        <v>5731007.0010000002</v>
      </c>
      <c r="M72" s="190">
        <f t="shared" si="166"/>
        <v>451774.29800000001</v>
      </c>
      <c r="N72" s="190">
        <f t="shared" si="166"/>
        <v>464855</v>
      </c>
      <c r="O72" s="190">
        <f t="shared" si="166"/>
        <v>730324</v>
      </c>
      <c r="P72" s="190">
        <f t="shared" si="166"/>
        <v>728958</v>
      </c>
      <c r="Q72" s="190">
        <f t="shared" si="166"/>
        <v>551111</v>
      </c>
      <c r="R72" s="190">
        <f t="shared" si="166"/>
        <v>612150</v>
      </c>
      <c r="S72" s="190">
        <f t="shared" si="166"/>
        <v>900440</v>
      </c>
      <c r="T72" s="190">
        <f t="shared" si="166"/>
        <v>825062</v>
      </c>
      <c r="U72" s="190">
        <f t="shared" si="166"/>
        <v>1129115.8057988677</v>
      </c>
      <c r="V72" s="190">
        <f t="shared" si="166"/>
        <v>1166892</v>
      </c>
      <c r="W72" s="190">
        <f t="shared" si="166"/>
        <v>849469.61702368804</v>
      </c>
      <c r="X72" s="190">
        <f t="shared" si="166"/>
        <v>858498.07433000021</v>
      </c>
      <c r="Y72" s="190">
        <f t="shared" si="166"/>
        <v>612054.08900055988</v>
      </c>
      <c r="Z72" s="190">
        <f t="shared" si="166"/>
        <v>983196.16579649993</v>
      </c>
      <c r="AA72" s="190">
        <f t="shared" si="166"/>
        <v>900549</v>
      </c>
      <c r="AB72" s="190">
        <f t="shared" ref="AB72:AC72" si="168">AB73+AB74</f>
        <v>824925</v>
      </c>
      <c r="AC72" s="190">
        <f t="shared" si="168"/>
        <v>1626008</v>
      </c>
      <c r="AD72" s="190">
        <f t="shared" ref="AD72" si="169">AD73+AD74</f>
        <v>3138372</v>
      </c>
      <c r="AF72" s="156">
        <f t="shared" si="158"/>
        <v>0.93010858495161153</v>
      </c>
      <c r="AG72" s="156">
        <f t="shared" si="159"/>
        <v>2.1920100069324051</v>
      </c>
      <c r="AI72" s="188"/>
    </row>
    <row r="73" spans="2:35" ht="13" customHeight="1">
      <c r="B73" s="648" t="str">
        <f>IF('Summary | Sumário'!D6=Names!B3,Names!K3,Names!L3)</f>
        <v>Cash and equivalents</v>
      </c>
      <c r="C73" s="191">
        <f>'5. IEP'!C5</f>
        <v>3114789</v>
      </c>
      <c r="D73" s="191">
        <f>'5. IEP'!D5</f>
        <v>2154687</v>
      </c>
      <c r="E73" s="191">
        <f>'5. IEP'!E5</f>
        <v>500446</v>
      </c>
      <c r="F73" s="191">
        <f>'5. IEP'!F5</f>
        <v>1331648</v>
      </c>
      <c r="G73" s="191">
        <f>'5. IEP'!G5</f>
        <v>4259379</v>
      </c>
      <c r="H73" s="191">
        <f>'5. IEP'!H5</f>
        <v>1108393.9463064999</v>
      </c>
      <c r="I73" s="191">
        <f>'5. IEP'!I5</f>
        <v>3801513</v>
      </c>
      <c r="J73" s="175"/>
      <c r="K73" s="191">
        <f>'5. IEP'!K5</f>
        <v>906123</v>
      </c>
      <c r="L73" s="191">
        <f>'5. IEP'!L5</f>
        <v>5731007.0010000002</v>
      </c>
      <c r="M73" s="191">
        <f>'5. IEP'!M5</f>
        <v>451774.29800000001</v>
      </c>
      <c r="N73" s="191">
        <f>'5. IEP'!N5</f>
        <v>500446</v>
      </c>
      <c r="O73" s="191">
        <f>'5. IEP'!O5</f>
        <v>1171654</v>
      </c>
      <c r="P73" s="191">
        <f>'5. IEP'!P5</f>
        <v>1549158</v>
      </c>
      <c r="Q73" s="191">
        <f>'5. IEP'!Q5</f>
        <v>838310</v>
      </c>
      <c r="R73" s="191">
        <f>'5. IEP'!R5</f>
        <v>1331648</v>
      </c>
      <c r="S73" s="191">
        <f>'5. IEP'!S5</f>
        <v>1791707</v>
      </c>
      <c r="T73" s="191">
        <f>'5. IEP'!T5</f>
        <v>3672219</v>
      </c>
      <c r="U73" s="191">
        <f>'5. IEP'!U5</f>
        <v>4297077.8057988677</v>
      </c>
      <c r="V73" s="191">
        <f>'5. IEP'!V5</f>
        <v>4259379</v>
      </c>
      <c r="W73" s="191">
        <f>'5. IEP'!W5</f>
        <v>2830309.989293688</v>
      </c>
      <c r="X73" s="191">
        <f>'5. IEP'!X5</f>
        <v>2797339.324</v>
      </c>
      <c r="Y73" s="191">
        <f>'5. IEP'!Y5</f>
        <v>2273564.7124805599</v>
      </c>
      <c r="Z73" s="191">
        <f>'5. IEP'!Z5</f>
        <v>1108393.9463064999</v>
      </c>
      <c r="AA73" s="191">
        <f>'5. IEP'!AA5</f>
        <v>1458588</v>
      </c>
      <c r="AB73" s="191">
        <f>'5. IEP'!AB5</f>
        <v>4834125</v>
      </c>
      <c r="AC73" s="191">
        <f>'5. IEP'!AC5</f>
        <v>5695320</v>
      </c>
      <c r="AD73" s="191">
        <f>'5. IEP'!AD5</f>
        <v>3801513</v>
      </c>
      <c r="AF73" s="155">
        <f t="shared" si="158"/>
        <v>-0.33251985841006304</v>
      </c>
      <c r="AG73" s="155">
        <f t="shared" si="159"/>
        <v>2.4297489738804314</v>
      </c>
      <c r="AI73" s="188"/>
    </row>
    <row r="74" spans="2:35" ht="13" customHeight="1">
      <c r="B74" s="560" t="str">
        <f>IF('Summary | Sumário'!D6=Names!B3,Names!V16,Names!W16)</f>
        <v>(-) Reverse repurchase agreements</v>
      </c>
      <c r="C74" s="190">
        <f>-C69</f>
        <v>-3020677</v>
      </c>
      <c r="D74" s="190">
        <f t="shared" ref="D74:AA74" si="170">-D69</f>
        <v>-1652697</v>
      </c>
      <c r="E74" s="190">
        <f t="shared" si="170"/>
        <v>-35591</v>
      </c>
      <c r="F74" s="190">
        <f t="shared" si="170"/>
        <v>-719498</v>
      </c>
      <c r="G74" s="190">
        <f t="shared" si="170"/>
        <v>-3092487</v>
      </c>
      <c r="H74" s="190">
        <f t="shared" si="170"/>
        <v>-125197.78051000001</v>
      </c>
      <c r="I74" s="190">
        <f t="shared" ref="I74" si="171">-I69</f>
        <v>-663141</v>
      </c>
      <c r="J74" s="175"/>
      <c r="K74" s="190">
        <f t="shared" si="170"/>
        <v>0</v>
      </c>
      <c r="L74" s="190">
        <f t="shared" si="170"/>
        <v>0</v>
      </c>
      <c r="M74" s="190">
        <f t="shared" si="170"/>
        <v>0</v>
      </c>
      <c r="N74" s="190">
        <f t="shared" si="170"/>
        <v>-35591</v>
      </c>
      <c r="O74" s="190">
        <f t="shared" si="170"/>
        <v>-441330</v>
      </c>
      <c r="P74" s="190">
        <f t="shared" si="170"/>
        <v>-820200</v>
      </c>
      <c r="Q74" s="190">
        <f t="shared" si="170"/>
        <v>-287199</v>
      </c>
      <c r="R74" s="190">
        <f t="shared" si="170"/>
        <v>-719498</v>
      </c>
      <c r="S74" s="190">
        <f t="shared" si="170"/>
        <v>-891267</v>
      </c>
      <c r="T74" s="190">
        <f t="shared" si="170"/>
        <v>-2847157</v>
      </c>
      <c r="U74" s="190">
        <f t="shared" si="170"/>
        <v>-3167962</v>
      </c>
      <c r="V74" s="190">
        <f t="shared" si="170"/>
        <v>-3092487</v>
      </c>
      <c r="W74" s="190">
        <f t="shared" si="170"/>
        <v>-1980840.3722699999</v>
      </c>
      <c r="X74" s="190">
        <f t="shared" si="170"/>
        <v>-1938841.2496699998</v>
      </c>
      <c r="Y74" s="190">
        <f t="shared" si="170"/>
        <v>-1661510.6234800001</v>
      </c>
      <c r="Z74" s="190">
        <f t="shared" si="170"/>
        <v>-125197.78051000001</v>
      </c>
      <c r="AA74" s="190">
        <f t="shared" si="170"/>
        <v>-558039</v>
      </c>
      <c r="AB74" s="190">
        <f t="shared" ref="AB74:AC74" si="172">-AB69</f>
        <v>-4009200</v>
      </c>
      <c r="AC74" s="190">
        <f t="shared" si="172"/>
        <v>-4069312</v>
      </c>
      <c r="AD74" s="190">
        <f t="shared" ref="AD74" si="173">-AD69</f>
        <v>-663141</v>
      </c>
      <c r="AF74" s="156">
        <f t="shared" si="158"/>
        <v>-0.83703854607363604</v>
      </c>
      <c r="AG74" s="156">
        <f t="shared" si="159"/>
        <v>4.296747253015659</v>
      </c>
      <c r="AI74" s="188"/>
    </row>
    <row r="75" spans="2:35" ht="13" customHeight="1">
      <c r="B75" s="55" t="str">
        <f>IF('Summary | Sumário'!D6=Names!B3,Names!K5,Names!L5)</f>
        <v>Deposits at Central Bank of Brazil</v>
      </c>
      <c r="C75" s="191">
        <f>'5. IEP'!C9</f>
        <v>392280</v>
      </c>
      <c r="D75" s="191">
        <f>'5. IEP'!D9</f>
        <v>1709729</v>
      </c>
      <c r="E75" s="191">
        <f>'5. IEP'!E9</f>
        <v>2399488</v>
      </c>
      <c r="F75" s="191">
        <f>'5. IEP'!F9</f>
        <v>2854778</v>
      </c>
      <c r="G75" s="191">
        <f>'5. IEP'!G9</f>
        <v>2664415</v>
      </c>
      <c r="H75" s="191">
        <f>'5. IEP'!H9</f>
        <v>5285401.7280000001</v>
      </c>
      <c r="I75" s="191">
        <f>'5. IEP'!I9</f>
        <v>7867658</v>
      </c>
      <c r="J75" s="175"/>
      <c r="K75" s="191">
        <f>'5. IEP'!K9</f>
        <v>1644359</v>
      </c>
      <c r="L75" s="191">
        <f>'5. IEP'!L9</f>
        <v>1593298</v>
      </c>
      <c r="M75" s="191">
        <f>'5. IEP'!M9</f>
        <v>2331697</v>
      </c>
      <c r="N75" s="191">
        <f>'5. IEP'!N9</f>
        <v>2399488</v>
      </c>
      <c r="O75" s="191">
        <f>'5. IEP'!O9</f>
        <v>2361774</v>
      </c>
      <c r="P75" s="191">
        <f>'5. IEP'!P9</f>
        <v>2580989</v>
      </c>
      <c r="Q75" s="191">
        <f>'5. IEP'!Q9</f>
        <v>2686243</v>
      </c>
      <c r="R75" s="191">
        <f>'5. IEP'!R9</f>
        <v>2854778</v>
      </c>
      <c r="S75" s="191">
        <f>'5. IEP'!S9</f>
        <v>2993616</v>
      </c>
      <c r="T75" s="191">
        <f>'5. IEP'!T9</f>
        <v>1703869</v>
      </c>
      <c r="U75" s="191">
        <f>'5. IEP'!U9</f>
        <v>2190872.3033499997</v>
      </c>
      <c r="V75" s="191">
        <f>'5. IEP'!V9</f>
        <v>2664415</v>
      </c>
      <c r="W75" s="191">
        <f>'5. IEP'!W9</f>
        <v>2925658.3690599999</v>
      </c>
      <c r="X75" s="191">
        <f>'5. IEP'!X9</f>
        <v>3725774.7710000002</v>
      </c>
      <c r="Y75" s="191">
        <f>'5. IEP'!Y9</f>
        <v>4185155.9511100003</v>
      </c>
      <c r="Z75" s="191">
        <f>'5. IEP'!Z9</f>
        <v>5285401.7280000001</v>
      </c>
      <c r="AA75" s="191">
        <f>'5. IEP'!AA9</f>
        <v>5648238</v>
      </c>
      <c r="AB75" s="191">
        <f>'5. IEP'!AB9</f>
        <v>6179662</v>
      </c>
      <c r="AC75" s="191">
        <f>'5. IEP'!AC9</f>
        <v>7072746</v>
      </c>
      <c r="AD75" s="191">
        <f>'5. IEP'!AD9</f>
        <v>7867658</v>
      </c>
      <c r="AF75" s="155">
        <f t="shared" si="158"/>
        <v>0.11239085922214653</v>
      </c>
      <c r="AG75" s="155">
        <f t="shared" si="159"/>
        <v>0.48856386040066013</v>
      </c>
      <c r="AI75" s="188"/>
    </row>
    <row r="76" spans="2:35" ht="13" customHeight="1">
      <c r="B76" s="60" t="str">
        <f>IF('Summary | Sumário'!D6=Names!B3,Names!K7,Names!L7)</f>
        <v>Derivative financial assets</v>
      </c>
      <c r="C76" s="190">
        <f>'5. IEP'!C13</f>
        <v>0</v>
      </c>
      <c r="D76" s="190">
        <f>'5. IEP'!D13</f>
        <v>27513</v>
      </c>
      <c r="E76" s="190">
        <f>'5. IEP'!E13</f>
        <v>86948</v>
      </c>
      <c r="F76" s="190">
        <f>'5. IEP'!F13</f>
        <v>0</v>
      </c>
      <c r="G76" s="190">
        <f>'5. IEP'!G13</f>
        <v>4238</v>
      </c>
      <c r="H76" s="190">
        <f>'5. IEP'!H13</f>
        <v>562.80100000000004</v>
      </c>
      <c r="I76" s="190">
        <f>'5. IEP'!I13</f>
        <v>58915</v>
      </c>
      <c r="J76" s="175"/>
      <c r="K76" s="190">
        <f>'5. IEP'!K13</f>
        <v>18603</v>
      </c>
      <c r="L76" s="190">
        <f>'5. IEP'!L13</f>
        <v>11684</v>
      </c>
      <c r="M76" s="190">
        <f>'5. IEP'!M13</f>
        <v>7643</v>
      </c>
      <c r="N76" s="190">
        <f>'5. IEP'!N13</f>
        <v>86948</v>
      </c>
      <c r="O76" s="190">
        <f>'5. IEP'!O13</f>
        <v>10410</v>
      </c>
      <c r="P76" s="190">
        <f>'5. IEP'!P13</f>
        <v>3212</v>
      </c>
      <c r="Q76" s="190">
        <f>'5. IEP'!Q13</f>
        <v>581</v>
      </c>
      <c r="R76" s="190">
        <f>'5. IEP'!R13</f>
        <v>0</v>
      </c>
      <c r="S76" s="190">
        <f>'5. IEP'!S13</f>
        <v>1122</v>
      </c>
      <c r="T76" s="190">
        <f>'5. IEP'!T13</f>
        <v>3625</v>
      </c>
      <c r="U76" s="190">
        <f>'5. IEP'!U13</f>
        <v>9388.5369900000005</v>
      </c>
      <c r="V76" s="190">
        <f>'5. IEP'!V13</f>
        <v>4238</v>
      </c>
      <c r="W76" s="190">
        <f>'5. IEP'!W13</f>
        <v>7392.1129600000004</v>
      </c>
      <c r="X76" s="190">
        <f>'5. IEP'!X13</f>
        <v>7177.4260000000004</v>
      </c>
      <c r="Y76" s="190">
        <f>'5. IEP'!Y13</f>
        <v>18488.90812</v>
      </c>
      <c r="Z76" s="190">
        <f>'5. IEP'!Z13</f>
        <v>562.80100000000004</v>
      </c>
      <c r="AA76" s="190">
        <f>'5. IEP'!AA13</f>
        <v>8163</v>
      </c>
      <c r="AB76" s="190">
        <f>'5. IEP'!AB13</f>
        <v>690</v>
      </c>
      <c r="AC76" s="190">
        <f>'5. IEP'!AC13</f>
        <v>2493</v>
      </c>
      <c r="AD76" s="190">
        <f>'5. IEP'!AD13</f>
        <v>58915</v>
      </c>
      <c r="AF76" s="156">
        <f t="shared" si="158"/>
        <v>22.632170076213399</v>
      </c>
      <c r="AG76" s="156">
        <f t="shared" si="159"/>
        <v>103.68176140411974</v>
      </c>
      <c r="AI76" s="188"/>
    </row>
    <row r="77" spans="2:35" ht="13" customHeight="1">
      <c r="B77" s="55" t="str">
        <f>IF('Summary | Sumário'!D$6=Names!B$3,Names!O8,Names!Z8)</f>
        <v>Agribusiness</v>
      </c>
      <c r="C77" s="191">
        <f>'5. IEP'!C21</f>
        <v>0</v>
      </c>
      <c r="D77" s="191">
        <f>'5. IEP'!D21</f>
        <v>177637</v>
      </c>
      <c r="E77" s="191">
        <f>'5. IEP'!E21</f>
        <v>700191</v>
      </c>
      <c r="F77" s="191">
        <f>'5. IEP'!F21</f>
        <v>719669</v>
      </c>
      <c r="G77" s="191">
        <f>'5. IEP'!G21</f>
        <v>744958</v>
      </c>
      <c r="H77" s="191">
        <f>'5. IEP'!H21</f>
        <v>340834</v>
      </c>
      <c r="I77" s="191">
        <f>'5. IEP'!I21</f>
        <v>386706</v>
      </c>
      <c r="J77" s="175"/>
      <c r="K77" s="191">
        <f>'5. IEP'!K21</f>
        <v>216360.92530999999</v>
      </c>
      <c r="L77" s="191">
        <f>'5. IEP'!L21</f>
        <v>424570</v>
      </c>
      <c r="M77" s="191">
        <f>'5. IEP'!M21</f>
        <v>545234</v>
      </c>
      <c r="N77" s="191">
        <f>'5. IEP'!N21</f>
        <v>700191</v>
      </c>
      <c r="O77" s="191">
        <f>'5. IEP'!O21</f>
        <v>643194</v>
      </c>
      <c r="P77" s="191">
        <f>'5. IEP'!P21</f>
        <v>490009</v>
      </c>
      <c r="Q77" s="191">
        <f>'5. IEP'!Q21</f>
        <v>627390</v>
      </c>
      <c r="R77" s="191">
        <f>'5. IEP'!R21</f>
        <v>719669</v>
      </c>
      <c r="S77" s="191">
        <f>'5. IEP'!S21</f>
        <v>750934</v>
      </c>
      <c r="T77" s="191">
        <f>'5. IEP'!T21</f>
        <v>724143</v>
      </c>
      <c r="U77" s="191">
        <f>'5. IEP'!U21</f>
        <v>764068</v>
      </c>
      <c r="V77" s="191">
        <f>'5. IEP'!V21</f>
        <v>744958</v>
      </c>
      <c r="W77" s="191">
        <f>'5. IEP'!W21</f>
        <v>807923.72771999997</v>
      </c>
      <c r="X77" s="191">
        <f>'5. IEP'!X21</f>
        <v>845105</v>
      </c>
      <c r="Y77" s="191">
        <f>'5. IEP'!Y21</f>
        <v>516852</v>
      </c>
      <c r="Z77" s="191">
        <f>'5. IEP'!Z21</f>
        <v>340834</v>
      </c>
      <c r="AA77" s="191">
        <f>'5. IEP'!AA21</f>
        <v>285462</v>
      </c>
      <c r="AB77" s="191">
        <f>'5. IEP'!AB21</f>
        <v>289642</v>
      </c>
      <c r="AC77" s="191">
        <f>'5. IEP'!AC21</f>
        <v>338943</v>
      </c>
      <c r="AD77" s="191">
        <f>'5. IEP'!AD21</f>
        <v>386706</v>
      </c>
      <c r="AF77" s="155">
        <f t="shared" si="158"/>
        <v>0.14091749940255438</v>
      </c>
      <c r="AG77" s="155">
        <f t="shared" si="159"/>
        <v>0.13458751180926787</v>
      </c>
    </row>
    <row r="78" spans="2:35" ht="13" customHeight="1">
      <c r="B78" s="286" t="str">
        <f>IF('Summary | Sumário'!D$6=Names!B$3,Names!V14,Names!W14)</f>
        <v>Gross IEP</v>
      </c>
      <c r="C78" s="530">
        <f>C61+C67+C70+C71</f>
        <v>9601799.3870000001</v>
      </c>
      <c r="D78" s="530">
        <f t="shared" ref="D78:AA78" si="174">D61+D67+D70+D71</f>
        <v>17322525.824999999</v>
      </c>
      <c r="E78" s="530">
        <f t="shared" si="174"/>
        <v>30866398</v>
      </c>
      <c r="F78" s="530">
        <f t="shared" si="174"/>
        <v>38150712</v>
      </c>
      <c r="G78" s="530">
        <f t="shared" si="174"/>
        <v>49778706.397</v>
      </c>
      <c r="H78" s="530">
        <f t="shared" si="174"/>
        <v>62506407.208071604</v>
      </c>
      <c r="I78" s="530">
        <f t="shared" ref="I78" si="175">I61+I67+I70+I71</f>
        <v>81828407.74887</v>
      </c>
      <c r="J78" s="184"/>
      <c r="K78" s="530">
        <f t="shared" si="174"/>
        <v>17931576.6263</v>
      </c>
      <c r="L78" s="530">
        <f t="shared" si="174"/>
        <v>26103676.061999999</v>
      </c>
      <c r="M78" s="530">
        <f t="shared" si="174"/>
        <v>29019605.298</v>
      </c>
      <c r="N78" s="530">
        <f t="shared" si="174"/>
        <v>30866398</v>
      </c>
      <c r="O78" s="530">
        <f t="shared" si="174"/>
        <v>31015721</v>
      </c>
      <c r="P78" s="530">
        <f t="shared" si="174"/>
        <v>32849483.400000002</v>
      </c>
      <c r="Q78" s="530">
        <f t="shared" si="174"/>
        <v>36208152</v>
      </c>
      <c r="R78" s="530">
        <f t="shared" si="174"/>
        <v>38150712</v>
      </c>
      <c r="S78" s="530">
        <f t="shared" si="174"/>
        <v>39216123.387827471</v>
      </c>
      <c r="T78" s="530">
        <f t="shared" si="174"/>
        <v>41328950.767574593</v>
      </c>
      <c r="U78" s="530">
        <f t="shared" si="174"/>
        <v>45022492.601138867</v>
      </c>
      <c r="V78" s="530">
        <f t="shared" si="174"/>
        <v>49778706.397</v>
      </c>
      <c r="W78" s="530">
        <f t="shared" si="174"/>
        <v>50748154.836713888</v>
      </c>
      <c r="X78" s="530">
        <f t="shared" si="174"/>
        <v>54640030.852650002</v>
      </c>
      <c r="Y78" s="530">
        <f t="shared" si="174"/>
        <v>57124633.767493561</v>
      </c>
      <c r="Z78" s="530">
        <f t="shared" si="174"/>
        <v>62506407.208071604</v>
      </c>
      <c r="AA78" s="530">
        <f t="shared" si="174"/>
        <v>65344318.951030001</v>
      </c>
      <c r="AB78" s="530">
        <f t="shared" ref="AB78:AC78" si="176">AB61+AB67+AB70+AB71</f>
        <v>69050674.615950003</v>
      </c>
      <c r="AC78" s="530">
        <f t="shared" si="176"/>
        <v>76010553.557240009</v>
      </c>
      <c r="AD78" s="530">
        <f t="shared" ref="AD78" si="177">AD61+AD67+AD70+AD71</f>
        <v>81828407.74887</v>
      </c>
      <c r="AE78" s="327"/>
      <c r="AF78" s="315">
        <f t="shared" si="158"/>
        <v>7.6540084492988658E-2</v>
      </c>
      <c r="AG78" s="315">
        <f t="shared" si="159"/>
        <v>0.30912031908151816</v>
      </c>
    </row>
    <row r="79" spans="2:35" ht="13" customHeight="1">
      <c r="B79" s="51" t="str">
        <f>IF('Summary | Sumário'!D$6=Names!B$3,Names!P10,Names!Q11)</f>
        <v>(-) Provision for expected loss on loans on loans to customers</v>
      </c>
      <c r="C79" s="191">
        <f>'5. IEP'!C22</f>
        <v>-215563</v>
      </c>
      <c r="D79" s="191">
        <f>'5. IEP'!D22</f>
        <v>-282355</v>
      </c>
      <c r="E79" s="191">
        <f>'5. IEP'!E22</f>
        <v>-680932.27827000001</v>
      </c>
      <c r="F79" s="191">
        <f>'5. IEP'!F22</f>
        <v>-1318412</v>
      </c>
      <c r="G79" s="191">
        <f>'5. IEP'!G22</f>
        <v>-1883758</v>
      </c>
      <c r="H79" s="191">
        <f>'5. IEP'!H22</f>
        <v>-2268938</v>
      </c>
      <c r="I79" s="191">
        <f>'5. IEP'!I22</f>
        <v>-3000076</v>
      </c>
      <c r="J79" s="175"/>
      <c r="K79" s="191">
        <f>'5. IEP'!K22</f>
        <v>-334789</v>
      </c>
      <c r="L79" s="191">
        <f>'5. IEP'!L22</f>
        <v>-486763</v>
      </c>
      <c r="M79" s="191">
        <f>'5. IEP'!M22</f>
        <v>-558546</v>
      </c>
      <c r="N79" s="191">
        <f>'5. IEP'!N22</f>
        <v>-680932.27827000001</v>
      </c>
      <c r="O79" s="191">
        <f>'5. IEP'!O22</f>
        <v>-801672</v>
      </c>
      <c r="P79" s="191">
        <f>'5. IEP'!P22</f>
        <v>-974457</v>
      </c>
      <c r="Q79" s="191">
        <f>'5. IEP'!Q22</f>
        <v>-1184365</v>
      </c>
      <c r="R79" s="191">
        <f>'5. IEP'!R22</f>
        <v>-1318412</v>
      </c>
      <c r="S79" s="191">
        <f>'5. IEP'!S22</f>
        <v>-1461707</v>
      </c>
      <c r="T79" s="191">
        <f>'5. IEP'!T22</f>
        <v>-1617401</v>
      </c>
      <c r="U79" s="191">
        <f>'5. IEP'!U22</f>
        <v>-1746981</v>
      </c>
      <c r="V79" s="191">
        <f>'5. IEP'!V22</f>
        <v>-1883758</v>
      </c>
      <c r="W79" s="191">
        <f>'5. IEP'!W22</f>
        <v>-2031628</v>
      </c>
      <c r="X79" s="191">
        <f>'5. IEP'!X22</f>
        <v>-2164911.7689999999</v>
      </c>
      <c r="Y79" s="191">
        <f>'5. IEP'!Y22</f>
        <v>-2227466</v>
      </c>
      <c r="Z79" s="191">
        <f>'5. IEP'!Z22</f>
        <v>-2268938</v>
      </c>
      <c r="AA79" s="191">
        <f>'5. IEP'!AA22</f>
        <v>-2307044</v>
      </c>
      <c r="AB79" s="191">
        <f>'5. IEP'!AB22</f>
        <v>-2457260</v>
      </c>
      <c r="AC79" s="191">
        <f>'5. IEP'!AC22</f>
        <v>-2704536</v>
      </c>
      <c r="AD79" s="191">
        <f>'5. IEP'!AD22</f>
        <v>-3000076</v>
      </c>
      <c r="AF79" s="155">
        <f t="shared" si="158"/>
        <v>0.10927567612337197</v>
      </c>
      <c r="AG79" s="155">
        <f t="shared" si="159"/>
        <v>0.32223798094086309</v>
      </c>
    </row>
    <row r="80" spans="2:35" ht="13" customHeight="1">
      <c r="B80" s="53" t="str">
        <f>IF('Summary | Sumário'!D$6=Names!B$3,Names!P11,Names!Q12)</f>
        <v>(-) Provision for expected loss on loans on loans to financial institutions</v>
      </c>
      <c r="C80" s="190">
        <v>0</v>
      </c>
      <c r="D80" s="190">
        <v>0</v>
      </c>
      <c r="E80" s="190">
        <f>N80</f>
        <v>-1477</v>
      </c>
      <c r="F80" s="190">
        <f>R80</f>
        <v>-2140</v>
      </c>
      <c r="G80" s="190">
        <f>V80</f>
        <v>-1253</v>
      </c>
      <c r="H80" s="190">
        <f>Z80</f>
        <v>-5199.8868000000002</v>
      </c>
      <c r="I80" s="190">
        <f>AD80</f>
        <v>-1211</v>
      </c>
      <c r="J80" s="175"/>
      <c r="K80" s="190">
        <v>0</v>
      </c>
      <c r="L80" s="190">
        <v>0</v>
      </c>
      <c r="M80" s="190">
        <v>0</v>
      </c>
      <c r="N80" s="190">
        <v>-1477</v>
      </c>
      <c r="O80" s="190">
        <v>0</v>
      </c>
      <c r="P80" s="190">
        <v>0</v>
      </c>
      <c r="Q80" s="190">
        <v>-3493</v>
      </c>
      <c r="R80" s="190">
        <v>-2140</v>
      </c>
      <c r="S80" s="190">
        <v>-996</v>
      </c>
      <c r="T80" s="190">
        <v>-2159</v>
      </c>
      <c r="U80" s="190">
        <v>-1431</v>
      </c>
      <c r="V80" s="190">
        <v>-1253</v>
      </c>
      <c r="W80" s="190">
        <v>-1313.22245</v>
      </c>
      <c r="X80" s="190">
        <v>-2742.3400499999998</v>
      </c>
      <c r="Y80" s="190">
        <v>-3823.3108299999999</v>
      </c>
      <c r="Z80" s="190">
        <v>-5199.8868000000002</v>
      </c>
      <c r="AA80" s="190">
        <v>-5590</v>
      </c>
      <c r="AB80" s="190">
        <v>-3823</v>
      </c>
      <c r="AC80" s="190">
        <v>-925</v>
      </c>
      <c r="AD80" s="190">
        <v>-1211</v>
      </c>
      <c r="AF80" s="156">
        <f t="shared" si="158"/>
        <v>0.30918918918918914</v>
      </c>
      <c r="AG80" s="156">
        <f t="shared" si="159"/>
        <v>-0.76711031478608338</v>
      </c>
    </row>
    <row r="81" spans="2:33" ht="13" customHeight="1">
      <c r="B81" s="287" t="str">
        <f>IF('Summary | Sumário'!D$6=Names!B$3,Names!V9,Names!W9)</f>
        <v>Total interest earning assets</v>
      </c>
      <c r="C81" s="559">
        <f t="shared" ref="C81:G81" si="178">C78+C79+C80</f>
        <v>9386236.3870000001</v>
      </c>
      <c r="D81" s="559">
        <f t="shared" si="178"/>
        <v>17040170.824999999</v>
      </c>
      <c r="E81" s="559">
        <f t="shared" si="178"/>
        <v>30183988.721730001</v>
      </c>
      <c r="F81" s="559">
        <f t="shared" si="178"/>
        <v>36830160</v>
      </c>
      <c r="G81" s="559">
        <f t="shared" si="178"/>
        <v>47893695.397</v>
      </c>
      <c r="H81" s="559">
        <f>H78+H79+H80</f>
        <v>60232269.321271606</v>
      </c>
      <c r="I81" s="559">
        <f>I78+I79+I80</f>
        <v>78827120.74887</v>
      </c>
      <c r="J81" s="184"/>
      <c r="K81" s="559">
        <f t="shared" ref="K81" si="179">K78+K79+K80</f>
        <v>17596787.6263</v>
      </c>
      <c r="L81" s="559">
        <f t="shared" ref="L81" si="180">L78+L79+L80</f>
        <v>25616913.061999999</v>
      </c>
      <c r="M81" s="559">
        <f t="shared" ref="M81" si="181">M78+M79+M80</f>
        <v>28461059.298</v>
      </c>
      <c r="N81" s="559">
        <f t="shared" ref="N81:O81" si="182">N78+N79+N80</f>
        <v>30183988.721730001</v>
      </c>
      <c r="O81" s="559">
        <f t="shared" si="182"/>
        <v>30214049</v>
      </c>
      <c r="P81" s="559">
        <f t="shared" ref="P81" si="183">P78+P79+P80</f>
        <v>31875026.400000002</v>
      </c>
      <c r="Q81" s="559">
        <f t="shared" ref="Q81" si="184">Q78+Q79+Q80</f>
        <v>35020294</v>
      </c>
      <c r="R81" s="559">
        <f t="shared" ref="R81" si="185">R78+R79+R80</f>
        <v>36830160</v>
      </c>
      <c r="S81" s="559">
        <f t="shared" ref="S81" si="186">S78+S79+S80</f>
        <v>37753420.387827471</v>
      </c>
      <c r="T81" s="559">
        <f t="shared" ref="T81:U81" si="187">T78+T79+T80</f>
        <v>39709390.767574593</v>
      </c>
      <c r="U81" s="559">
        <f t="shared" si="187"/>
        <v>43274080.601138867</v>
      </c>
      <c r="V81" s="559">
        <f t="shared" ref="V81" si="188">V78+V79+V80</f>
        <v>47893695.397</v>
      </c>
      <c r="W81" s="559">
        <f t="shared" ref="W81" si="189">W78+W79+W80</f>
        <v>48715213.614263885</v>
      </c>
      <c r="X81" s="559">
        <f t="shared" ref="X81" si="190">X78+X79+X80</f>
        <v>52472376.743600003</v>
      </c>
      <c r="Y81" s="559">
        <f t="shared" ref="Y81" si="191">Y78+Y79+Y80</f>
        <v>54893344.456663564</v>
      </c>
      <c r="Z81" s="559">
        <f t="shared" ref="Z81:AA81" si="192">Z78+Z79+Z80</f>
        <v>60232269.321271606</v>
      </c>
      <c r="AA81" s="559">
        <f t="shared" si="192"/>
        <v>63031684.951030001</v>
      </c>
      <c r="AB81" s="559">
        <f t="shared" ref="AB81:AC81" si="193">AB78+AB79+AB80</f>
        <v>66589591.615950003</v>
      </c>
      <c r="AC81" s="559">
        <f t="shared" si="193"/>
        <v>73305092.557240009</v>
      </c>
      <c r="AD81" s="559">
        <f t="shared" ref="AD81" si="194">AD78+AD79+AD80</f>
        <v>78827120.74887</v>
      </c>
      <c r="AE81" s="327"/>
      <c r="AF81" s="301">
        <f t="shared" si="158"/>
        <v>7.5329393893311503E-2</v>
      </c>
      <c r="AG81" s="301">
        <f t="shared" si="159"/>
        <v>0.30871909089819805</v>
      </c>
    </row>
    <row r="82" spans="2:33" ht="13" customHeight="1">
      <c r="B82" s="60"/>
      <c r="C82" s="190"/>
      <c r="D82" s="190"/>
      <c r="E82" s="190"/>
      <c r="F82" s="190"/>
      <c r="G82" s="190"/>
      <c r="H82" s="190"/>
      <c r="I82" s="190"/>
      <c r="J82" s="175"/>
      <c r="K82" s="190"/>
      <c r="L82" s="190"/>
      <c r="M82" s="190"/>
      <c r="N82" s="190"/>
      <c r="O82" s="190"/>
      <c r="P82" s="190"/>
      <c r="Q82" s="190"/>
      <c r="R82" s="190"/>
      <c r="S82" s="190"/>
      <c r="T82" s="190"/>
      <c r="U82" s="190"/>
      <c r="V82" s="190"/>
      <c r="W82" s="190"/>
      <c r="X82" s="190"/>
      <c r="Y82" s="190"/>
      <c r="Z82" s="190"/>
      <c r="AA82" s="190"/>
      <c r="AB82" s="190"/>
      <c r="AC82" s="190"/>
      <c r="AD82" s="190"/>
      <c r="AF82" s="178"/>
      <c r="AG82" s="178"/>
    </row>
    <row r="83" spans="2:33" ht="13" customHeight="1">
      <c r="B83" s="3" t="str">
        <f>IF('Summary | Sumário'!D$6=Names!B$3,Names!O82,Names!Z82)</f>
        <v>Implied rates</v>
      </c>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row>
    <row r="84" spans="2:33" ht="13" customHeight="1">
      <c r="B84" s="658" t="str">
        <f>IF('Summary | Sumário'!D$6=Names!B$3,Names!O83,Names!Z83)</f>
        <v>All-in loan rate (%)</v>
      </c>
      <c r="C84" s="289">
        <v>0</v>
      </c>
      <c r="D84" s="337">
        <f t="shared" ref="D84:G84" si="195">D39/AVERAGE(C61:D61)</f>
        <v>0.12665962719869719</v>
      </c>
      <c r="E84" s="337">
        <f t="shared" si="195"/>
        <v>0.12933097581196046</v>
      </c>
      <c r="F84" s="337">
        <f t="shared" si="195"/>
        <v>0.16329189124669086</v>
      </c>
      <c r="G84" s="337">
        <f t="shared" si="195"/>
        <v>0.19126887649033739</v>
      </c>
      <c r="H84" s="337">
        <f>H39/AVERAGE(G61:H61)</f>
        <v>0.1899799354752747</v>
      </c>
      <c r="I84" s="337">
        <f>I39/AVERAGE(H61:I61)</f>
        <v>0.21478032650767323</v>
      </c>
      <c r="J84" s="204"/>
      <c r="K84" s="337">
        <f t="shared" ref="K84:Z84" si="196">K39*4/AVERAGE(J61:K61)</f>
        <v>0.12675788008668798</v>
      </c>
      <c r="L84" s="337">
        <f t="shared" si="196"/>
        <v>0.11817547481936849</v>
      </c>
      <c r="M84" s="337">
        <f t="shared" si="196"/>
        <v>0.12920472387532428</v>
      </c>
      <c r="N84" s="337">
        <f t="shared" si="196"/>
        <v>0.14189828264939897</v>
      </c>
      <c r="O84" s="337">
        <f t="shared" si="196"/>
        <v>0.14186302902338677</v>
      </c>
      <c r="P84" s="337">
        <f t="shared" si="196"/>
        <v>0.16937870419734233</v>
      </c>
      <c r="Q84" s="337">
        <f t="shared" si="196"/>
        <v>0.18106345507083102</v>
      </c>
      <c r="R84" s="337">
        <f t="shared" si="196"/>
        <v>0.1820092484958416</v>
      </c>
      <c r="S84" s="337">
        <f t="shared" si="196"/>
        <v>0.1910622197084986</v>
      </c>
      <c r="T84" s="337">
        <f t="shared" si="196"/>
        <v>0.20284193828859659</v>
      </c>
      <c r="U84" s="337">
        <f t="shared" si="196"/>
        <v>0.19790375062448623</v>
      </c>
      <c r="V84" s="337">
        <f t="shared" si="196"/>
        <v>0.19721834541709038</v>
      </c>
      <c r="W84" s="337">
        <f t="shared" si="196"/>
        <v>0.19909757773658693</v>
      </c>
      <c r="X84" s="337">
        <f t="shared" si="196"/>
        <v>0.19740244820586572</v>
      </c>
      <c r="Y84" s="337">
        <f t="shared" si="196"/>
        <v>0.19001448758603251</v>
      </c>
      <c r="Z84" s="337">
        <f t="shared" si="196"/>
        <v>0.19036325064392215</v>
      </c>
      <c r="AA84" s="337">
        <f t="shared" ref="AA84:AD85" si="197">AA39*4/AVERAGE(Z61:AA61)</f>
        <v>0.20262524435566909</v>
      </c>
      <c r="AB84" s="337">
        <f t="shared" si="197"/>
        <v>0.22514203161739596</v>
      </c>
      <c r="AC84" s="337">
        <f>AC39*4/AVERAGE(AB61:AC61)</f>
        <v>0.23614270804706061</v>
      </c>
      <c r="AD84" s="337">
        <f>AD39*4/AVERAGE(AC61:AD61)</f>
        <v>0.22972501686348684</v>
      </c>
      <c r="AE84" s="179"/>
      <c r="AF84" s="657">
        <f t="shared" ref="AF84:AF92" si="198">(AD84-AC84)*100</f>
        <v>-0.64176911835737704</v>
      </c>
      <c r="AG84" s="657">
        <f t="shared" ref="AG84:AG92" si="199">(AD84-Z84)*100</f>
        <v>3.9361766219564691</v>
      </c>
    </row>
    <row r="85" spans="2:33" ht="13" customHeight="1">
      <c r="B85" s="514" t="str">
        <f>IF('Summary | Sumário'!D$6=Names!B$3,Names!O84,Names!Z84)</f>
        <v>Real estate net of hedge accounting (%)</v>
      </c>
      <c r="C85" s="191">
        <v>0</v>
      </c>
      <c r="D85" s="155">
        <f t="shared" ref="D85:G85" si="200">D40/AVERAGE(C62:D62)</f>
        <v>0.12154134059748949</v>
      </c>
      <c r="E85" s="155">
        <f t="shared" si="200"/>
        <v>0.11780885551766969</v>
      </c>
      <c r="F85" s="155">
        <f t="shared" si="200"/>
        <v>0.12070913664410375</v>
      </c>
      <c r="G85" s="155">
        <f t="shared" si="200"/>
        <v>0.1235506089921115</v>
      </c>
      <c r="H85" s="155">
        <f>H40/AVERAGE(G62:H62)</f>
        <v>0.12998761806370887</v>
      </c>
      <c r="I85" s="155">
        <f>I40/AVERAGE(H62:I62)</f>
        <v>0.1453848018501355</v>
      </c>
      <c r="J85" s="342"/>
      <c r="K85" s="155">
        <f t="shared" ref="K85:Z85" si="201">K40*4/AVERAGE(J62:K62)</f>
        <v>0.12515782640451895</v>
      </c>
      <c r="L85" s="155">
        <f t="shared" si="201"/>
        <v>9.8230555573437142E-2</v>
      </c>
      <c r="M85" s="155">
        <f t="shared" si="201"/>
        <v>0.12417334388106607</v>
      </c>
      <c r="N85" s="155">
        <f t="shared" si="201"/>
        <v>0.11810808545132573</v>
      </c>
      <c r="O85" s="155">
        <f t="shared" si="201"/>
        <v>0.11853044383606641</v>
      </c>
      <c r="P85" s="155">
        <f t="shared" si="201"/>
        <v>0.14116299479961036</v>
      </c>
      <c r="Q85" s="155">
        <f t="shared" si="201"/>
        <v>0.11064760141615976</v>
      </c>
      <c r="R85" s="155">
        <f t="shared" si="201"/>
        <v>0.11627702804894775</v>
      </c>
      <c r="S85" s="155">
        <f t="shared" si="201"/>
        <v>0.13392922603092874</v>
      </c>
      <c r="T85" s="155">
        <f t="shared" si="201"/>
        <v>0.13857751854829811</v>
      </c>
      <c r="U85" s="155">
        <f t="shared" si="201"/>
        <v>0.11902038869710933</v>
      </c>
      <c r="V85" s="155">
        <f t="shared" si="201"/>
        <v>0.12331943666146991</v>
      </c>
      <c r="W85" s="155">
        <f t="shared" si="201"/>
        <v>0.13333628065288425</v>
      </c>
      <c r="X85" s="155">
        <f t="shared" si="201"/>
        <v>0.1416624817215999</v>
      </c>
      <c r="Y85" s="155">
        <f t="shared" si="201"/>
        <v>0.11681907459261319</v>
      </c>
      <c r="Z85" s="155">
        <f t="shared" si="201"/>
        <v>0.13716717185086674</v>
      </c>
      <c r="AA85" s="155">
        <f t="shared" si="197"/>
        <v>0.1461115092534622</v>
      </c>
      <c r="AB85" s="155">
        <f t="shared" si="197"/>
        <v>0.15271044341704054</v>
      </c>
      <c r="AC85" s="155">
        <f>AC40*4/AVERAGE(AB62:AC62)</f>
        <v>0.14475677081237373</v>
      </c>
      <c r="AD85" s="155">
        <f t="shared" si="197"/>
        <v>0.15001760800536945</v>
      </c>
      <c r="AF85" s="497">
        <f t="shared" si="198"/>
        <v>0.52608371929957209</v>
      </c>
      <c r="AG85" s="497">
        <f t="shared" si="199"/>
        <v>1.2850436154502709</v>
      </c>
    </row>
    <row r="86" spans="2:33" ht="13" customHeight="1">
      <c r="B86" s="555" t="str">
        <f>IF('Summary | Sumário'!D$6=Names!B$3,Names!O85,Names!Z85)</f>
        <v>Personal net of hedge accounting (%)</v>
      </c>
      <c r="C86" s="190">
        <v>0</v>
      </c>
      <c r="D86" s="156">
        <f t="shared" ref="D86:G86" si="202">D43/AVERAGE(C63:D63)</f>
        <v>0.14653129910314239</v>
      </c>
      <c r="E86" s="156">
        <f t="shared" si="202"/>
        <v>0.12209654992119955</v>
      </c>
      <c r="F86" s="156">
        <f t="shared" si="202"/>
        <v>0.12898232237436338</v>
      </c>
      <c r="G86" s="156">
        <f t="shared" si="202"/>
        <v>0.16070813208781576</v>
      </c>
      <c r="H86" s="156">
        <f>H43/AVERAGE(G63:H63)</f>
        <v>0.17999139862779409</v>
      </c>
      <c r="I86" s="156">
        <f>I43/AVERAGE(H63:I63)</f>
        <v>0.23069760182931653</v>
      </c>
      <c r="J86" s="342"/>
      <c r="K86" s="156">
        <f t="shared" ref="K86:Z86" si="203">K43*4/AVERAGE(J63:K63)</f>
        <v>0.12051237138311255</v>
      </c>
      <c r="L86" s="156">
        <f t="shared" si="203"/>
        <v>0.12339155332344186</v>
      </c>
      <c r="M86" s="156">
        <f t="shared" si="203"/>
        <v>0.11892404773024082</v>
      </c>
      <c r="N86" s="156">
        <f t="shared" si="203"/>
        <v>0.11645916158015596</v>
      </c>
      <c r="O86" s="156">
        <f t="shared" si="203"/>
        <v>0.11519136439704003</v>
      </c>
      <c r="P86" s="156">
        <f t="shared" si="203"/>
        <v>0.12714633755627652</v>
      </c>
      <c r="Q86" s="156">
        <f t="shared" si="203"/>
        <v>0.13405691549731938</v>
      </c>
      <c r="R86" s="156">
        <f t="shared" si="203"/>
        <v>0.13840310978997214</v>
      </c>
      <c r="S86" s="156">
        <f t="shared" si="203"/>
        <v>0.14496137135864409</v>
      </c>
      <c r="T86" s="156">
        <f t="shared" si="203"/>
        <v>0.16139794350323075</v>
      </c>
      <c r="U86" s="156">
        <f t="shared" si="203"/>
        <v>0.15879361772799988</v>
      </c>
      <c r="V86" s="156">
        <f t="shared" si="203"/>
        <v>0.16713566914233374</v>
      </c>
      <c r="W86" s="156">
        <f t="shared" si="203"/>
        <v>0.17431424858235814</v>
      </c>
      <c r="X86" s="156">
        <f t="shared" si="203"/>
        <v>0.17346569657258659</v>
      </c>
      <c r="Y86" s="156">
        <f t="shared" si="203"/>
        <v>0.18811769123654262</v>
      </c>
      <c r="Z86" s="156">
        <f t="shared" si="203"/>
        <v>0.18480053871802402</v>
      </c>
      <c r="AA86" s="156">
        <f>AA43*4/AVERAGE(Z63:AA63)</f>
        <v>0.19622520971332555</v>
      </c>
      <c r="AB86" s="156">
        <f>AB43*4/AVERAGE(AA63:AB63)</f>
        <v>0.2306261357530362</v>
      </c>
      <c r="AC86" s="156">
        <f>AC43*4/AVERAGE(AB63:AC63)</f>
        <v>0.25730773895117476</v>
      </c>
      <c r="AD86" s="156">
        <f>AD43*4/AVERAGE(AC63:AD63)</f>
        <v>0.24385907538895105</v>
      </c>
      <c r="AF86" s="500">
        <f t="shared" si="198"/>
        <v>-1.3448663562223713</v>
      </c>
      <c r="AG86" s="500">
        <f t="shared" si="199"/>
        <v>5.9058536670927033</v>
      </c>
    </row>
    <row r="87" spans="2:33" ht="13" customHeight="1">
      <c r="B87" s="514" t="str">
        <f>IF('Summary | Sumário'!D$6=Names!B$3,Names!O86,Names!Z86)</f>
        <v>SME (%)</v>
      </c>
      <c r="C87" s="191">
        <v>0</v>
      </c>
      <c r="D87" s="155">
        <f t="shared" ref="D87:G87" si="204">D46/AVERAGE(C64:D64)</f>
        <v>5.8380248193217799E-2</v>
      </c>
      <c r="E87" s="155">
        <f t="shared" si="204"/>
        <v>8.092640175233716E-2</v>
      </c>
      <c r="F87" s="155">
        <f t="shared" si="204"/>
        <v>0.14061598035090478</v>
      </c>
      <c r="G87" s="155">
        <f t="shared" si="204"/>
        <v>0.14401509660119527</v>
      </c>
      <c r="H87" s="155">
        <f t="shared" ref="H87:I90" si="205">H46/AVERAGE(G64:H64)</f>
        <v>0.14495468374056281</v>
      </c>
      <c r="I87" s="155">
        <f t="shared" si="205"/>
        <v>0.13832440954488315</v>
      </c>
      <c r="J87" s="342"/>
      <c r="K87" s="155">
        <f t="shared" ref="K87:Z87" si="206">K46*4/AVERAGE(J64:K64)</f>
        <v>5.203379286033951E-2</v>
      </c>
      <c r="L87" s="155">
        <f t="shared" si="206"/>
        <v>8.1034335656949508E-2</v>
      </c>
      <c r="M87" s="155">
        <f t="shared" si="206"/>
        <v>7.0447063270514837E-2</v>
      </c>
      <c r="N87" s="155">
        <f t="shared" si="206"/>
        <v>0.1190963175869917</v>
      </c>
      <c r="O87" s="155">
        <f t="shared" si="206"/>
        <v>0.11383144918068072</v>
      </c>
      <c r="P87" s="155">
        <f t="shared" si="206"/>
        <v>0.14689712768691526</v>
      </c>
      <c r="Q87" s="155">
        <f t="shared" si="206"/>
        <v>0.15282372761319249</v>
      </c>
      <c r="R87" s="155">
        <f t="shared" si="206"/>
        <v>0.18395296652547083</v>
      </c>
      <c r="S87" s="155">
        <f t="shared" si="206"/>
        <v>0.15286406800198052</v>
      </c>
      <c r="T87" s="155">
        <f t="shared" si="206"/>
        <v>0.15269936435332926</v>
      </c>
      <c r="U87" s="155">
        <f t="shared" si="206"/>
        <v>0.15844966760557283</v>
      </c>
      <c r="V87" s="155">
        <f t="shared" si="206"/>
        <v>0.15916662628799555</v>
      </c>
      <c r="W87" s="155">
        <f t="shared" si="206"/>
        <v>0.1378665739732168</v>
      </c>
      <c r="X87" s="155">
        <f t="shared" si="206"/>
        <v>0.15741581017571746</v>
      </c>
      <c r="Y87" s="155">
        <f t="shared" si="206"/>
        <v>0.13690180264153606</v>
      </c>
      <c r="Z87" s="155">
        <f t="shared" si="206"/>
        <v>0.14252202148905641</v>
      </c>
      <c r="AA87" s="155">
        <f t="shared" ref="AA87:AD90" si="207">AA46*4/AVERAGE(Z64:AA64)</f>
        <v>0.13189618060082259</v>
      </c>
      <c r="AB87" s="155">
        <f t="shared" si="207"/>
        <v>0.14699383937206567</v>
      </c>
      <c r="AC87" s="155">
        <f t="shared" si="207"/>
        <v>0.15090123221252214</v>
      </c>
      <c r="AD87" s="155">
        <f t="shared" si="207"/>
        <v>0.1600938312413944</v>
      </c>
      <c r="AF87" s="497">
        <f t="shared" si="198"/>
        <v>0.91925990288722614</v>
      </c>
      <c r="AG87" s="497">
        <f t="shared" si="199"/>
        <v>1.757180975233799</v>
      </c>
    </row>
    <row r="88" spans="2:33" ht="13" customHeight="1">
      <c r="B88" s="555" t="str">
        <f>IF('Summary | Sumário'!D$6=Names!B$3,Names!O87,Names!Z87)</f>
        <v>Credit cards (%)</v>
      </c>
      <c r="C88" s="190">
        <v>0</v>
      </c>
      <c r="D88" s="156">
        <f t="shared" ref="D88:G88" si="208">D47/AVERAGE(C65:D65)</f>
        <v>0.24981881890219562</v>
      </c>
      <c r="E88" s="156">
        <f t="shared" si="208"/>
        <v>0.54093104484128296</v>
      </c>
      <c r="F88" s="156">
        <f t="shared" si="208"/>
        <v>0.67227515902400814</v>
      </c>
      <c r="G88" s="156">
        <f t="shared" si="208"/>
        <v>0.72680866669707223</v>
      </c>
      <c r="H88" s="156">
        <f t="shared" si="205"/>
        <v>0.70039897455828304</v>
      </c>
      <c r="I88" s="156">
        <f t="shared" si="205"/>
        <v>0.69226782544085796</v>
      </c>
      <c r="J88" s="342"/>
      <c r="K88" s="156">
        <f t="shared" ref="K88:Z88" si="209">K47*4/AVERAGE(J65:K65)</f>
        <v>0.56992236845347521</v>
      </c>
      <c r="L88" s="156">
        <f t="shared" si="209"/>
        <v>0.4687272493771088</v>
      </c>
      <c r="M88" s="156">
        <f t="shared" si="209"/>
        <v>0.53217245871666763</v>
      </c>
      <c r="N88" s="156">
        <f t="shared" si="209"/>
        <v>0.59344103018622585</v>
      </c>
      <c r="O88" s="156">
        <f t="shared" si="209"/>
        <v>0.57893090375890244</v>
      </c>
      <c r="P88" s="156">
        <f t="shared" si="209"/>
        <v>0.57417187234470979</v>
      </c>
      <c r="Q88" s="156">
        <f t="shared" si="209"/>
        <v>0.77458262934943811</v>
      </c>
      <c r="R88" s="156">
        <f t="shared" si="209"/>
        <v>0.68908620557722866</v>
      </c>
      <c r="S88" s="156">
        <f t="shared" si="209"/>
        <v>0.71465505874008561</v>
      </c>
      <c r="T88" s="156">
        <f t="shared" si="209"/>
        <v>0.7276700945389164</v>
      </c>
      <c r="U88" s="156">
        <f t="shared" si="209"/>
        <v>0.72975536090869786</v>
      </c>
      <c r="V88" s="156">
        <f t="shared" si="209"/>
        <v>0.69252999175534213</v>
      </c>
      <c r="W88" s="156">
        <f t="shared" si="209"/>
        <v>0.67964787730003418</v>
      </c>
      <c r="X88" s="156">
        <f t="shared" si="209"/>
        <v>0.66481922171007568</v>
      </c>
      <c r="Y88" s="156">
        <f t="shared" si="209"/>
        <v>0.67951298855656717</v>
      </c>
      <c r="Z88" s="156">
        <f t="shared" si="209"/>
        <v>0.67675315969254435</v>
      </c>
      <c r="AA88" s="156">
        <f t="shared" si="207"/>
        <v>0.66188312461732368</v>
      </c>
      <c r="AB88" s="156">
        <f t="shared" si="207"/>
        <v>0.65017144574131724</v>
      </c>
      <c r="AC88" s="156">
        <f t="shared" si="207"/>
        <v>0.72234723084000019</v>
      </c>
      <c r="AD88" s="156">
        <f t="shared" si="207"/>
        <v>0.70448725765059483</v>
      </c>
      <c r="AF88" s="500">
        <f t="shared" si="198"/>
        <v>-1.7859973189405354</v>
      </c>
      <c r="AG88" s="500">
        <f t="shared" si="199"/>
        <v>2.7734097958050485</v>
      </c>
    </row>
    <row r="89" spans="2:33" ht="13" customHeight="1">
      <c r="B89" s="514" t="str">
        <f>IF('Summary | Sumário'!D$6=Names!B$3,Names!O89,Names!Z89)</f>
        <v>Prepayment of receivables (%)</v>
      </c>
      <c r="C89" s="191">
        <v>0</v>
      </c>
      <c r="D89" s="191">
        <v>0</v>
      </c>
      <c r="E89" s="155">
        <f t="shared" ref="E89:G89" si="210">E48/AVERAGE(D66:E66)</f>
        <v>8.4135187719721977E-2</v>
      </c>
      <c r="F89" s="155">
        <f t="shared" si="210"/>
        <v>9.4883616658324663E-2</v>
      </c>
      <c r="G89" s="155">
        <f t="shared" si="210"/>
        <v>0.157318098332977</v>
      </c>
      <c r="H89" s="155">
        <f t="shared" si="205"/>
        <v>0.12273804797516791</v>
      </c>
      <c r="I89" s="155">
        <f t="shared" si="205"/>
        <v>0.15995529245014442</v>
      </c>
      <c r="J89" s="342"/>
      <c r="K89" s="155">
        <f t="shared" ref="K89:Z89" si="211">K48*4/AVERAGE(J66:K66)</f>
        <v>0.11912645036305024</v>
      </c>
      <c r="L89" s="155">
        <f t="shared" si="211"/>
        <v>0.14028464363738061</v>
      </c>
      <c r="M89" s="155">
        <f t="shared" si="211"/>
        <v>6.3082281654310721E-2</v>
      </c>
      <c r="N89" s="155">
        <f t="shared" si="211"/>
        <v>0.11918505814230389</v>
      </c>
      <c r="O89" s="155">
        <f t="shared" si="211"/>
        <v>6.4981286005057495E-2</v>
      </c>
      <c r="P89" s="155">
        <f t="shared" si="211"/>
        <v>0.19489923255491204</v>
      </c>
      <c r="Q89" s="155">
        <f t="shared" si="211"/>
        <v>0.18672866042491307</v>
      </c>
      <c r="R89" s="155">
        <f t="shared" si="211"/>
        <v>0.12753305411916255</v>
      </c>
      <c r="S89" s="155">
        <f t="shared" si="211"/>
        <v>0.16500155406164499</v>
      </c>
      <c r="T89" s="155">
        <f t="shared" si="211"/>
        <v>0.18248110501213013</v>
      </c>
      <c r="U89" s="155">
        <f t="shared" si="211"/>
        <v>0.1895767034428141</v>
      </c>
      <c r="V89" s="155">
        <f t="shared" si="211"/>
        <v>0.18689829251639084</v>
      </c>
      <c r="W89" s="155">
        <f t="shared" si="211"/>
        <v>0.18928805059780301</v>
      </c>
      <c r="X89" s="155">
        <f t="shared" si="211"/>
        <v>0.10761871278469066</v>
      </c>
      <c r="Y89" s="155">
        <f t="shared" si="211"/>
        <v>0.15523431126973775</v>
      </c>
      <c r="Z89" s="155">
        <f t="shared" si="211"/>
        <v>0.13559397509600613</v>
      </c>
      <c r="AA89" s="155">
        <f t="shared" si="207"/>
        <v>0.1785232234229783</v>
      </c>
      <c r="AB89" s="155">
        <f t="shared" si="207"/>
        <v>0.22399734984289116</v>
      </c>
      <c r="AC89" s="155">
        <f t="shared" si="207"/>
        <v>0.20170951266062417</v>
      </c>
      <c r="AD89" s="155">
        <f t="shared" si="207"/>
        <v>0.15759068979763535</v>
      </c>
      <c r="AF89" s="497">
        <f t="shared" si="198"/>
        <v>-4.4118822862988818</v>
      </c>
      <c r="AG89" s="497">
        <f t="shared" si="199"/>
        <v>2.1996714701629227</v>
      </c>
    </row>
    <row r="90" spans="2:33" ht="13" customHeight="1">
      <c r="B90" s="78" t="str">
        <f>IF('Summary | Sumário'!D$6=Names!B$3,Names!O90,Names!Z90)</f>
        <v>Amounts due from financial institutions (%)</v>
      </c>
      <c r="C90" s="190"/>
      <c r="D90" s="156">
        <f t="shared" ref="D90:G90" si="212">D49/AVERAGE(C67:D67)</f>
        <v>4.685419965811928E-2</v>
      </c>
      <c r="E90" s="156">
        <f t="shared" si="212"/>
        <v>3.6275916885165488E-2</v>
      </c>
      <c r="F90" s="156">
        <f t="shared" si="212"/>
        <v>9.0847666665776552E-2</v>
      </c>
      <c r="G90" s="156">
        <f t="shared" si="212"/>
        <v>0.11496236894817506</v>
      </c>
      <c r="H90" s="156">
        <f t="shared" si="205"/>
        <v>0.10848052609728547</v>
      </c>
      <c r="I90" s="156">
        <f t="shared" si="205"/>
        <v>0.46451187535465949</v>
      </c>
      <c r="J90" s="342"/>
      <c r="K90" s="156">
        <f t="shared" ref="K90:Z90" si="213">K49*4/AVERAGE(J67:K67)</f>
        <v>0.11353803598304134</v>
      </c>
      <c r="L90" s="156">
        <f t="shared" si="213"/>
        <v>5.7956451781994531E-2</v>
      </c>
      <c r="M90" s="156">
        <f t="shared" si="213"/>
        <v>0.10375171233310548</v>
      </c>
      <c r="N90" s="156">
        <f t="shared" si="213"/>
        <v>6.2681477234800526E-2</v>
      </c>
      <c r="O90" s="156">
        <f t="shared" si="213"/>
        <v>7.3090820658033656E-2</v>
      </c>
      <c r="P90" s="156">
        <f t="shared" si="213"/>
        <v>7.502856956126791E-2</v>
      </c>
      <c r="Q90" s="156">
        <f t="shared" si="213"/>
        <v>0.13868509962345141</v>
      </c>
      <c r="R90" s="156">
        <f t="shared" si="213"/>
        <v>0.11207007451972639</v>
      </c>
      <c r="S90" s="156">
        <f t="shared" si="213"/>
        <v>0.12108658363134667</v>
      </c>
      <c r="T90" s="156">
        <f t="shared" si="213"/>
        <v>0.12417467843367047</v>
      </c>
      <c r="U90" s="156">
        <f t="shared" si="213"/>
        <v>0.126190333592861</v>
      </c>
      <c r="V90" s="156">
        <f t="shared" si="213"/>
        <v>0.1013778047932541</v>
      </c>
      <c r="W90" s="156">
        <f t="shared" si="213"/>
        <v>9.2699627803453477E-2</v>
      </c>
      <c r="X90" s="156">
        <f t="shared" si="213"/>
        <v>8.9033552561674972E-2</v>
      </c>
      <c r="Y90" s="156">
        <f t="shared" si="213"/>
        <v>8.7239158601395098E-2</v>
      </c>
      <c r="Z90" s="156">
        <f t="shared" si="213"/>
        <v>0.13788776934122529</v>
      </c>
      <c r="AA90" s="156">
        <f t="shared" si="207"/>
        <v>0.13973741423099537</v>
      </c>
      <c r="AB90" s="156">
        <f t="shared" si="207"/>
        <v>9.3978329954527942E-2</v>
      </c>
      <c r="AC90" s="156">
        <f t="shared" si="207"/>
        <v>0.15637941290836041</v>
      </c>
      <c r="AD90" s="156">
        <f t="shared" si="207"/>
        <v>0.17146329176232614</v>
      </c>
      <c r="AF90" s="500">
        <f t="shared" si="198"/>
        <v>1.5083878853965726</v>
      </c>
      <c r="AG90" s="500">
        <f t="shared" si="199"/>
        <v>3.3575522421100845</v>
      </c>
    </row>
    <row r="91" spans="2:33" ht="13" customHeight="1">
      <c r="B91" s="27" t="str">
        <f>IF('Summary | Sumário'!D$6=Names!B$3,Names!O91,Names!Z91)</f>
        <v>All-in securities rate (%)</v>
      </c>
      <c r="C91" s="191">
        <v>0</v>
      </c>
      <c r="D91" s="155">
        <f t="shared" ref="D91:G91" si="214">D50/AVERAGE(C70:D70)</f>
        <v>3.4616795518072206E-3</v>
      </c>
      <c r="E91" s="155">
        <f t="shared" si="214"/>
        <v>8.0301625567996748E-2</v>
      </c>
      <c r="F91" s="155">
        <f t="shared" si="214"/>
        <v>0.11677555235105957</v>
      </c>
      <c r="G91" s="155">
        <f t="shared" si="214"/>
        <v>0.11018356548390529</v>
      </c>
      <c r="H91" s="155">
        <f>H50/AVERAGE(G70:H70)</f>
        <v>9.8503044885109942E-2</v>
      </c>
      <c r="I91" s="155">
        <f>I50/AVERAGE(H70:I70)</f>
        <v>0.12591804693072278</v>
      </c>
      <c r="J91" s="342"/>
      <c r="K91" s="155">
        <f t="shared" ref="K91:Z91" si="215">K50*4/AVERAGE(J70:K70)</f>
        <v>5.3215495626254015E-2</v>
      </c>
      <c r="L91" s="155">
        <f t="shared" si="215"/>
        <v>5.7460209140519053E-2</v>
      </c>
      <c r="M91" s="155">
        <f t="shared" si="215"/>
        <v>8.5105665556102064E-2</v>
      </c>
      <c r="N91" s="155">
        <f t="shared" si="215"/>
        <v>9.922370847929643E-2</v>
      </c>
      <c r="O91" s="155">
        <f t="shared" si="215"/>
        <v>0.1109510316147618</v>
      </c>
      <c r="P91" s="155">
        <f t="shared" si="215"/>
        <v>0.12995445240916395</v>
      </c>
      <c r="Q91" s="155">
        <f t="shared" si="215"/>
        <v>0.10458160625277665</v>
      </c>
      <c r="R91" s="155">
        <f t="shared" si="215"/>
        <v>0.11645745899915692</v>
      </c>
      <c r="S91" s="155">
        <f t="shared" si="215"/>
        <v>0.11877209321389008</v>
      </c>
      <c r="T91" s="155">
        <f t="shared" si="215"/>
        <v>0.12043811213877832</v>
      </c>
      <c r="U91" s="155">
        <f t="shared" si="215"/>
        <v>0.11497001803529619</v>
      </c>
      <c r="V91" s="155">
        <f t="shared" si="215"/>
        <v>0.1068110622569089</v>
      </c>
      <c r="W91" s="155">
        <f t="shared" si="215"/>
        <v>0.102004137933436</v>
      </c>
      <c r="X91" s="155">
        <f t="shared" si="215"/>
        <v>0.10022816949454769</v>
      </c>
      <c r="Y91" s="155">
        <f t="shared" si="215"/>
        <v>0.10575280452752429</v>
      </c>
      <c r="Z91" s="155">
        <f t="shared" si="215"/>
        <v>0.10625101810654368</v>
      </c>
      <c r="AA91" s="155">
        <f t="shared" ref="AA91:AD92" si="216">AA50*4/AVERAGE(Z70:AA70)</f>
        <v>0.1213839091156228</v>
      </c>
      <c r="AB91" s="155">
        <f t="shared" si="216"/>
        <v>0.13225512382784294</v>
      </c>
      <c r="AC91" s="155">
        <f t="shared" si="216"/>
        <v>0.13082274854639012</v>
      </c>
      <c r="AD91" s="155">
        <f t="shared" si="216"/>
        <v>0.13662406404554758</v>
      </c>
      <c r="AF91" s="497">
        <f t="shared" si="198"/>
        <v>0.58013154991574667</v>
      </c>
      <c r="AG91" s="497">
        <f t="shared" si="199"/>
        <v>3.0373045939003904</v>
      </c>
    </row>
    <row r="92" spans="2:33" ht="13" customHeight="1">
      <c r="B92" s="78" t="str">
        <f>IF('Summary | Sumário'!D$6=Names!B$3,Names!Q6,Names!R6)</f>
        <v>Other IEP rate (%)</v>
      </c>
      <c r="C92" s="190">
        <v>0</v>
      </c>
      <c r="D92" s="156">
        <f t="shared" ref="D92:G92" si="217">D51/AVERAGE(C71:D71)</f>
        <v>1.1334426239554057E-2</v>
      </c>
      <c r="E92" s="156">
        <f t="shared" si="217"/>
        <v>3.9340614938061435E-3</v>
      </c>
      <c r="F92" s="156">
        <f t="shared" si="217"/>
        <v>-5.6831897203383532E-3</v>
      </c>
      <c r="G92" s="156">
        <f t="shared" si="217"/>
        <v>-2.4132566016128454E-2</v>
      </c>
      <c r="H92" s="156">
        <f>H51/AVERAGE(G71:H71)</f>
        <v>-3.6284336150969793E-2</v>
      </c>
      <c r="I92" s="156">
        <f>I51/AVERAGE(H71:I71)</f>
        <v>-3.4768975209214727E-3</v>
      </c>
      <c r="J92" s="342"/>
      <c r="K92" s="156">
        <f t="shared" ref="K92:Z92" si="218">K51*4/AVERAGE(J71:K71)</f>
        <v>-4.8405534918074021E-3</v>
      </c>
      <c r="L92" s="156">
        <f t="shared" si="218"/>
        <v>1.0832752762611583E-2</v>
      </c>
      <c r="M92" s="156">
        <f t="shared" si="218"/>
        <v>-4.9683017542165213E-3</v>
      </c>
      <c r="N92" s="156">
        <f t="shared" si="218"/>
        <v>9.0657301763798475E-3</v>
      </c>
      <c r="O92" s="156">
        <f t="shared" si="218"/>
        <v>1.5766673371920982E-2</v>
      </c>
      <c r="P92" s="156">
        <f t="shared" si="218"/>
        <v>1.366885798801673E-2</v>
      </c>
      <c r="Q92" s="156">
        <f t="shared" si="218"/>
        <v>-3.6754901386752171E-2</v>
      </c>
      <c r="R92" s="156">
        <f t="shared" si="218"/>
        <v>-1.4423869481100322E-2</v>
      </c>
      <c r="S92" s="156">
        <f t="shared" si="218"/>
        <v>-1.0978964917784559E-2</v>
      </c>
      <c r="T92" s="156">
        <f t="shared" si="218"/>
        <v>-2.3355073762993953E-2</v>
      </c>
      <c r="U92" s="156">
        <f t="shared" si="218"/>
        <v>-3.8576974596809498E-2</v>
      </c>
      <c r="V92" s="156">
        <f t="shared" si="218"/>
        <v>-3.2418853416203604E-2</v>
      </c>
      <c r="W92" s="156">
        <f t="shared" si="218"/>
        <v>-5.223410884331621E-2</v>
      </c>
      <c r="X92" s="156">
        <f t="shared" si="218"/>
        <v>-7.1326858959044517E-2</v>
      </c>
      <c r="Y92" s="156">
        <f t="shared" si="218"/>
        <v>4.4166353112581836E-3</v>
      </c>
      <c r="Z92" s="156">
        <f t="shared" si="218"/>
        <v>-3.9982409453863506E-2</v>
      </c>
      <c r="AA92" s="156">
        <f t="shared" si="216"/>
        <v>-1.6143799762164807E-2</v>
      </c>
      <c r="AB92" s="156">
        <f t="shared" si="216"/>
        <v>-3.1532484879925354E-2</v>
      </c>
      <c r="AC92" s="156">
        <f>AC51*4/AVERAGE(AB71:AC71)</f>
        <v>5.6189873872283334E-3</v>
      </c>
      <c r="AD92" s="156">
        <f t="shared" si="216"/>
        <v>1.5614868376150288E-2</v>
      </c>
      <c r="AF92" s="500">
        <f t="shared" si="198"/>
        <v>0.99958809889219546</v>
      </c>
      <c r="AG92" s="500">
        <f t="shared" si="199"/>
        <v>5.5597277830013798</v>
      </c>
    </row>
    <row r="93" spans="2:33" ht="13" customHeight="1">
      <c r="C93" s="191"/>
      <c r="D93" s="155"/>
      <c r="E93" s="155"/>
      <c r="F93" s="155"/>
      <c r="G93" s="155"/>
      <c r="H93" s="155"/>
      <c r="I93" s="155"/>
      <c r="J93" s="342"/>
      <c r="K93" s="155"/>
      <c r="L93" s="155"/>
      <c r="M93" s="155"/>
      <c r="N93" s="155"/>
      <c r="O93" s="155"/>
      <c r="P93" s="155"/>
      <c r="Q93" s="155"/>
      <c r="R93" s="155"/>
      <c r="S93" s="155"/>
      <c r="T93" s="155"/>
      <c r="U93" s="155"/>
      <c r="V93" s="155"/>
      <c r="W93" s="155"/>
      <c r="X93" s="155"/>
      <c r="Y93" s="155"/>
      <c r="Z93" s="155"/>
      <c r="AA93" s="155"/>
      <c r="AB93" s="155"/>
      <c r="AC93" s="155"/>
      <c r="AD93" s="155"/>
      <c r="AF93" s="497"/>
      <c r="AG93" s="497"/>
    </row>
    <row r="94" spans="2:33" ht="13" customHeight="1">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row>
    <row r="95" spans="2:33" ht="13" customHeight="1">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93"/>
    </row>
    <row r="96" spans="2:33" ht="13" customHeight="1">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93"/>
    </row>
    <row r="97" spans="2:31" ht="13" customHeight="1">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93"/>
    </row>
    <row r="98" spans="2:31" ht="13" customHeight="1">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93"/>
    </row>
    <row r="99" spans="2:31" ht="13" customHeight="1">
      <c r="B99" s="116"/>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93"/>
    </row>
    <row r="100" spans="2:31" ht="13" customHeight="1">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93"/>
    </row>
    <row r="101" spans="2:31" ht="13" customHeight="1">
      <c r="B101" s="116"/>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93"/>
    </row>
    <row r="102" spans="2:31" ht="13" customHeight="1">
      <c r="B102" s="116"/>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93"/>
    </row>
    <row r="103" spans="2:31" ht="13" customHeight="1">
      <c r="B103" s="116"/>
      <c r="Z103" s="558"/>
      <c r="AA103" s="558"/>
      <c r="AB103" s="558"/>
      <c r="AC103" s="558"/>
      <c r="AD103" s="558"/>
      <c r="AE103" s="193"/>
    </row>
    <row r="104" spans="2:31" ht="13" customHeight="1">
      <c r="Y104" s="558"/>
      <c r="Z104" s="193"/>
      <c r="AA104" s="193"/>
      <c r="AB104" s="193"/>
      <c r="AC104" s="193"/>
      <c r="AD104" s="193"/>
    </row>
    <row r="105" spans="2:31" ht="13" customHeight="1">
      <c r="Z105" s="193"/>
      <c r="AA105" s="193"/>
      <c r="AB105" s="193"/>
      <c r="AC105" s="193"/>
      <c r="AD105" s="193"/>
    </row>
    <row r="106" spans="2:31" ht="13" customHeight="1">
      <c r="Z106" s="193"/>
      <c r="AA106" s="193"/>
      <c r="AB106" s="193"/>
      <c r="AC106" s="193"/>
      <c r="AD106" s="193"/>
    </row>
  </sheetData>
  <sheetProtection algorithmName="SHA-512" hashValue="on2MkK7KLgzMxFI5V/6hnNgdKoV7S2RpJZvIG83xb1YPeRxHKVL6W+IoHM8lTfr5Dfr+eJu0S0B2Xa0k+WozhA==" saltValue="Pa/sNRT2/7g/TRADnzaC5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9F3E-F76C-2E45-8B90-0DD16311510F}">
  <sheetPr codeName="Sheet15">
    <tabColor rgb="FFF7CAB0"/>
  </sheetPr>
  <dimension ref="B1:AK14"/>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ol min="10" max="10" width="2.83203125" style="116" customWidth="1"/>
    <col min="11" max="30" width="10.83203125" style="116"/>
    <col min="31" max="31" width="5.83203125" style="116" customWidth="1"/>
    <col min="32" max="16384" width="10.83203125" style="116"/>
  </cols>
  <sheetData>
    <row r="1" spans="2:37"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2:37" s="10" customFormat="1" ht="13" customHeight="1">
      <c r="B2" s="267" t="str">
        <f>IF('Summary | Sumário'!D$6=Names!B$3,Names!AC1,Names!AD1)</f>
        <v>Fee Revenues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14"/>
      <c r="C3" s="126"/>
      <c r="D3" s="126"/>
      <c r="E3" s="126"/>
      <c r="F3" s="126"/>
      <c r="G3" s="126"/>
      <c r="H3" s="126"/>
      <c r="I3" s="126"/>
      <c r="J3" s="127"/>
      <c r="K3" s="127"/>
      <c r="L3" s="127"/>
      <c r="M3" s="127"/>
      <c r="N3" s="127"/>
      <c r="O3" s="127"/>
      <c r="P3" s="127"/>
      <c r="Q3" s="127"/>
      <c r="R3" s="127"/>
      <c r="S3" s="127"/>
      <c r="T3" s="127"/>
      <c r="U3" s="127"/>
      <c r="V3" s="127"/>
      <c r="W3" s="127"/>
      <c r="X3" s="127"/>
      <c r="Y3" s="127"/>
      <c r="Z3" s="127"/>
      <c r="AA3" s="127"/>
      <c r="AB3" s="127"/>
      <c r="AC3" s="127"/>
      <c r="AD3" s="127"/>
      <c r="AE3" s="127"/>
      <c r="AF3" s="127"/>
      <c r="AG3" s="127"/>
    </row>
    <row r="4" spans="2:37" ht="13" customHeight="1">
      <c r="B4" s="270" t="str">
        <f>IF('Summary | Sumário'!D$6=Names!B$3,Names!AC28,Names!AD28)</f>
        <v>Fee income ratio</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row>
    <row r="5" spans="2:37" ht="13" customHeight="1">
      <c r="B5" s="561" t="str">
        <f>IF('Summary | Sumário'!D$6=Names!B$3,Names!AC29,Names!AD29)</f>
        <v>Net fee revenues</v>
      </c>
      <c r="C5" s="562">
        <f>C8</f>
        <v>120696.66099999999</v>
      </c>
      <c r="D5" s="562">
        <f t="shared" ref="D5:AA5" si="0">D8</f>
        <v>278098</v>
      </c>
      <c r="E5" s="562">
        <f t="shared" si="0"/>
        <v>607687</v>
      </c>
      <c r="F5" s="562">
        <f t="shared" si="0"/>
        <v>1127488</v>
      </c>
      <c r="G5" s="562">
        <f t="shared" si="0"/>
        <v>1455780.6</v>
      </c>
      <c r="H5" s="562">
        <f t="shared" si="0"/>
        <v>1943420.8032693998</v>
      </c>
      <c r="I5" s="562">
        <f t="shared" ref="I5" si="1">I8</f>
        <v>2127119</v>
      </c>
      <c r="J5" s="188"/>
      <c r="K5" s="562">
        <f t="shared" si="0"/>
        <v>119309</v>
      </c>
      <c r="L5" s="562">
        <f t="shared" si="0"/>
        <v>158429</v>
      </c>
      <c r="M5" s="562">
        <f t="shared" si="0"/>
        <v>153349</v>
      </c>
      <c r="N5" s="562">
        <f t="shared" si="0"/>
        <v>176600</v>
      </c>
      <c r="O5" s="562">
        <f t="shared" si="0"/>
        <v>273077</v>
      </c>
      <c r="P5" s="562">
        <f t="shared" si="0"/>
        <v>290370</v>
      </c>
      <c r="Q5" s="562">
        <f t="shared" si="0"/>
        <v>263579</v>
      </c>
      <c r="R5" s="562">
        <f t="shared" si="0"/>
        <v>300462</v>
      </c>
      <c r="S5" s="562">
        <f t="shared" si="0"/>
        <v>297633</v>
      </c>
      <c r="T5" s="562">
        <f t="shared" si="0"/>
        <v>321768</v>
      </c>
      <c r="U5" s="562">
        <f t="shared" si="0"/>
        <v>420279.50028000004</v>
      </c>
      <c r="V5" s="562">
        <f t="shared" si="0"/>
        <v>416100.09971999994</v>
      </c>
      <c r="W5" s="562">
        <f t="shared" si="0"/>
        <v>408518.39485153224</v>
      </c>
      <c r="X5" s="562">
        <f t="shared" si="0"/>
        <v>436732.08523867995</v>
      </c>
      <c r="Y5" s="562">
        <f t="shared" si="0"/>
        <v>511793.11297993874</v>
      </c>
      <c r="Z5" s="562">
        <f t="shared" si="0"/>
        <v>586377.21019924898</v>
      </c>
      <c r="AA5" s="562">
        <f t="shared" si="0"/>
        <v>475206.80000000005</v>
      </c>
      <c r="AB5" s="562">
        <f t="shared" ref="AB5:AC5" si="2">AB8</f>
        <v>533575.4</v>
      </c>
      <c r="AC5" s="562">
        <f t="shared" si="2"/>
        <v>539473</v>
      </c>
      <c r="AD5" s="562">
        <f t="shared" ref="AD5" si="3">AD8</f>
        <v>578863.79999999993</v>
      </c>
      <c r="AE5" s="188"/>
      <c r="AF5" s="639">
        <f>AD5/AC5-1</f>
        <v>7.3017185290088493E-2</v>
      </c>
      <c r="AG5" s="639">
        <f>AD5/Z5-1</f>
        <v>-1.2813271164982765E-2</v>
      </c>
    </row>
    <row r="6" spans="2:37" ht="13" customHeight="1">
      <c r="B6" s="27" t="str">
        <f>IF('Summary | Sumário'!D$6=Names!B$3,Names!AC30,Names!AD30)</f>
        <v>(÷) Total net revenues</v>
      </c>
      <c r="C6" s="188">
        <f>C7+C8</f>
        <v>712223.66099999996</v>
      </c>
      <c r="D6" s="188">
        <f t="shared" ref="D6:AA6" si="4">D7+D8</f>
        <v>1011378.89518</v>
      </c>
      <c r="E6" s="188">
        <f t="shared" si="4"/>
        <v>2221821.912</v>
      </c>
      <c r="F6" s="188">
        <f t="shared" si="4"/>
        <v>3562697.1850000001</v>
      </c>
      <c r="G6" s="188">
        <f t="shared" si="4"/>
        <v>4752577.5950000007</v>
      </c>
      <c r="H6" s="188">
        <f t="shared" si="4"/>
        <v>6400165.737558065</v>
      </c>
      <c r="I6" s="188">
        <f t="shared" ref="I6" si="5">I7+I8</f>
        <v>8400938</v>
      </c>
      <c r="J6" s="188"/>
      <c r="K6" s="188">
        <f t="shared" si="4"/>
        <v>416766.33899999998</v>
      </c>
      <c r="L6" s="188">
        <f t="shared" si="4"/>
        <v>467413.34700000007</v>
      </c>
      <c r="M6" s="188">
        <f t="shared" si="4"/>
        <v>606509.88</v>
      </c>
      <c r="N6" s="188">
        <f t="shared" si="4"/>
        <v>731132.3459999999</v>
      </c>
      <c r="O6" s="188">
        <f t="shared" si="4"/>
        <v>833521.01500000001</v>
      </c>
      <c r="P6" s="188">
        <f t="shared" si="4"/>
        <v>877020.3110000001</v>
      </c>
      <c r="Q6" s="188">
        <f t="shared" si="4"/>
        <v>850303.46700000006</v>
      </c>
      <c r="R6" s="188">
        <f t="shared" si="4"/>
        <v>1001852.392</v>
      </c>
      <c r="S6" s="188">
        <f t="shared" si="4"/>
        <v>1024114.1240000001</v>
      </c>
      <c r="T6" s="188">
        <f t="shared" si="4"/>
        <v>1150034</v>
      </c>
      <c r="U6" s="188">
        <f t="shared" si="4"/>
        <v>1265495.60824</v>
      </c>
      <c r="V6" s="188">
        <f t="shared" si="4"/>
        <v>1312933.8627599999</v>
      </c>
      <c r="W6" s="188">
        <f t="shared" si="4"/>
        <v>1400939.115371532</v>
      </c>
      <c r="X6" s="188">
        <f t="shared" si="4"/>
        <v>1478597.81104253</v>
      </c>
      <c r="Y6" s="188">
        <f t="shared" si="4"/>
        <v>1676143.2445535718</v>
      </c>
      <c r="Z6" s="188">
        <f t="shared" si="4"/>
        <v>1844485.5665904321</v>
      </c>
      <c r="AA6" s="188">
        <f t="shared" si="4"/>
        <v>1837801.1</v>
      </c>
      <c r="AB6" s="188">
        <f t="shared" ref="AB6:AC6" si="6">AB7+AB8</f>
        <v>2003082.4</v>
      </c>
      <c r="AC6" s="188">
        <f t="shared" si="6"/>
        <v>2162164</v>
      </c>
      <c r="AD6" s="188">
        <f t="shared" ref="AD6" si="7">AD7+AD8</f>
        <v>2397890.5</v>
      </c>
      <c r="AE6" s="188"/>
      <c r="AF6" s="185">
        <f>AD6/AC6-1</f>
        <v>0.10902341358009848</v>
      </c>
      <c r="AG6" s="185">
        <f>AD6/Z6-1</f>
        <v>0.30003213006027907</v>
      </c>
    </row>
    <row r="7" spans="2:37" ht="13" customHeight="1">
      <c r="B7" s="59" t="str">
        <f>IF('Summary | Sumário'!D$6=Names!B$3,Names!AC31,Names!AD31)</f>
        <v>NII</v>
      </c>
      <c r="C7" s="174">
        <f>'6. NII'!C38</f>
        <v>591527</v>
      </c>
      <c r="D7" s="174">
        <f>'6. NII'!D38</f>
        <v>733280.89517999999</v>
      </c>
      <c r="E7" s="174">
        <f>'6. NII'!E38</f>
        <v>1614134.912</v>
      </c>
      <c r="F7" s="174">
        <f>'6. NII'!F38</f>
        <v>2435209.1850000001</v>
      </c>
      <c r="G7" s="174">
        <f>'6. NII'!G38</f>
        <v>3296796.9950000001</v>
      </c>
      <c r="H7" s="174">
        <f>'6. NII'!H38</f>
        <v>4456744.9342886657</v>
      </c>
      <c r="I7" s="174">
        <f>'6. NII'!I38</f>
        <v>6273819</v>
      </c>
      <c r="J7" s="179"/>
      <c r="K7" s="174">
        <f>'6. NII'!K38</f>
        <v>297457.33899999998</v>
      </c>
      <c r="L7" s="174">
        <f>'6. NII'!L38</f>
        <v>308984.34700000007</v>
      </c>
      <c r="M7" s="174">
        <f>'6. NII'!M38</f>
        <v>453160.88</v>
      </c>
      <c r="N7" s="174">
        <f>'6. NII'!N38</f>
        <v>554532.3459999999</v>
      </c>
      <c r="O7" s="174">
        <f>'6. NII'!O38</f>
        <v>560444.01500000001</v>
      </c>
      <c r="P7" s="174">
        <f>'6. NII'!P38</f>
        <v>586650.3110000001</v>
      </c>
      <c r="Q7" s="174">
        <f>'6. NII'!Q38</f>
        <v>586724.46700000006</v>
      </c>
      <c r="R7" s="174">
        <f>'6. NII'!R38</f>
        <v>701390.39199999999</v>
      </c>
      <c r="S7" s="174">
        <f>'6. NII'!S38</f>
        <v>726481.12400000007</v>
      </c>
      <c r="T7" s="174">
        <f>'6. NII'!T38</f>
        <v>828266</v>
      </c>
      <c r="U7" s="174">
        <f>'6. NII'!U38</f>
        <v>845216.10796000005</v>
      </c>
      <c r="V7" s="174">
        <f>'6. NII'!V38</f>
        <v>896833.76303999987</v>
      </c>
      <c r="W7" s="174">
        <f>'6. NII'!W38</f>
        <v>992420.72051999974</v>
      </c>
      <c r="X7" s="174">
        <f>'6. NII'!X38</f>
        <v>1041865.72580385</v>
      </c>
      <c r="Y7" s="174">
        <f>'6. NII'!Y38</f>
        <v>1164350.1315736331</v>
      </c>
      <c r="Z7" s="174">
        <f>'6. NII'!Z38</f>
        <v>1258108.3563911831</v>
      </c>
      <c r="AA7" s="174">
        <f>'6. NII'!AA38</f>
        <v>1362594.3</v>
      </c>
      <c r="AB7" s="174">
        <f>'6. NII'!AB38</f>
        <v>1469507</v>
      </c>
      <c r="AC7" s="174">
        <f>'6. NII'!AC38</f>
        <v>1622691</v>
      </c>
      <c r="AD7" s="174">
        <f>'6. NII'!AD38</f>
        <v>1819026.7</v>
      </c>
      <c r="AE7" s="179"/>
      <c r="AF7" s="350">
        <f>AD7/AC7-1</f>
        <v>0.12099389224442603</v>
      </c>
      <c r="AG7" s="350">
        <f>AD7/Z7-1</f>
        <v>0.44584263410965752</v>
      </c>
    </row>
    <row r="8" spans="2:37" ht="13" customHeight="1">
      <c r="B8" s="54" t="str">
        <f>IF('Summary | Sumário'!D$6=Names!B$3,Names!AC34,Names!AD34)</f>
        <v>Net fee revenues</v>
      </c>
      <c r="C8" s="188">
        <f>'7. Fee Revenue | R. de Serv '!C19</f>
        <v>120696.66099999999</v>
      </c>
      <c r="D8" s="188">
        <f>'7. Fee Revenue | R. de Serv '!D19</f>
        <v>278098</v>
      </c>
      <c r="E8" s="188">
        <f>'7. Fee Revenue | R. de Serv '!E19</f>
        <v>607687</v>
      </c>
      <c r="F8" s="188">
        <f>'7. Fee Revenue | R. de Serv '!F19</f>
        <v>1127488</v>
      </c>
      <c r="G8" s="188">
        <f>'7. Fee Revenue | R. de Serv '!G19</f>
        <v>1455780.6</v>
      </c>
      <c r="H8" s="188">
        <f>'7. Fee Revenue | R. de Serv '!H19</f>
        <v>1943420.8032693998</v>
      </c>
      <c r="I8" s="188">
        <f>'7. Fee Revenue | R. de Serv '!I19</f>
        <v>2127119</v>
      </c>
      <c r="J8" s="188"/>
      <c r="K8" s="188">
        <f>'7. Fee Revenue | R. de Serv '!K19</f>
        <v>119309</v>
      </c>
      <c r="L8" s="188">
        <f>'7. Fee Revenue | R. de Serv '!L19</f>
        <v>158429</v>
      </c>
      <c r="M8" s="188">
        <f>'7. Fee Revenue | R. de Serv '!M19</f>
        <v>153349</v>
      </c>
      <c r="N8" s="188">
        <f>'7. Fee Revenue | R. de Serv '!N19</f>
        <v>176600</v>
      </c>
      <c r="O8" s="188">
        <f>'7. Fee Revenue | R. de Serv '!O19</f>
        <v>273077</v>
      </c>
      <c r="P8" s="188">
        <f>'7. Fee Revenue | R. de Serv '!P19</f>
        <v>290370</v>
      </c>
      <c r="Q8" s="188">
        <f>'7. Fee Revenue | R. de Serv '!Q19</f>
        <v>263579</v>
      </c>
      <c r="R8" s="188">
        <f>'7. Fee Revenue | R. de Serv '!R19</f>
        <v>300462</v>
      </c>
      <c r="S8" s="188">
        <f>'7. Fee Revenue | R. de Serv '!S19</f>
        <v>297633</v>
      </c>
      <c r="T8" s="188">
        <f>'7. Fee Revenue | R. de Serv '!T19</f>
        <v>321768</v>
      </c>
      <c r="U8" s="188">
        <f>'7. Fee Revenue | R. de Serv '!U19</f>
        <v>420279.50028000004</v>
      </c>
      <c r="V8" s="188">
        <f>'7. Fee Revenue | R. de Serv '!V19</f>
        <v>416100.09971999994</v>
      </c>
      <c r="W8" s="188">
        <f>'7. Fee Revenue | R. de Serv '!W19</f>
        <v>408518.39485153224</v>
      </c>
      <c r="X8" s="188">
        <f>'7. Fee Revenue | R. de Serv '!X19</f>
        <v>436732.08523867995</v>
      </c>
      <c r="Y8" s="188">
        <f>'7. Fee Revenue | R. de Serv '!Y19</f>
        <v>511793.11297993874</v>
      </c>
      <c r="Z8" s="188">
        <f>'7. Fee Revenue | R. de Serv '!Z19</f>
        <v>586377.21019924898</v>
      </c>
      <c r="AA8" s="188">
        <f>'7. Fee Revenue | R. de Serv '!AA19</f>
        <v>475206.80000000005</v>
      </c>
      <c r="AB8" s="188">
        <f>'7. Fee Revenue | R. de Serv '!AB19</f>
        <v>533575.4</v>
      </c>
      <c r="AC8" s="188">
        <f>'7. Fee Revenue | R. de Serv '!AC19</f>
        <v>539473</v>
      </c>
      <c r="AD8" s="188">
        <f>'7. Fee Revenue | R. de Serv '!AD19</f>
        <v>578863.79999999993</v>
      </c>
      <c r="AE8" s="188"/>
      <c r="AF8" s="185">
        <f>AD8/AC8-1</f>
        <v>7.3017185290088493E-2</v>
      </c>
      <c r="AG8" s="185">
        <f>AD8/Z8-1</f>
        <v>-1.2813271164982765E-2</v>
      </c>
    </row>
    <row r="9" spans="2:37" ht="13" customHeight="1">
      <c r="B9" s="298" t="str">
        <f>IF('Summary | Sumário'!D$6=Names!B$3,Names!AC35,Names!AD35)</f>
        <v>Fee income ratio (%)</v>
      </c>
      <c r="C9" s="317">
        <f>C5/C6</f>
        <v>0.169464548300088</v>
      </c>
      <c r="D9" s="317">
        <f t="shared" ref="D9:AA9" si="8">D5/D6</f>
        <v>0.27496915480968737</v>
      </c>
      <c r="E9" s="317">
        <f t="shared" si="8"/>
        <v>0.27350841969732093</v>
      </c>
      <c r="F9" s="317">
        <f t="shared" si="8"/>
        <v>0.31647034296011883</v>
      </c>
      <c r="G9" s="317">
        <f t="shared" si="8"/>
        <v>0.30631390459180918</v>
      </c>
      <c r="H9" s="317">
        <f t="shared" si="8"/>
        <v>0.30365163699821585</v>
      </c>
      <c r="I9" s="317">
        <f t="shared" ref="I9" si="9">I5/I6</f>
        <v>0.25320017836103542</v>
      </c>
      <c r="J9" s="330"/>
      <c r="K9" s="317">
        <f t="shared" si="8"/>
        <v>0.28627311957648288</v>
      </c>
      <c r="L9" s="317">
        <f t="shared" si="8"/>
        <v>0.33894838694026419</v>
      </c>
      <c r="M9" s="317">
        <f t="shared" si="8"/>
        <v>0.25283842037330045</v>
      </c>
      <c r="N9" s="317">
        <f t="shared" si="8"/>
        <v>0.24154313643237449</v>
      </c>
      <c r="O9" s="317">
        <f t="shared" si="8"/>
        <v>0.32761861439090412</v>
      </c>
      <c r="P9" s="317">
        <f t="shared" si="8"/>
        <v>0.33108697296749373</v>
      </c>
      <c r="Q9" s="317">
        <f t="shared" si="8"/>
        <v>0.30998227130596889</v>
      </c>
      <c r="R9" s="317">
        <f t="shared" si="8"/>
        <v>0.29990645568074864</v>
      </c>
      <c r="S9" s="317">
        <f t="shared" si="8"/>
        <v>0.29062483665150585</v>
      </c>
      <c r="T9" s="317">
        <f t="shared" si="8"/>
        <v>0.27978998881772194</v>
      </c>
      <c r="U9" s="317">
        <f t="shared" si="8"/>
        <v>0.33210664465640283</v>
      </c>
      <c r="V9" s="317">
        <f t="shared" si="8"/>
        <v>0.31692388438004793</v>
      </c>
      <c r="W9" s="317">
        <f t="shared" si="8"/>
        <v>0.29160324697136625</v>
      </c>
      <c r="X9" s="317">
        <f t="shared" si="8"/>
        <v>0.29536908683149532</v>
      </c>
      <c r="Y9" s="317">
        <f t="shared" si="8"/>
        <v>0.3053397223912393</v>
      </c>
      <c r="Z9" s="317">
        <f t="shared" si="8"/>
        <v>0.31790826711817477</v>
      </c>
      <c r="AA9" s="317">
        <f t="shared" si="8"/>
        <v>0.25857357469205999</v>
      </c>
      <c r="AB9" s="317">
        <f t="shared" ref="AB9:AC9" si="10">AB5/AB6</f>
        <v>0.26637715952174512</v>
      </c>
      <c r="AC9" s="317">
        <f t="shared" si="10"/>
        <v>0.24950605041985716</v>
      </c>
      <c r="AD9" s="317">
        <f t="shared" ref="AD9" si="11">AD5/AD6</f>
        <v>0.24140543531908565</v>
      </c>
      <c r="AE9" s="330"/>
      <c r="AF9" s="640">
        <f>(AD9-AC9)*100</f>
        <v>-0.81006151007715077</v>
      </c>
      <c r="AG9" s="640">
        <f>(AD9-Z9)*100</f>
        <v>-7.6502831799089126</v>
      </c>
    </row>
    <row r="10" spans="2:37" ht="13" customHeight="1">
      <c r="AF10" s="179"/>
      <c r="AG10" s="179"/>
    </row>
    <row r="11" spans="2:37" ht="13" customHeight="1">
      <c r="C11" s="116" t="s">
        <v>1047</v>
      </c>
    </row>
    <row r="14" spans="2:37" ht="13" customHeight="1">
      <c r="E14" s="185"/>
    </row>
  </sheetData>
  <sheetProtection algorithmName="SHA-512" hashValue="Ss3t8FJB4r6UuwJgJMZbngZU1h03c6hhvwJtShBBgN/JzgXiwwOWhy8vIKm1zh485Jr/mfcgL5CCo4lfWIIaCA==" saltValue="L26rya9rOuCzonHSOBebG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BD91-04FC-D944-845B-73B5F43E5F1F}">
  <sheetPr codeName="Sheet16">
    <tabColor rgb="FFF7CAB0"/>
  </sheetPr>
  <dimension ref="B1:AK2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2.83203125" style="117" customWidth="1"/>
    <col min="11" max="30" width="10.83203125" style="117" customWidth="1"/>
    <col min="31" max="31" width="5.83203125" style="117" customWidth="1"/>
    <col min="32" max="33" width="10.83203125" style="117" customWidth="1"/>
    <col min="34" max="16384" width="10.83203125" style="116"/>
  </cols>
  <sheetData>
    <row r="1" spans="2:37" ht="13" customHeight="1">
      <c r="AH1" s="117"/>
    </row>
    <row r="2" spans="2:37" s="10" customFormat="1" ht="13" customHeight="1">
      <c r="B2" s="267" t="str">
        <f>IF('Summary | Sumário'!D$6=Names!B$3,Names!BF1,Names!BG1)</f>
        <v> Efficiency Ratio (R$ Thousands)</v>
      </c>
      <c r="C2" s="563">
        <f>IF('Summary | Sumário'!D6=Names!B3,Names!C2,Names!D2)</f>
        <v>2019</v>
      </c>
      <c r="D2" s="563">
        <f>IF('Summary | Sumário'!D6=Names!B3,Names!C3,Names!D3)</f>
        <v>2020</v>
      </c>
      <c r="E2" s="563">
        <f>IF('Summary | Sumário'!D6=Names!B3,Names!C4,Names!D4)</f>
        <v>2021</v>
      </c>
      <c r="F2" s="563">
        <f>IF('Summary | Sumário'!D6=Names!B3,Names!C5,Names!D5)</f>
        <v>2022</v>
      </c>
      <c r="G2" s="563">
        <f>IF('Summary | Sumário'!D6=Names!B3,Names!C18,Names!D18)</f>
        <v>2023</v>
      </c>
      <c r="H2" s="563">
        <f>IF('Summary | Sumário'!D6=Names!B3,Names!C23,Names!D23)</f>
        <v>2024</v>
      </c>
      <c r="I2" s="563">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2:37" ht="13" customHeight="1">
      <c r="B4" s="3" t="str">
        <f>IF('Summary | Sumário'!D$6=Names!B$3,Names!BF3,Names!BG3)</f>
        <v>Efficiency ratio </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row>
    <row r="5" spans="2:37" ht="13" customHeight="1">
      <c r="B5" s="288" t="str">
        <f>IF('Summary | Sumário'!D$6=Names!B$3,Names!BF4,Names!BG4)</f>
        <v>Total operational expenses</v>
      </c>
      <c r="C5" s="289">
        <f>C18</f>
        <v>572970</v>
      </c>
      <c r="D5" s="289">
        <f t="shared" ref="D5:H5" si="0">D18</f>
        <v>914082</v>
      </c>
      <c r="E5" s="289">
        <f t="shared" si="0"/>
        <v>1701818.2949999999</v>
      </c>
      <c r="F5" s="289">
        <f t="shared" si="0"/>
        <v>2392061</v>
      </c>
      <c r="G5" s="289">
        <f t="shared" si="0"/>
        <v>2412527</v>
      </c>
      <c r="H5" s="289">
        <f t="shared" si="0"/>
        <v>2915645.6869999999</v>
      </c>
      <c r="I5" s="289">
        <f t="shared" ref="I5" si="1">I18</f>
        <v>3631664</v>
      </c>
      <c r="J5" s="179"/>
      <c r="K5" s="289">
        <f t="shared" ref="K5:AB5" si="2">K18</f>
        <v>320122.31299999997</v>
      </c>
      <c r="L5" s="289">
        <f t="shared" si="2"/>
        <v>391145</v>
      </c>
      <c r="M5" s="289">
        <f t="shared" si="2"/>
        <v>387488.18799999997</v>
      </c>
      <c r="N5" s="289">
        <f t="shared" si="2"/>
        <v>603062.79399999999</v>
      </c>
      <c r="O5" s="289">
        <f t="shared" si="2"/>
        <v>558404</v>
      </c>
      <c r="P5" s="289">
        <f t="shared" si="2"/>
        <v>556595</v>
      </c>
      <c r="Q5" s="289">
        <f t="shared" si="2"/>
        <v>591798</v>
      </c>
      <c r="R5" s="289">
        <f t="shared" si="2"/>
        <v>685264</v>
      </c>
      <c r="S5" s="289">
        <f t="shared" si="2"/>
        <v>595604</v>
      </c>
      <c r="T5" s="289">
        <f t="shared" si="2"/>
        <v>575247</v>
      </c>
      <c r="U5" s="289">
        <f t="shared" si="2"/>
        <v>614129</v>
      </c>
      <c r="V5" s="289">
        <f t="shared" si="2"/>
        <v>627547</v>
      </c>
      <c r="W5" s="289">
        <f t="shared" si="2"/>
        <v>627607</v>
      </c>
      <c r="X5" s="289">
        <f t="shared" si="2"/>
        <v>660068.69851999998</v>
      </c>
      <c r="Y5" s="289">
        <f t="shared" si="2"/>
        <v>787129.60447999998</v>
      </c>
      <c r="Z5" s="289">
        <f t="shared" si="2"/>
        <v>840840.38400000008</v>
      </c>
      <c r="AA5" s="289">
        <f t="shared" si="2"/>
        <v>830517.8</v>
      </c>
      <c r="AB5" s="289">
        <f t="shared" si="2"/>
        <v>873425.6</v>
      </c>
      <c r="AC5" s="289">
        <f t="shared" ref="AC5:AD5" si="3">AC18</f>
        <v>913115</v>
      </c>
      <c r="AD5" s="289">
        <f t="shared" si="3"/>
        <v>1014605.6000000001</v>
      </c>
      <c r="AF5" s="680">
        <f>AD5/AC5-1</f>
        <v>0.11114766486149064</v>
      </c>
      <c r="AG5" s="680">
        <f t="shared" ref="AG5:AG14" si="4">AD5/Z5-1</f>
        <v>0.20665660130805508</v>
      </c>
    </row>
    <row r="6" spans="2:37" ht="13" customHeight="1">
      <c r="B6" s="62" t="str">
        <f>IF('Summary | Sumário'!D$6=Names!B$3,Names!BF5,Names!BG5)</f>
        <v>Personnel expenses</v>
      </c>
      <c r="C6" s="179">
        <f>C19</f>
        <v>169198</v>
      </c>
      <c r="D6" s="179">
        <f t="shared" ref="D6:H6" si="5">D19</f>
        <v>229096</v>
      </c>
      <c r="E6" s="179">
        <f t="shared" si="5"/>
        <v>443328</v>
      </c>
      <c r="F6" s="179">
        <f t="shared" si="5"/>
        <v>733605</v>
      </c>
      <c r="G6" s="179">
        <f t="shared" si="5"/>
        <v>790739</v>
      </c>
      <c r="H6" s="179">
        <f t="shared" si="5"/>
        <v>937761.13</v>
      </c>
      <c r="I6" s="179">
        <f t="shared" ref="I6" si="6">I19</f>
        <v>1090333</v>
      </c>
      <c r="J6" s="179"/>
      <c r="K6" s="179">
        <f t="shared" ref="K6:AB6" si="7">K19</f>
        <v>81861</v>
      </c>
      <c r="L6" s="179">
        <f t="shared" si="7"/>
        <v>93046</v>
      </c>
      <c r="M6" s="179">
        <f t="shared" si="7"/>
        <v>121250</v>
      </c>
      <c r="N6" s="179">
        <f t="shared" si="7"/>
        <v>147171</v>
      </c>
      <c r="O6" s="179">
        <f t="shared" si="7"/>
        <v>145120</v>
      </c>
      <c r="P6" s="179">
        <f t="shared" si="7"/>
        <v>172466</v>
      </c>
      <c r="Q6" s="179">
        <f t="shared" si="7"/>
        <v>176232</v>
      </c>
      <c r="R6" s="179">
        <f t="shared" si="7"/>
        <v>239787</v>
      </c>
      <c r="S6" s="179">
        <f t="shared" si="7"/>
        <v>172412</v>
      </c>
      <c r="T6" s="179">
        <f t="shared" si="7"/>
        <v>186249</v>
      </c>
      <c r="U6" s="179">
        <f t="shared" si="7"/>
        <v>210661</v>
      </c>
      <c r="V6" s="179">
        <f t="shared" si="7"/>
        <v>221417</v>
      </c>
      <c r="W6" s="179">
        <f t="shared" si="7"/>
        <v>190463</v>
      </c>
      <c r="X6" s="179">
        <f t="shared" si="7"/>
        <v>204206.56551999997</v>
      </c>
      <c r="Y6" s="179">
        <f t="shared" si="7"/>
        <v>258954.60447999998</v>
      </c>
      <c r="Z6" s="179">
        <f t="shared" si="7"/>
        <v>284136.96000000008</v>
      </c>
      <c r="AA6" s="179">
        <f t="shared" si="7"/>
        <v>234873.2</v>
      </c>
      <c r="AB6" s="179">
        <f t="shared" si="7"/>
        <v>256765</v>
      </c>
      <c r="AC6" s="179">
        <f t="shared" ref="AC6:AD6" si="8">AC19</f>
        <v>285248</v>
      </c>
      <c r="AD6" s="179">
        <f t="shared" si="8"/>
        <v>313446.80000000005</v>
      </c>
      <c r="AF6" s="210">
        <f t="shared" ref="AF6:AF14" si="9">AD6/AC6-1</f>
        <v>9.8857134844065664E-2</v>
      </c>
      <c r="AG6" s="210">
        <f t="shared" si="4"/>
        <v>0.10315391563279896</v>
      </c>
    </row>
    <row r="7" spans="2:37" ht="13" customHeight="1">
      <c r="B7" s="67" t="str">
        <f>IF('Summary | Sumário'!D$6=Names!B$3,Names!BF6,Names!BG6)</f>
        <v>Administrative expenses</v>
      </c>
      <c r="C7" s="174">
        <f>C20</f>
        <v>386309</v>
      </c>
      <c r="D7" s="174">
        <f t="shared" ref="D7:H7" si="10">D20</f>
        <v>641327</v>
      </c>
      <c r="E7" s="174">
        <f t="shared" si="10"/>
        <v>1164239.7749999999</v>
      </c>
      <c r="F7" s="174">
        <f t="shared" si="10"/>
        <v>1494484</v>
      </c>
      <c r="G7" s="174">
        <f t="shared" si="10"/>
        <v>1461348</v>
      </c>
      <c r="H7" s="174">
        <f t="shared" si="10"/>
        <v>1769055.128</v>
      </c>
      <c r="I7" s="174">
        <f t="shared" ref="I7" si="11">I20</f>
        <v>2200604</v>
      </c>
      <c r="J7" s="179"/>
      <c r="K7" s="174">
        <f t="shared" ref="K7:AB7" si="12">K20</f>
        <v>219095.31299999999</v>
      </c>
      <c r="L7" s="174">
        <f t="shared" si="12"/>
        <v>272761</v>
      </c>
      <c r="M7" s="174">
        <f t="shared" si="12"/>
        <v>235355.18799999999</v>
      </c>
      <c r="N7" s="174">
        <f t="shared" si="12"/>
        <v>437028.27399999998</v>
      </c>
      <c r="O7" s="174">
        <f t="shared" si="12"/>
        <v>376806</v>
      </c>
      <c r="P7" s="174">
        <f t="shared" si="12"/>
        <v>348618</v>
      </c>
      <c r="Q7" s="174">
        <f t="shared" si="12"/>
        <v>379946</v>
      </c>
      <c r="R7" s="174">
        <f t="shared" si="12"/>
        <v>389114</v>
      </c>
      <c r="S7" s="174">
        <f t="shared" si="12"/>
        <v>385615</v>
      </c>
      <c r="T7" s="174">
        <f t="shared" si="12"/>
        <v>347868</v>
      </c>
      <c r="U7" s="174">
        <f t="shared" si="12"/>
        <v>362877</v>
      </c>
      <c r="V7" s="174">
        <f t="shared" si="12"/>
        <v>364988</v>
      </c>
      <c r="W7" s="174">
        <f t="shared" si="12"/>
        <v>395244</v>
      </c>
      <c r="X7" s="174">
        <f t="shared" si="12"/>
        <v>402827.25400000002</v>
      </c>
      <c r="Y7" s="174">
        <f t="shared" si="12"/>
        <v>474826</v>
      </c>
      <c r="Z7" s="174">
        <f t="shared" si="12"/>
        <v>496157.87400000007</v>
      </c>
      <c r="AA7" s="174">
        <f t="shared" si="12"/>
        <v>528199.6</v>
      </c>
      <c r="AB7" s="174">
        <f t="shared" si="12"/>
        <v>540029.6</v>
      </c>
      <c r="AC7" s="174">
        <f t="shared" ref="AC7:AD7" si="13">AC20</f>
        <v>543343</v>
      </c>
      <c r="AD7" s="174">
        <f t="shared" si="13"/>
        <v>589031.80000000005</v>
      </c>
      <c r="AF7" s="156">
        <f t="shared" si="9"/>
        <v>8.408831990105714E-2</v>
      </c>
      <c r="AG7" s="156">
        <f t="shared" si="4"/>
        <v>0.18718623822545633</v>
      </c>
    </row>
    <row r="8" spans="2:37" ht="13" customHeight="1">
      <c r="B8" s="62" t="str">
        <f>IF('Summary | Sumário'!D$6=Names!B$3,Names!BF7,Names!BG7)</f>
        <v>Depreciation and amortization</v>
      </c>
      <c r="C8" s="179">
        <f>C21</f>
        <v>17463</v>
      </c>
      <c r="D8" s="179">
        <f t="shared" ref="D8:H8" si="14">D21</f>
        <v>43659</v>
      </c>
      <c r="E8" s="179">
        <f t="shared" si="14"/>
        <v>94250.52</v>
      </c>
      <c r="F8" s="179">
        <f t="shared" si="14"/>
        <v>163972</v>
      </c>
      <c r="G8" s="179">
        <f t="shared" si="14"/>
        <v>160440</v>
      </c>
      <c r="H8" s="179">
        <f t="shared" si="14"/>
        <v>208829.429</v>
      </c>
      <c r="I8" s="179">
        <f t="shared" ref="I8" si="15">I21</f>
        <v>340727</v>
      </c>
      <c r="J8" s="179"/>
      <c r="K8" s="179">
        <f t="shared" ref="K8:AB8" si="16">K21</f>
        <v>19166</v>
      </c>
      <c r="L8" s="179">
        <f t="shared" si="16"/>
        <v>25338</v>
      </c>
      <c r="M8" s="179">
        <f t="shared" si="16"/>
        <v>30883</v>
      </c>
      <c r="N8" s="179">
        <f t="shared" si="16"/>
        <v>18863.520000000004</v>
      </c>
      <c r="O8" s="179">
        <f t="shared" si="16"/>
        <v>36478</v>
      </c>
      <c r="P8" s="179">
        <f t="shared" si="16"/>
        <v>35511</v>
      </c>
      <c r="Q8" s="179">
        <f t="shared" si="16"/>
        <v>35620</v>
      </c>
      <c r="R8" s="179">
        <f t="shared" si="16"/>
        <v>56363</v>
      </c>
      <c r="S8" s="179">
        <f t="shared" si="16"/>
        <v>37577</v>
      </c>
      <c r="T8" s="179">
        <f t="shared" si="16"/>
        <v>41130</v>
      </c>
      <c r="U8" s="179">
        <f t="shared" si="16"/>
        <v>40591</v>
      </c>
      <c r="V8" s="179">
        <f t="shared" si="16"/>
        <v>41142</v>
      </c>
      <c r="W8" s="179">
        <f t="shared" si="16"/>
        <v>41900</v>
      </c>
      <c r="X8" s="179">
        <f t="shared" si="16"/>
        <v>53034.879000000001</v>
      </c>
      <c r="Y8" s="179">
        <f t="shared" si="16"/>
        <v>53349</v>
      </c>
      <c r="Z8" s="179">
        <f t="shared" si="16"/>
        <v>60545.549999999988</v>
      </c>
      <c r="AA8" s="179">
        <f t="shared" si="16"/>
        <v>67445</v>
      </c>
      <c r="AB8" s="179">
        <f t="shared" si="16"/>
        <v>76631</v>
      </c>
      <c r="AC8" s="179">
        <f t="shared" ref="AC8:AD8" si="17">AC21</f>
        <v>84524</v>
      </c>
      <c r="AD8" s="179">
        <f t="shared" si="17"/>
        <v>112127</v>
      </c>
      <c r="AF8" s="210">
        <f t="shared" si="9"/>
        <v>0.3265699682930292</v>
      </c>
      <c r="AG8" s="210">
        <f t="shared" si="4"/>
        <v>0.85194452771508433</v>
      </c>
    </row>
    <row r="9" spans="2:37" ht="13" customHeight="1">
      <c r="B9" s="53" t="str">
        <f>IF('Summary | Sumário'!D$6=Names!B$3,Names!BF8,Names!BG8)</f>
        <v>(÷) Total net revenues excluding tax expenses</v>
      </c>
      <c r="C9" s="174">
        <f t="shared" ref="C9:AA9" si="18">C10+C11+C12</f>
        <v>712223.66099999996</v>
      </c>
      <c r="D9" s="174">
        <f t="shared" si="18"/>
        <v>1011378.89518</v>
      </c>
      <c r="E9" s="174">
        <f t="shared" si="18"/>
        <v>2075100.6869999999</v>
      </c>
      <c r="F9" s="174">
        <f t="shared" si="18"/>
        <v>3314109.1850000001</v>
      </c>
      <c r="G9" s="174">
        <f t="shared" si="18"/>
        <v>4441962.5950000007</v>
      </c>
      <c r="H9" s="174">
        <f t="shared" si="18"/>
        <v>6007898.3415580653</v>
      </c>
      <c r="I9" s="174">
        <f t="shared" ref="I9" si="19">I10+I11+I12</f>
        <v>7824674</v>
      </c>
      <c r="J9" s="179"/>
      <c r="K9" s="174">
        <f t="shared" si="18"/>
        <v>389231.652</v>
      </c>
      <c r="L9" s="174">
        <f t="shared" si="18"/>
        <v>437040.34700000007</v>
      </c>
      <c r="M9" s="174">
        <f t="shared" si="18"/>
        <v>565864.06799999997</v>
      </c>
      <c r="N9" s="174">
        <f t="shared" si="18"/>
        <v>682964.61999999988</v>
      </c>
      <c r="O9" s="174">
        <f t="shared" si="18"/>
        <v>776828.01500000001</v>
      </c>
      <c r="P9" s="174">
        <f t="shared" si="18"/>
        <v>815420.3110000001</v>
      </c>
      <c r="Q9" s="174">
        <f t="shared" si="18"/>
        <v>788759.46700000006</v>
      </c>
      <c r="R9" s="174">
        <f t="shared" si="18"/>
        <v>933101.39199999999</v>
      </c>
      <c r="S9" s="174">
        <f t="shared" si="18"/>
        <v>955243.12400000007</v>
      </c>
      <c r="T9" s="174">
        <f t="shared" si="18"/>
        <v>1077571</v>
      </c>
      <c r="U9" s="174">
        <f t="shared" si="18"/>
        <v>1187392.60824</v>
      </c>
      <c r="V9" s="174">
        <f t="shared" si="18"/>
        <v>1221755.8627599999</v>
      </c>
      <c r="W9" s="174">
        <f t="shared" si="18"/>
        <v>1314608.115371532</v>
      </c>
      <c r="X9" s="174">
        <f t="shared" si="18"/>
        <v>1387767.54004253</v>
      </c>
      <c r="Y9" s="174">
        <f t="shared" si="18"/>
        <v>1567625.3355535718</v>
      </c>
      <c r="Z9" s="174">
        <f t="shared" si="18"/>
        <v>1737897.3505904321</v>
      </c>
      <c r="AA9" s="174">
        <f t="shared" si="18"/>
        <v>1720152.1</v>
      </c>
      <c r="AB9" s="174">
        <f>AB10+AB11+AB12</f>
        <v>1852523.7999999998</v>
      </c>
      <c r="AC9" s="174">
        <f>AC10+AC11+AC12</f>
        <v>2021390.4</v>
      </c>
      <c r="AD9" s="174">
        <f>AD10+AD11+AD12</f>
        <v>2230607.7000000002</v>
      </c>
      <c r="AF9" s="156">
        <f t="shared" si="9"/>
        <v>0.10350167884442318</v>
      </c>
      <c r="AG9" s="156">
        <f t="shared" si="4"/>
        <v>0.28350946575882352</v>
      </c>
    </row>
    <row r="10" spans="2:37" ht="13" customHeight="1">
      <c r="B10" s="55" t="str">
        <f>IF('Summary | Sumário'!D$6=Names!B$3,Names!AC31,Names!AD31)</f>
        <v>NII</v>
      </c>
      <c r="C10" s="179">
        <f>C23</f>
        <v>591527</v>
      </c>
      <c r="D10" s="179">
        <f t="shared" ref="D10:H10" si="20">D23</f>
        <v>733280.89517999999</v>
      </c>
      <c r="E10" s="179">
        <f t="shared" si="20"/>
        <v>1614134.912</v>
      </c>
      <c r="F10" s="179">
        <f t="shared" si="20"/>
        <v>2435209.1850000001</v>
      </c>
      <c r="G10" s="179">
        <f t="shared" si="20"/>
        <v>3296796.9950000001</v>
      </c>
      <c r="H10" s="179">
        <f t="shared" si="20"/>
        <v>4456744.9342886657</v>
      </c>
      <c r="I10" s="179">
        <f t="shared" ref="I10" si="21">I23</f>
        <v>6273819</v>
      </c>
      <c r="J10" s="179"/>
      <c r="K10" s="179">
        <f t="shared" ref="K10:AB10" si="22">K23</f>
        <v>297457.33899999998</v>
      </c>
      <c r="L10" s="179">
        <f t="shared" si="22"/>
        <v>308984.34700000007</v>
      </c>
      <c r="M10" s="179">
        <f t="shared" si="22"/>
        <v>453160.88</v>
      </c>
      <c r="N10" s="179">
        <f t="shared" si="22"/>
        <v>554532.3459999999</v>
      </c>
      <c r="O10" s="179">
        <f t="shared" si="22"/>
        <v>560444.01500000001</v>
      </c>
      <c r="P10" s="179">
        <f t="shared" si="22"/>
        <v>586650.3110000001</v>
      </c>
      <c r="Q10" s="179">
        <f t="shared" si="22"/>
        <v>586724.46700000006</v>
      </c>
      <c r="R10" s="179">
        <f t="shared" si="22"/>
        <v>701390.39199999999</v>
      </c>
      <c r="S10" s="179">
        <f t="shared" si="22"/>
        <v>726481.12400000007</v>
      </c>
      <c r="T10" s="179">
        <f t="shared" si="22"/>
        <v>828266</v>
      </c>
      <c r="U10" s="179">
        <f t="shared" si="22"/>
        <v>845216.10796000005</v>
      </c>
      <c r="V10" s="179">
        <f t="shared" si="22"/>
        <v>896833.76303999987</v>
      </c>
      <c r="W10" s="179">
        <f t="shared" si="22"/>
        <v>992420.72051999974</v>
      </c>
      <c r="X10" s="179">
        <f t="shared" si="22"/>
        <v>1041865.72580385</v>
      </c>
      <c r="Y10" s="179">
        <f t="shared" si="22"/>
        <v>1164350.1315736331</v>
      </c>
      <c r="Z10" s="179">
        <f t="shared" si="22"/>
        <v>1258108.3563911831</v>
      </c>
      <c r="AA10" s="179">
        <f t="shared" si="22"/>
        <v>1362594.3</v>
      </c>
      <c r="AB10" s="179">
        <f t="shared" si="22"/>
        <v>1469507</v>
      </c>
      <c r="AC10" s="179">
        <f t="shared" ref="AC10:AD10" si="23">AC23</f>
        <v>1622691</v>
      </c>
      <c r="AD10" s="179">
        <f t="shared" si="23"/>
        <v>1819026.7</v>
      </c>
      <c r="AF10" s="210">
        <f t="shared" si="9"/>
        <v>0.12099389224442603</v>
      </c>
      <c r="AG10" s="210">
        <f t="shared" si="4"/>
        <v>0.44584263410965752</v>
      </c>
    </row>
    <row r="11" spans="2:37" ht="13" customHeight="1">
      <c r="B11" s="68" t="str">
        <f>IF('Summary | Sumário'!D$6=Names!B$3,Names!BF10,Names!BG10)</f>
        <v>Net result from services and commissions</v>
      </c>
      <c r="C11" s="174">
        <f>C24</f>
        <v>120696.66099999999</v>
      </c>
      <c r="D11" s="174">
        <f t="shared" ref="D11:H11" si="24">D24</f>
        <v>278098</v>
      </c>
      <c r="E11" s="174">
        <f t="shared" si="24"/>
        <v>607687</v>
      </c>
      <c r="F11" s="174">
        <f t="shared" si="24"/>
        <v>1127488</v>
      </c>
      <c r="G11" s="174">
        <f t="shared" si="24"/>
        <v>1455780.6</v>
      </c>
      <c r="H11" s="174">
        <f t="shared" si="24"/>
        <v>1943420.8032693998</v>
      </c>
      <c r="I11" s="174">
        <f t="shared" ref="I11" si="25">I24</f>
        <v>2127119</v>
      </c>
      <c r="J11" s="179"/>
      <c r="K11" s="174">
        <f t="shared" ref="K11:AB11" si="26">K24</f>
        <v>119309</v>
      </c>
      <c r="L11" s="174">
        <f t="shared" si="26"/>
        <v>158429</v>
      </c>
      <c r="M11" s="174">
        <f t="shared" si="26"/>
        <v>153349</v>
      </c>
      <c r="N11" s="174">
        <f t="shared" si="26"/>
        <v>176600</v>
      </c>
      <c r="O11" s="174">
        <f t="shared" si="26"/>
        <v>273077</v>
      </c>
      <c r="P11" s="174">
        <f t="shared" si="26"/>
        <v>290370</v>
      </c>
      <c r="Q11" s="174">
        <f t="shared" si="26"/>
        <v>263579</v>
      </c>
      <c r="R11" s="174">
        <f t="shared" si="26"/>
        <v>300462</v>
      </c>
      <c r="S11" s="174">
        <f t="shared" si="26"/>
        <v>297633</v>
      </c>
      <c r="T11" s="174">
        <f t="shared" si="26"/>
        <v>321768</v>
      </c>
      <c r="U11" s="174">
        <f t="shared" si="26"/>
        <v>420279.50028000004</v>
      </c>
      <c r="V11" s="174">
        <f t="shared" si="26"/>
        <v>416100.09971999994</v>
      </c>
      <c r="W11" s="174">
        <f t="shared" si="26"/>
        <v>408518.39485153224</v>
      </c>
      <c r="X11" s="174">
        <f t="shared" si="26"/>
        <v>436732.08523867995</v>
      </c>
      <c r="Y11" s="174">
        <f t="shared" si="26"/>
        <v>511793.11297993874</v>
      </c>
      <c r="Z11" s="174">
        <f t="shared" si="26"/>
        <v>586377.21019924898</v>
      </c>
      <c r="AA11" s="174">
        <f t="shared" si="26"/>
        <v>475206.80000000005</v>
      </c>
      <c r="AB11" s="174">
        <f t="shared" si="26"/>
        <v>533575.4</v>
      </c>
      <c r="AC11" s="174">
        <f t="shared" ref="AC11:AD11" si="27">AC24</f>
        <v>539473</v>
      </c>
      <c r="AD11" s="174">
        <f t="shared" si="27"/>
        <v>578863.79999999993</v>
      </c>
      <c r="AF11" s="156">
        <f t="shared" si="9"/>
        <v>7.3017185290088493E-2</v>
      </c>
      <c r="AG11" s="156">
        <f t="shared" si="4"/>
        <v>-1.2813271164982765E-2</v>
      </c>
    </row>
    <row r="12" spans="2:37" ht="13" customHeight="1">
      <c r="B12" s="64" t="str">
        <f>IF('Summary | Sumário'!D$6=Names!B$3,Names!BF52,Names!BG52)</f>
        <v>Tax expenses excluding tax expenses from interest on own capital (IOC)</v>
      </c>
      <c r="C12" s="179">
        <f>C13+C14</f>
        <v>0</v>
      </c>
      <c r="D12" s="179">
        <f t="shared" ref="D12" si="28">D13+D14</f>
        <v>0</v>
      </c>
      <c r="E12" s="179">
        <f t="shared" ref="E12:AA12" si="29">E13-E14</f>
        <v>-146721.22500000001</v>
      </c>
      <c r="F12" s="179">
        <f t="shared" si="29"/>
        <v>-248588</v>
      </c>
      <c r="G12" s="179">
        <f t="shared" si="29"/>
        <v>-310615</v>
      </c>
      <c r="H12" s="179">
        <f t="shared" si="29"/>
        <v>-392267.39600000001</v>
      </c>
      <c r="I12" s="179">
        <f t="shared" ref="I12" si="30">I13-I14</f>
        <v>-576264</v>
      </c>
      <c r="J12" s="179"/>
      <c r="K12" s="179">
        <f t="shared" si="29"/>
        <v>-27534.687000000002</v>
      </c>
      <c r="L12" s="179">
        <f t="shared" si="29"/>
        <v>-30373</v>
      </c>
      <c r="M12" s="179">
        <f t="shared" si="29"/>
        <v>-40645.811999999998</v>
      </c>
      <c r="N12" s="179">
        <f t="shared" si="29"/>
        <v>-48167.726000000002</v>
      </c>
      <c r="O12" s="179">
        <f t="shared" si="29"/>
        <v>-56693</v>
      </c>
      <c r="P12" s="179">
        <f t="shared" si="29"/>
        <v>-61600</v>
      </c>
      <c r="Q12" s="179">
        <f t="shared" si="29"/>
        <v>-61544</v>
      </c>
      <c r="R12" s="179">
        <f t="shared" si="29"/>
        <v>-68751</v>
      </c>
      <c r="S12" s="179">
        <f t="shared" si="29"/>
        <v>-68871</v>
      </c>
      <c r="T12" s="179">
        <f t="shared" si="29"/>
        <v>-72463</v>
      </c>
      <c r="U12" s="179">
        <f t="shared" si="29"/>
        <v>-78103</v>
      </c>
      <c r="V12" s="179">
        <f t="shared" si="29"/>
        <v>-91178</v>
      </c>
      <c r="W12" s="179">
        <f t="shared" si="29"/>
        <v>-86331</v>
      </c>
      <c r="X12" s="179">
        <f t="shared" si="29"/>
        <v>-90830.270999999993</v>
      </c>
      <c r="Y12" s="179">
        <f t="shared" si="29"/>
        <v>-108517.909</v>
      </c>
      <c r="Z12" s="179">
        <f t="shared" si="29"/>
        <v>-106588.21600000001</v>
      </c>
      <c r="AA12" s="179">
        <f t="shared" si="29"/>
        <v>-117649</v>
      </c>
      <c r="AB12" s="179">
        <f>AB13-AB14</f>
        <v>-150558.6</v>
      </c>
      <c r="AC12" s="179">
        <f>AC13-AC14</f>
        <v>-140773.6</v>
      </c>
      <c r="AD12" s="179">
        <f>AD13-AD14</f>
        <v>-167282.80000000005</v>
      </c>
      <c r="AF12" s="210">
        <f t="shared" si="9"/>
        <v>0.18831087647115674</v>
      </c>
      <c r="AG12" s="210">
        <f t="shared" si="4"/>
        <v>0.56943052691678431</v>
      </c>
    </row>
    <row r="13" spans="2:37" ht="13" customHeight="1">
      <c r="B13" s="678" t="str">
        <f>IF('Summary | Sumário'!D$6=Names!B$3,Names!M16,Names!N16)</f>
        <v>Tax expenses</v>
      </c>
      <c r="C13" s="174">
        <f>C25</f>
        <v>0</v>
      </c>
      <c r="D13" s="174">
        <f t="shared" ref="D13:H13" si="31">D25</f>
        <v>0</v>
      </c>
      <c r="E13" s="174">
        <f t="shared" si="31"/>
        <v>-146721.22500000001</v>
      </c>
      <c r="F13" s="174">
        <f t="shared" si="31"/>
        <v>-248588</v>
      </c>
      <c r="G13" s="174">
        <f t="shared" si="31"/>
        <v>-326584</v>
      </c>
      <c r="H13" s="174">
        <f t="shared" si="31"/>
        <v>-477037.39600000001</v>
      </c>
      <c r="I13" s="174">
        <f t="shared" ref="I13" si="32">I25</f>
        <v>-728734</v>
      </c>
      <c r="J13" s="327"/>
      <c r="K13" s="174">
        <f t="shared" ref="K13:AB13" si="33">K25</f>
        <v>-27534.687000000002</v>
      </c>
      <c r="L13" s="174">
        <f t="shared" si="33"/>
        <v>-30373</v>
      </c>
      <c r="M13" s="174">
        <f t="shared" si="33"/>
        <v>-40645.811999999998</v>
      </c>
      <c r="N13" s="174">
        <f t="shared" si="33"/>
        <v>-48167.726000000002</v>
      </c>
      <c r="O13" s="174">
        <f t="shared" si="33"/>
        <v>-56693</v>
      </c>
      <c r="P13" s="174">
        <f t="shared" si="33"/>
        <v>-61600</v>
      </c>
      <c r="Q13" s="174">
        <f t="shared" si="33"/>
        <v>-61544</v>
      </c>
      <c r="R13" s="174">
        <f t="shared" si="33"/>
        <v>-68751</v>
      </c>
      <c r="S13" s="174">
        <f t="shared" si="33"/>
        <v>-68871</v>
      </c>
      <c r="T13" s="174">
        <f t="shared" si="33"/>
        <v>-72463</v>
      </c>
      <c r="U13" s="174">
        <f t="shared" si="33"/>
        <v>-94072</v>
      </c>
      <c r="V13" s="174">
        <f t="shared" si="33"/>
        <v>-91178</v>
      </c>
      <c r="W13" s="174">
        <f t="shared" si="33"/>
        <v>-86331</v>
      </c>
      <c r="X13" s="174">
        <f t="shared" si="33"/>
        <v>-99417.270999999993</v>
      </c>
      <c r="Y13" s="174">
        <f t="shared" si="33"/>
        <v>-123632.909</v>
      </c>
      <c r="Z13" s="174">
        <f t="shared" si="33"/>
        <v>-167656.21600000001</v>
      </c>
      <c r="AA13" s="174">
        <f t="shared" si="33"/>
        <v>-136055</v>
      </c>
      <c r="AB13" s="174">
        <f t="shared" si="33"/>
        <v>-176879.6</v>
      </c>
      <c r="AC13" s="174">
        <f t="shared" ref="AC13:AD13" si="34">AC25</f>
        <v>-190327.6</v>
      </c>
      <c r="AD13" s="174">
        <f t="shared" si="34"/>
        <v>-225471.80000000005</v>
      </c>
      <c r="AF13" s="156">
        <f t="shared" si="9"/>
        <v>0.18465109632023968</v>
      </c>
      <c r="AG13" s="156">
        <f t="shared" si="4"/>
        <v>0.34484605092124965</v>
      </c>
    </row>
    <row r="14" spans="2:37" ht="13" customHeight="1">
      <c r="B14" s="677" t="str">
        <f>IF('Summary | Sumário'!D$6=Names!B$3,Names!BF51,Names!BG51)</f>
        <v>(-) Tax expenses from interest on own capital (IOC)</v>
      </c>
      <c r="C14" s="179">
        <v>0</v>
      </c>
      <c r="D14" s="179">
        <v>0</v>
      </c>
      <c r="E14" s="179">
        <v>0</v>
      </c>
      <c r="F14" s="179">
        <v>0</v>
      </c>
      <c r="G14" s="179">
        <v>-15969</v>
      </c>
      <c r="H14" s="179">
        <v>-84770</v>
      </c>
      <c r="I14" s="179">
        <v>-152470</v>
      </c>
      <c r="K14" s="179">
        <v>0</v>
      </c>
      <c r="L14" s="179">
        <v>0</v>
      </c>
      <c r="M14" s="179">
        <v>0</v>
      </c>
      <c r="N14" s="179">
        <v>0</v>
      </c>
      <c r="O14" s="179">
        <v>0</v>
      </c>
      <c r="P14" s="179">
        <v>0</v>
      </c>
      <c r="Q14" s="179">
        <v>0</v>
      </c>
      <c r="R14" s="179">
        <v>0</v>
      </c>
      <c r="S14" s="179">
        <v>0</v>
      </c>
      <c r="T14" s="179">
        <v>0</v>
      </c>
      <c r="U14" s="179">
        <v>-15969</v>
      </c>
      <c r="V14" s="179">
        <v>0</v>
      </c>
      <c r="W14" s="179">
        <v>0</v>
      </c>
      <c r="X14" s="179">
        <v>-8587</v>
      </c>
      <c r="Y14" s="179">
        <v>-15115</v>
      </c>
      <c r="Z14" s="179">
        <v>-61068</v>
      </c>
      <c r="AA14" s="179">
        <v>-18406</v>
      </c>
      <c r="AB14" s="179">
        <v>-26321</v>
      </c>
      <c r="AC14" s="179">
        <v>-49554</v>
      </c>
      <c r="AD14" s="179">
        <v>-58189</v>
      </c>
      <c r="AF14" s="210">
        <f t="shared" si="9"/>
        <v>0.17425434879121759</v>
      </c>
      <c r="AG14" s="210">
        <f t="shared" si="4"/>
        <v>-4.7144167157922356E-2</v>
      </c>
    </row>
    <row r="15" spans="2:37" ht="13" customHeight="1">
      <c r="B15" s="286" t="str">
        <f>IF('Summary | Sumário'!D$6=Names!B$3,Names!BF14,Names!BG14)</f>
        <v>Efficiency ratio (%)</v>
      </c>
      <c r="C15" s="315">
        <f>C5/C9</f>
        <v>0.80448043413149117</v>
      </c>
      <c r="D15" s="315">
        <f t="shared" ref="D15:AB15" si="35">D5/D9</f>
        <v>0.90379777979974207</v>
      </c>
      <c r="E15" s="315">
        <f t="shared" si="35"/>
        <v>0.82011360010696199</v>
      </c>
      <c r="F15" s="315">
        <f t="shared" si="35"/>
        <v>0.72178098742996</v>
      </c>
      <c r="G15" s="315">
        <f t="shared" si="35"/>
        <v>0.54312186300614262</v>
      </c>
      <c r="H15" s="315">
        <f t="shared" si="35"/>
        <v>0.48530210087474074</v>
      </c>
      <c r="I15" s="315">
        <f t="shared" ref="I15" si="36">I5/I9</f>
        <v>0.46412975160370901</v>
      </c>
      <c r="J15" s="327"/>
      <c r="K15" s="315">
        <f t="shared" si="35"/>
        <v>0.8224467649408943</v>
      </c>
      <c r="L15" s="315">
        <f t="shared" si="35"/>
        <v>0.8949860183046211</v>
      </c>
      <c r="M15" s="315">
        <f t="shared" si="35"/>
        <v>0.68477256272790943</v>
      </c>
      <c r="N15" s="315">
        <f t="shared" si="35"/>
        <v>0.88300737159708231</v>
      </c>
      <c r="O15" s="315">
        <f t="shared" si="35"/>
        <v>0.71882577509772227</v>
      </c>
      <c r="P15" s="315">
        <f t="shared" si="35"/>
        <v>0.68258662740128873</v>
      </c>
      <c r="Q15" s="315">
        <f t="shared" si="35"/>
        <v>0.75028956831525417</v>
      </c>
      <c r="R15" s="315">
        <f t="shared" si="35"/>
        <v>0.73439393175827561</v>
      </c>
      <c r="S15" s="315">
        <f t="shared" si="35"/>
        <v>0.62351037661067732</v>
      </c>
      <c r="T15" s="315">
        <f t="shared" si="35"/>
        <v>0.53383674950420901</v>
      </c>
      <c r="U15" s="315">
        <f t="shared" si="35"/>
        <v>0.51720803695273643</v>
      </c>
      <c r="V15" s="315">
        <f t="shared" si="35"/>
        <v>0.51364353479126668</v>
      </c>
      <c r="W15" s="315">
        <f t="shared" si="35"/>
        <v>0.47740995408553893</v>
      </c>
      <c r="X15" s="315">
        <f t="shared" si="35"/>
        <v>0.47563347568986319</v>
      </c>
      <c r="Y15" s="315">
        <f t="shared" si="35"/>
        <v>0.50211589888730823</v>
      </c>
      <c r="Z15" s="315">
        <f t="shared" si="35"/>
        <v>0.48382626494846404</v>
      </c>
      <c r="AA15" s="315">
        <f t="shared" si="35"/>
        <v>0.48281649047197628</v>
      </c>
      <c r="AB15" s="315">
        <f t="shared" si="35"/>
        <v>0.47147874699369585</v>
      </c>
      <c r="AC15" s="315">
        <f t="shared" ref="AC15:AD15" si="37">AC5/AC9</f>
        <v>0.45172619796749802</v>
      </c>
      <c r="AD15" s="315">
        <f t="shared" si="37"/>
        <v>0.45485613628967569</v>
      </c>
      <c r="AF15" s="679">
        <f>(AD15-AC15)*100</f>
        <v>0.31299383221776722</v>
      </c>
      <c r="AG15" s="679">
        <f>(AD15-Z15)*100</f>
        <v>-2.8970128658788341</v>
      </c>
    </row>
    <row r="16" spans="2:37" ht="13" customHeight="1">
      <c r="B16" s="63"/>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F16" s="116"/>
      <c r="AG16" s="116"/>
    </row>
    <row r="17" spans="2:33" ht="13" customHeight="1">
      <c r="B17" s="24" t="str">
        <f>IF('Summary | Sumário'!D$6=Names!B$3,Names!BF50,Names!BG50)</f>
        <v>Efficiency ratio - including tax expenses from interest on own capital (IOC)</v>
      </c>
      <c r="C17" s="316"/>
      <c r="D17" s="316"/>
      <c r="E17" s="316"/>
      <c r="F17" s="316"/>
      <c r="G17" s="316"/>
      <c r="H17" s="316"/>
      <c r="I17" s="316"/>
      <c r="J17" s="182"/>
      <c r="K17" s="316"/>
      <c r="L17" s="316"/>
      <c r="M17" s="316"/>
      <c r="N17" s="316"/>
      <c r="O17" s="316"/>
      <c r="P17" s="316"/>
      <c r="Q17" s="316"/>
      <c r="R17" s="316"/>
      <c r="S17" s="316"/>
      <c r="T17" s="316"/>
      <c r="U17" s="316"/>
      <c r="V17" s="316"/>
      <c r="W17" s="316"/>
      <c r="X17" s="316"/>
      <c r="Y17" s="316"/>
      <c r="Z17" s="316"/>
      <c r="AA17" s="316"/>
      <c r="AB17" s="316"/>
      <c r="AC17" s="316"/>
      <c r="AD17" s="316"/>
      <c r="AF17" s="178"/>
      <c r="AG17" s="178"/>
    </row>
    <row r="18" spans="2:33" ht="13" customHeight="1">
      <c r="B18" s="291" t="str">
        <f>IF('Summary | Sumário'!D$6=Names!B$3,Names!BF4,Names!BG4)</f>
        <v>Total operational expenses</v>
      </c>
      <c r="C18" s="292">
        <f t="shared" ref="C18" si="38">SUM(C19:C21)</f>
        <v>572970</v>
      </c>
      <c r="D18" s="292">
        <f t="shared" ref="D18" si="39">SUM(D19:D21)</f>
        <v>914082</v>
      </c>
      <c r="E18" s="292">
        <f t="shared" ref="E18" si="40">SUM(E19:E21)</f>
        <v>1701818.2949999999</v>
      </c>
      <c r="F18" s="292">
        <f t="shared" ref="F18" si="41">SUM(F19:F21)</f>
        <v>2392061</v>
      </c>
      <c r="G18" s="292">
        <f t="shared" ref="G18" si="42">SUM(G19:G21)</f>
        <v>2412527</v>
      </c>
      <c r="H18" s="292">
        <f t="shared" ref="H18:I18" si="43">SUM(H19:H21)</f>
        <v>2915645.6869999999</v>
      </c>
      <c r="I18" s="292">
        <f t="shared" si="43"/>
        <v>3631664</v>
      </c>
      <c r="J18" s="179"/>
      <c r="K18" s="292">
        <f t="shared" ref="K18" si="44">SUM(K19:K21)</f>
        <v>320122.31299999997</v>
      </c>
      <c r="L18" s="292">
        <f t="shared" ref="L18" si="45">SUM(L19:L21)</f>
        <v>391145</v>
      </c>
      <c r="M18" s="292">
        <f t="shared" ref="M18" si="46">SUM(M19:M21)</f>
        <v>387488.18799999997</v>
      </c>
      <c r="N18" s="292">
        <f t="shared" ref="N18" si="47">SUM(N19:N21)</f>
        <v>603062.79399999999</v>
      </c>
      <c r="O18" s="292">
        <f t="shared" ref="O18" si="48">SUM(O19:O21)</f>
        <v>558404</v>
      </c>
      <c r="P18" s="292">
        <f t="shared" ref="P18" si="49">SUM(P19:P21)</f>
        <v>556595</v>
      </c>
      <c r="Q18" s="292">
        <f t="shared" ref="Q18" si="50">SUM(Q19:Q21)</f>
        <v>591798</v>
      </c>
      <c r="R18" s="292">
        <f t="shared" ref="R18" si="51">SUM(R19:R21)</f>
        <v>685264</v>
      </c>
      <c r="S18" s="292">
        <f t="shared" ref="S18" si="52">SUM(S19:S21)</f>
        <v>595604</v>
      </c>
      <c r="T18" s="292">
        <f t="shared" ref="T18" si="53">SUM(T19:T21)</f>
        <v>575247</v>
      </c>
      <c r="U18" s="292">
        <f t="shared" ref="U18" si="54">SUM(U19:U21)</f>
        <v>614129</v>
      </c>
      <c r="V18" s="292">
        <f t="shared" ref="V18" si="55">SUM(V19:V21)</f>
        <v>627547</v>
      </c>
      <c r="W18" s="292">
        <f t="shared" ref="W18" si="56">SUM(W19:W21)</f>
        <v>627607</v>
      </c>
      <c r="X18" s="292">
        <f t="shared" ref="X18" si="57">SUM(X19:X21)</f>
        <v>660068.69851999998</v>
      </c>
      <c r="Y18" s="292">
        <f t="shared" ref="Y18" si="58">SUM(Y19:Y21)</f>
        <v>787129.60447999998</v>
      </c>
      <c r="Z18" s="292">
        <f t="shared" ref="Z18" si="59">SUM(Z19:Z21)</f>
        <v>840840.38400000008</v>
      </c>
      <c r="AA18" s="292">
        <f t="shared" ref="AA18:AB18" si="60">SUM(AA19:AA21)</f>
        <v>830517.8</v>
      </c>
      <c r="AB18" s="292">
        <f t="shared" si="60"/>
        <v>873425.6</v>
      </c>
      <c r="AC18" s="292">
        <f t="shared" ref="AC18:AD18" si="61">SUM(AC19:AC21)</f>
        <v>913115</v>
      </c>
      <c r="AD18" s="292">
        <f t="shared" si="61"/>
        <v>1014605.6000000001</v>
      </c>
      <c r="AF18" s="681">
        <f t="shared" ref="AF18:AF25" si="62">AD18/AC18-1</f>
        <v>0.11114766486149064</v>
      </c>
      <c r="AG18" s="681">
        <f t="shared" ref="AG18:AG25" si="63">AD18/Z18-1</f>
        <v>0.20665660130805508</v>
      </c>
    </row>
    <row r="19" spans="2:33" ht="13" customHeight="1">
      <c r="B19" s="67" t="str">
        <f>IF('Summary | Sumário'!D$6=Names!B$3,Names!BF5,Names!BG5)</f>
        <v>Personnel expenses</v>
      </c>
      <c r="C19" s="174">
        <f>-'8. Expenses'!C7</f>
        <v>169198</v>
      </c>
      <c r="D19" s="174">
        <f>-'8. Expenses'!D7</f>
        <v>229096</v>
      </c>
      <c r="E19" s="174">
        <f>-'8. Expenses'!E7</f>
        <v>443328</v>
      </c>
      <c r="F19" s="174">
        <f>-'8. Expenses'!F7</f>
        <v>733605</v>
      </c>
      <c r="G19" s="174">
        <f>-'8. Expenses'!G7</f>
        <v>790739</v>
      </c>
      <c r="H19" s="174">
        <f>-'8. Expenses'!H7</f>
        <v>937761.13</v>
      </c>
      <c r="I19" s="174">
        <f>-'8. Expenses'!I7</f>
        <v>1090333</v>
      </c>
      <c r="J19" s="179"/>
      <c r="K19" s="174">
        <f>-'8. Expenses'!K7</f>
        <v>81861</v>
      </c>
      <c r="L19" s="174">
        <f>-'8. Expenses'!L7</f>
        <v>93046</v>
      </c>
      <c r="M19" s="174">
        <f>-'8. Expenses'!M7</f>
        <v>121250</v>
      </c>
      <c r="N19" s="174">
        <f>-'8. Expenses'!N7</f>
        <v>147171</v>
      </c>
      <c r="O19" s="174">
        <f>-'8. Expenses'!O7</f>
        <v>145120</v>
      </c>
      <c r="P19" s="174">
        <f>-'8. Expenses'!P7</f>
        <v>172466</v>
      </c>
      <c r="Q19" s="174">
        <f>-'8. Expenses'!Q7</f>
        <v>176232</v>
      </c>
      <c r="R19" s="174">
        <f>-'8. Expenses'!R7</f>
        <v>239787</v>
      </c>
      <c r="S19" s="174">
        <f>-'8. Expenses'!S7</f>
        <v>172412</v>
      </c>
      <c r="T19" s="174">
        <f>-'8. Expenses'!T7</f>
        <v>186249</v>
      </c>
      <c r="U19" s="174">
        <f>-'8. Expenses'!U7</f>
        <v>210661</v>
      </c>
      <c r="V19" s="174">
        <f>-'8. Expenses'!V7</f>
        <v>221417</v>
      </c>
      <c r="W19" s="174">
        <f>-'8. Expenses'!W7</f>
        <v>190463</v>
      </c>
      <c r="X19" s="174">
        <f>-'8. Expenses'!X7</f>
        <v>204206.56551999997</v>
      </c>
      <c r="Y19" s="174">
        <f>-'8. Expenses'!Y7</f>
        <v>258954.60447999998</v>
      </c>
      <c r="Z19" s="174">
        <f>-'8. Expenses'!Z7</f>
        <v>284136.96000000008</v>
      </c>
      <c r="AA19" s="174">
        <f>-'8. Expenses'!AA7</f>
        <v>234873.2</v>
      </c>
      <c r="AB19" s="174">
        <f>-'8. Expenses'!AB7</f>
        <v>256765</v>
      </c>
      <c r="AC19" s="174">
        <f>-'8. Expenses'!AC7</f>
        <v>285248</v>
      </c>
      <c r="AD19" s="174">
        <f>-'8. Expenses'!AD7</f>
        <v>313446.80000000005</v>
      </c>
      <c r="AF19" s="156">
        <f t="shared" si="62"/>
        <v>9.8857134844065664E-2</v>
      </c>
      <c r="AG19" s="156">
        <f t="shared" si="63"/>
        <v>0.10315391563279896</v>
      </c>
    </row>
    <row r="20" spans="2:33" ht="13" customHeight="1">
      <c r="B20" s="62" t="str">
        <f>IF('Summary | Sumário'!D$6=Names!B$3,Names!BF6,Names!BG6)</f>
        <v>Administrative expenses</v>
      </c>
      <c r="C20" s="179">
        <f>-'8. Expenses'!C8</f>
        <v>386309</v>
      </c>
      <c r="D20" s="179">
        <f>-'8. Expenses'!D8</f>
        <v>641327</v>
      </c>
      <c r="E20" s="179">
        <f>-'8. Expenses'!E8</f>
        <v>1164239.7749999999</v>
      </c>
      <c r="F20" s="179">
        <f>-'8. Expenses'!F8</f>
        <v>1494484</v>
      </c>
      <c r="G20" s="179">
        <f>-'8. Expenses'!G8</f>
        <v>1461348</v>
      </c>
      <c r="H20" s="179">
        <f>-'8. Expenses'!H8</f>
        <v>1769055.128</v>
      </c>
      <c r="I20" s="179">
        <f>-'8. Expenses'!I8</f>
        <v>2200604</v>
      </c>
      <c r="J20" s="179"/>
      <c r="K20" s="179">
        <f>-'8. Expenses'!K8</f>
        <v>219095.31299999999</v>
      </c>
      <c r="L20" s="179">
        <f>-'8. Expenses'!L8</f>
        <v>272761</v>
      </c>
      <c r="M20" s="179">
        <f>-'8. Expenses'!M8</f>
        <v>235355.18799999999</v>
      </c>
      <c r="N20" s="179">
        <f>-'8. Expenses'!N8</f>
        <v>437028.27399999998</v>
      </c>
      <c r="O20" s="179">
        <f>-'8. Expenses'!O8</f>
        <v>376806</v>
      </c>
      <c r="P20" s="179">
        <f>-'8. Expenses'!P8</f>
        <v>348618</v>
      </c>
      <c r="Q20" s="179">
        <f>-'8. Expenses'!Q8</f>
        <v>379946</v>
      </c>
      <c r="R20" s="179">
        <f>-'8. Expenses'!R8</f>
        <v>389114</v>
      </c>
      <c r="S20" s="179">
        <f>-'8. Expenses'!S8</f>
        <v>385615</v>
      </c>
      <c r="T20" s="179">
        <f>-'8. Expenses'!T8</f>
        <v>347868</v>
      </c>
      <c r="U20" s="179">
        <f>-'8. Expenses'!U8</f>
        <v>362877</v>
      </c>
      <c r="V20" s="179">
        <f>-'8. Expenses'!V8</f>
        <v>364988</v>
      </c>
      <c r="W20" s="179">
        <f>-'8. Expenses'!W8</f>
        <v>395244</v>
      </c>
      <c r="X20" s="179">
        <f>-'8. Expenses'!X8</f>
        <v>402827.25400000002</v>
      </c>
      <c r="Y20" s="179">
        <f>-'8. Expenses'!Y8</f>
        <v>474826</v>
      </c>
      <c r="Z20" s="179">
        <f>-'8. Expenses'!Z8</f>
        <v>496157.87400000007</v>
      </c>
      <c r="AA20" s="179">
        <f>-'8. Expenses'!AA8</f>
        <v>528199.6</v>
      </c>
      <c r="AB20" s="179">
        <f>-'8. Expenses'!AB8</f>
        <v>540029.6</v>
      </c>
      <c r="AC20" s="179">
        <f>-'8. Expenses'!AC8</f>
        <v>543343</v>
      </c>
      <c r="AD20" s="179">
        <f>-'8. Expenses'!AD8</f>
        <v>589031.80000000005</v>
      </c>
      <c r="AF20" s="155">
        <f t="shared" si="62"/>
        <v>8.408831990105714E-2</v>
      </c>
      <c r="AG20" s="155">
        <f t="shared" si="63"/>
        <v>0.18718623822545633</v>
      </c>
    </row>
    <row r="21" spans="2:33" ht="13" customHeight="1">
      <c r="B21" s="67" t="str">
        <f>IF('Summary | Sumário'!D$6=Names!B$3,Names!BF7,Names!BG7)</f>
        <v>Depreciation and amortization</v>
      </c>
      <c r="C21" s="174">
        <f>-'8. Expenses'!C9</f>
        <v>17463</v>
      </c>
      <c r="D21" s="174">
        <f>-'8. Expenses'!D9</f>
        <v>43659</v>
      </c>
      <c r="E21" s="174">
        <f>-'8. Expenses'!E9</f>
        <v>94250.52</v>
      </c>
      <c r="F21" s="174">
        <f>-'8. Expenses'!F9</f>
        <v>163972</v>
      </c>
      <c r="G21" s="174">
        <f>-'8. Expenses'!G9</f>
        <v>160440</v>
      </c>
      <c r="H21" s="174">
        <f>-'8. Expenses'!H9</f>
        <v>208829.429</v>
      </c>
      <c r="I21" s="174">
        <f>-'8. Expenses'!I9</f>
        <v>340727</v>
      </c>
      <c r="J21" s="179"/>
      <c r="K21" s="174">
        <f>-'8. Expenses'!K9</f>
        <v>19166</v>
      </c>
      <c r="L21" s="174">
        <f>-'8. Expenses'!L9</f>
        <v>25338</v>
      </c>
      <c r="M21" s="174">
        <f>-'8. Expenses'!M9</f>
        <v>30883</v>
      </c>
      <c r="N21" s="174">
        <f>-'8. Expenses'!N9</f>
        <v>18863.520000000004</v>
      </c>
      <c r="O21" s="174">
        <f>-'8. Expenses'!O9</f>
        <v>36478</v>
      </c>
      <c r="P21" s="174">
        <f>-'8. Expenses'!P9</f>
        <v>35511</v>
      </c>
      <c r="Q21" s="174">
        <f>-'8. Expenses'!Q9</f>
        <v>35620</v>
      </c>
      <c r="R21" s="174">
        <f>-'8. Expenses'!R9</f>
        <v>56363</v>
      </c>
      <c r="S21" s="174">
        <f>-'8. Expenses'!S9</f>
        <v>37577</v>
      </c>
      <c r="T21" s="174">
        <f>-'8. Expenses'!T9</f>
        <v>41130</v>
      </c>
      <c r="U21" s="174">
        <f>-'8. Expenses'!U9</f>
        <v>40591</v>
      </c>
      <c r="V21" s="174">
        <f>-'8. Expenses'!V9</f>
        <v>41142</v>
      </c>
      <c r="W21" s="174">
        <f>-'8. Expenses'!W9</f>
        <v>41900</v>
      </c>
      <c r="X21" s="174">
        <f>-'8. Expenses'!X9</f>
        <v>53034.879000000001</v>
      </c>
      <c r="Y21" s="174">
        <f>-'8. Expenses'!Y9</f>
        <v>53349</v>
      </c>
      <c r="Z21" s="174">
        <f>-'8. Expenses'!Z9</f>
        <v>60545.549999999988</v>
      </c>
      <c r="AA21" s="174">
        <f>-'8. Expenses'!AA9</f>
        <v>67445</v>
      </c>
      <c r="AB21" s="174">
        <f>-'8. Expenses'!AB9</f>
        <v>76631</v>
      </c>
      <c r="AC21" s="174">
        <f>-'8. Expenses'!AC9</f>
        <v>84524</v>
      </c>
      <c r="AD21" s="174">
        <f>-'8. Expenses'!AD9</f>
        <v>112127</v>
      </c>
      <c r="AF21" s="156">
        <f t="shared" si="62"/>
        <v>0.3265699682930292</v>
      </c>
      <c r="AG21" s="156">
        <f t="shared" si="63"/>
        <v>0.85194452771508433</v>
      </c>
    </row>
    <row r="22" spans="2:33" ht="13" customHeight="1">
      <c r="B22" s="51" t="str">
        <f>IF('Summary | Sumário'!D$6=Names!B$3,Names!BF8,Names!BG8)</f>
        <v>(÷) Total net revenues excluding tax expenses</v>
      </c>
      <c r="C22" s="179">
        <f t="shared" ref="C22" si="64">C23+C24+C25</f>
        <v>712223.66099999996</v>
      </c>
      <c r="D22" s="179">
        <f t="shared" ref="D22" si="65">D23+D24+D25</f>
        <v>1011378.89518</v>
      </c>
      <c r="E22" s="179">
        <f t="shared" ref="E22" si="66">E23+E24+E25</f>
        <v>2075100.6869999999</v>
      </c>
      <c r="F22" s="179">
        <f t="shared" ref="F22" si="67">F23+F24+F25</f>
        <v>3314109.1850000001</v>
      </c>
      <c r="G22" s="179">
        <f t="shared" ref="G22" si="68">G23+G24+G25</f>
        <v>4425993.5950000007</v>
      </c>
      <c r="H22" s="179">
        <f t="shared" ref="H22:I22" si="69">H23+H24+H25</f>
        <v>5923128.3415580653</v>
      </c>
      <c r="I22" s="179">
        <f t="shared" si="69"/>
        <v>7672204</v>
      </c>
      <c r="J22" s="179"/>
      <c r="K22" s="179">
        <f t="shared" ref="K22:Z22" si="70">K23+K24+K25</f>
        <v>389231.652</v>
      </c>
      <c r="L22" s="179">
        <f t="shared" si="70"/>
        <v>437040.34700000007</v>
      </c>
      <c r="M22" s="179">
        <f t="shared" si="70"/>
        <v>565864.06799999997</v>
      </c>
      <c r="N22" s="179">
        <f t="shared" si="70"/>
        <v>682964.61999999988</v>
      </c>
      <c r="O22" s="179">
        <f t="shared" si="70"/>
        <v>776828.01500000001</v>
      </c>
      <c r="P22" s="179">
        <f t="shared" si="70"/>
        <v>815420.3110000001</v>
      </c>
      <c r="Q22" s="179">
        <f t="shared" si="70"/>
        <v>788759.46700000006</v>
      </c>
      <c r="R22" s="179">
        <f t="shared" si="70"/>
        <v>933101.39199999999</v>
      </c>
      <c r="S22" s="179">
        <f t="shared" si="70"/>
        <v>955243.12400000007</v>
      </c>
      <c r="T22" s="179">
        <f t="shared" si="70"/>
        <v>1077571</v>
      </c>
      <c r="U22" s="179">
        <f t="shared" si="70"/>
        <v>1171423.60824</v>
      </c>
      <c r="V22" s="179">
        <f t="shared" si="70"/>
        <v>1221755.8627599999</v>
      </c>
      <c r="W22" s="179">
        <f t="shared" si="70"/>
        <v>1314608.115371532</v>
      </c>
      <c r="X22" s="179">
        <f t="shared" si="70"/>
        <v>1379180.54004253</v>
      </c>
      <c r="Y22" s="179">
        <f t="shared" si="70"/>
        <v>1552510.3355535718</v>
      </c>
      <c r="Z22" s="179">
        <f t="shared" si="70"/>
        <v>1676829.3505904321</v>
      </c>
      <c r="AA22" s="179">
        <f>AA23+AA24+AA25</f>
        <v>1701746.1</v>
      </c>
      <c r="AB22" s="179">
        <f>AB23+AB24+AB25</f>
        <v>1826202.7999999998</v>
      </c>
      <c r="AC22" s="179">
        <f>AC23+AC24+AC25</f>
        <v>1971836.4</v>
      </c>
      <c r="AD22" s="179">
        <f>AD23+AD24+AD25</f>
        <v>2172418.7000000002</v>
      </c>
      <c r="AF22" s="155">
        <f t="shared" si="62"/>
        <v>0.1017236014103402</v>
      </c>
      <c r="AG22" s="155">
        <f t="shared" si="63"/>
        <v>0.29555145205149524</v>
      </c>
    </row>
    <row r="23" spans="2:33" ht="13" customHeight="1">
      <c r="B23" s="60" t="str">
        <f>IF('Summary | Sumário'!D$6=Names!B$3,Names!AC31,Names!AD31)</f>
        <v>NII</v>
      </c>
      <c r="C23" s="174">
        <f>'6. NII'!C38</f>
        <v>591527</v>
      </c>
      <c r="D23" s="174">
        <f>'6. NII'!D38</f>
        <v>733280.89517999999</v>
      </c>
      <c r="E23" s="174">
        <f>'6. NII'!E38</f>
        <v>1614134.912</v>
      </c>
      <c r="F23" s="174">
        <f>'6. NII'!F38</f>
        <v>2435209.1850000001</v>
      </c>
      <c r="G23" s="174">
        <f>'6. NII'!G38</f>
        <v>3296796.9950000001</v>
      </c>
      <c r="H23" s="174">
        <f>'6. NII'!H38</f>
        <v>4456744.9342886657</v>
      </c>
      <c r="I23" s="174">
        <f>'6. NII'!I38</f>
        <v>6273819</v>
      </c>
      <c r="J23" s="179"/>
      <c r="K23" s="174">
        <f>'6. NII'!K38</f>
        <v>297457.33899999998</v>
      </c>
      <c r="L23" s="174">
        <f>'6. NII'!L38</f>
        <v>308984.34700000007</v>
      </c>
      <c r="M23" s="174">
        <f>'6. NII'!M38</f>
        <v>453160.88</v>
      </c>
      <c r="N23" s="174">
        <f>'6. NII'!N38</f>
        <v>554532.3459999999</v>
      </c>
      <c r="O23" s="174">
        <f>'6. NII'!O38</f>
        <v>560444.01500000001</v>
      </c>
      <c r="P23" s="174">
        <f>'6. NII'!P38</f>
        <v>586650.3110000001</v>
      </c>
      <c r="Q23" s="174">
        <f>'6. NII'!Q38</f>
        <v>586724.46700000006</v>
      </c>
      <c r="R23" s="174">
        <f>'6. NII'!R38</f>
        <v>701390.39199999999</v>
      </c>
      <c r="S23" s="174">
        <f>'6. NII'!S38</f>
        <v>726481.12400000007</v>
      </c>
      <c r="T23" s="174">
        <f>'6. NII'!T38</f>
        <v>828266</v>
      </c>
      <c r="U23" s="174">
        <f>'6. NII'!U38</f>
        <v>845216.10796000005</v>
      </c>
      <c r="V23" s="174">
        <f>'6. NII'!V38</f>
        <v>896833.76303999987</v>
      </c>
      <c r="W23" s="174">
        <f>'6. NII'!W38</f>
        <v>992420.72051999974</v>
      </c>
      <c r="X23" s="174">
        <f>'6. NII'!X38</f>
        <v>1041865.72580385</v>
      </c>
      <c r="Y23" s="174">
        <f>'6. NII'!Y38</f>
        <v>1164350.1315736331</v>
      </c>
      <c r="Z23" s="174">
        <f>'6. NII'!Z38</f>
        <v>1258108.3563911831</v>
      </c>
      <c r="AA23" s="174">
        <f>'6. NII'!AA38</f>
        <v>1362594.3</v>
      </c>
      <c r="AB23" s="174">
        <f>'6. NII'!AB38</f>
        <v>1469507</v>
      </c>
      <c r="AC23" s="174">
        <f>'6. NII'!AC38</f>
        <v>1622691</v>
      </c>
      <c r="AD23" s="174">
        <f>'6. NII'!AD38</f>
        <v>1819026.7</v>
      </c>
      <c r="AF23" s="156">
        <f t="shared" si="62"/>
        <v>0.12099389224442603</v>
      </c>
      <c r="AG23" s="156">
        <f t="shared" si="63"/>
        <v>0.44584263410965752</v>
      </c>
    </row>
    <row r="24" spans="2:33" ht="13" customHeight="1">
      <c r="B24" s="64" t="str">
        <f>IF('Summary | Sumário'!D$6=Names!B$3,Names!BF10,Names!BG10)</f>
        <v>Net result from services and commissions</v>
      </c>
      <c r="C24" s="179">
        <f>'7. Fee Revenue | R. de Serv '!C19</f>
        <v>120696.66099999999</v>
      </c>
      <c r="D24" s="179">
        <f>'7. Fee Revenue | R. de Serv '!D19</f>
        <v>278098</v>
      </c>
      <c r="E24" s="179">
        <f>'7. Fee Revenue | R. de Serv '!E19</f>
        <v>607687</v>
      </c>
      <c r="F24" s="179">
        <f>'7. Fee Revenue | R. de Serv '!F19</f>
        <v>1127488</v>
      </c>
      <c r="G24" s="179">
        <f>'7. Fee Revenue | R. de Serv '!G19</f>
        <v>1455780.6</v>
      </c>
      <c r="H24" s="179">
        <f>'7. Fee Revenue | R. de Serv '!H19</f>
        <v>1943420.8032693998</v>
      </c>
      <c r="I24" s="179">
        <f>'7. Fee Revenue | R. de Serv '!I19</f>
        <v>2127119</v>
      </c>
      <c r="J24" s="179"/>
      <c r="K24" s="179">
        <f>'7. Fee Revenue | R. de Serv '!K19</f>
        <v>119309</v>
      </c>
      <c r="L24" s="179">
        <f>'7. Fee Revenue | R. de Serv '!L19</f>
        <v>158429</v>
      </c>
      <c r="M24" s="179">
        <f>'7. Fee Revenue | R. de Serv '!M19</f>
        <v>153349</v>
      </c>
      <c r="N24" s="179">
        <f>'7. Fee Revenue | R. de Serv '!N19</f>
        <v>176600</v>
      </c>
      <c r="O24" s="179">
        <f>'7. Fee Revenue | R. de Serv '!O19</f>
        <v>273077</v>
      </c>
      <c r="P24" s="179">
        <f>'7. Fee Revenue | R. de Serv '!P19</f>
        <v>290370</v>
      </c>
      <c r="Q24" s="179">
        <f>'7. Fee Revenue | R. de Serv '!Q19</f>
        <v>263579</v>
      </c>
      <c r="R24" s="179">
        <f>'7. Fee Revenue | R. de Serv '!R19</f>
        <v>300462</v>
      </c>
      <c r="S24" s="179">
        <f>'7. Fee Revenue | R. de Serv '!S19</f>
        <v>297633</v>
      </c>
      <c r="T24" s="179">
        <f>'7. Fee Revenue | R. de Serv '!T19</f>
        <v>321768</v>
      </c>
      <c r="U24" s="179">
        <f>'7. Fee Revenue | R. de Serv '!U19</f>
        <v>420279.50028000004</v>
      </c>
      <c r="V24" s="179">
        <f>'7. Fee Revenue | R. de Serv '!V19</f>
        <v>416100.09971999994</v>
      </c>
      <c r="W24" s="179">
        <f>'7. Fee Revenue | R. de Serv '!W19</f>
        <v>408518.39485153224</v>
      </c>
      <c r="X24" s="179">
        <f>'7. Fee Revenue | R. de Serv '!X19</f>
        <v>436732.08523867995</v>
      </c>
      <c r="Y24" s="179">
        <f>'7. Fee Revenue | R. de Serv '!Y19</f>
        <v>511793.11297993874</v>
      </c>
      <c r="Z24" s="179">
        <f>'7. Fee Revenue | R. de Serv '!Z19</f>
        <v>586377.21019924898</v>
      </c>
      <c r="AA24" s="179">
        <f>'7. Fee Revenue | R. de Serv '!AA19</f>
        <v>475206.80000000005</v>
      </c>
      <c r="AB24" s="179">
        <f>'7. Fee Revenue | R. de Serv '!AB19</f>
        <v>533575.4</v>
      </c>
      <c r="AC24" s="179">
        <f>'7. Fee Revenue | R. de Serv '!AC19</f>
        <v>539473</v>
      </c>
      <c r="AD24" s="179">
        <f>'7. Fee Revenue | R. de Serv '!AD19</f>
        <v>578863.79999999993</v>
      </c>
      <c r="AF24" s="155">
        <f t="shared" si="62"/>
        <v>7.3017185290088493E-2</v>
      </c>
      <c r="AG24" s="155">
        <f t="shared" si="63"/>
        <v>-1.2813271164982765E-2</v>
      </c>
    </row>
    <row r="25" spans="2:33" ht="13" customHeight="1">
      <c r="B25" s="68" t="str">
        <f>IF('Summary | Sumário'!D$6=Names!B$3,Names!M16,Names!N16)</f>
        <v>Tax expenses</v>
      </c>
      <c r="C25" s="174">
        <f>'3. IS | DRE'!C20</f>
        <v>0</v>
      </c>
      <c r="D25" s="174">
        <f>'3. IS | DRE'!D20</f>
        <v>0</v>
      </c>
      <c r="E25" s="174">
        <f>'3. IS | DRE'!E20</f>
        <v>-146721.22500000001</v>
      </c>
      <c r="F25" s="174">
        <f>'3. IS | DRE'!F20</f>
        <v>-248588</v>
      </c>
      <c r="G25" s="174">
        <f>'3. IS | DRE'!G20</f>
        <v>-326584</v>
      </c>
      <c r="H25" s="174">
        <f>'3. IS | DRE'!H20</f>
        <v>-477037.39600000001</v>
      </c>
      <c r="I25" s="174">
        <f>'3. IS | DRE'!I20</f>
        <v>-728734</v>
      </c>
      <c r="J25" s="179"/>
      <c r="K25" s="174">
        <f>'3. IS | DRE'!K20</f>
        <v>-27534.687000000002</v>
      </c>
      <c r="L25" s="174">
        <f>'3. IS | DRE'!L20</f>
        <v>-30373</v>
      </c>
      <c r="M25" s="174">
        <f>'3. IS | DRE'!M20</f>
        <v>-40645.811999999998</v>
      </c>
      <c r="N25" s="174">
        <f>'3. IS | DRE'!N20</f>
        <v>-48167.726000000002</v>
      </c>
      <c r="O25" s="174">
        <f>'3. IS | DRE'!O20</f>
        <v>-56693</v>
      </c>
      <c r="P25" s="174">
        <f>'3. IS | DRE'!P20</f>
        <v>-61600</v>
      </c>
      <c r="Q25" s="174">
        <f>'3. IS | DRE'!Q20</f>
        <v>-61544</v>
      </c>
      <c r="R25" s="174">
        <f>'3. IS | DRE'!R20</f>
        <v>-68751</v>
      </c>
      <c r="S25" s="174">
        <f>'3. IS | DRE'!S20</f>
        <v>-68871</v>
      </c>
      <c r="T25" s="174">
        <f>'3. IS | DRE'!T20</f>
        <v>-72463</v>
      </c>
      <c r="U25" s="174">
        <f>'3. IS | DRE'!U20</f>
        <v>-94072</v>
      </c>
      <c r="V25" s="174">
        <f>'3. IS | DRE'!V20</f>
        <v>-91178</v>
      </c>
      <c r="W25" s="174">
        <f>'3. IS | DRE'!W20</f>
        <v>-86331</v>
      </c>
      <c r="X25" s="174">
        <f>'3. IS | DRE'!X20</f>
        <v>-99417.270999999993</v>
      </c>
      <c r="Y25" s="174">
        <f>'3. IS | DRE'!Y20</f>
        <v>-123632.909</v>
      </c>
      <c r="Z25" s="174">
        <f>'3. IS | DRE'!Z20</f>
        <v>-167656.21600000001</v>
      </c>
      <c r="AA25" s="174">
        <f>'3. IS | DRE'!AA20</f>
        <v>-136055</v>
      </c>
      <c r="AB25" s="174">
        <f>'3. IS | DRE'!AB20</f>
        <v>-176879.6</v>
      </c>
      <c r="AC25" s="174">
        <f>'3. IS | DRE'!AC20</f>
        <v>-190327.6</v>
      </c>
      <c r="AD25" s="174">
        <f>'3. IS | DRE'!AD20</f>
        <v>-225471.80000000005</v>
      </c>
      <c r="AF25" s="341">
        <f t="shared" si="62"/>
        <v>0.18465109632023968</v>
      </c>
      <c r="AG25" s="341">
        <f t="shared" si="63"/>
        <v>0.34484605092124965</v>
      </c>
    </row>
    <row r="26" spans="2:33" ht="13" customHeight="1">
      <c r="B26" s="287" t="str">
        <f>IF('Summary | Sumário'!D$6=Names!B$3,Names!BF53,Names!BG53)</f>
        <v>Efficiency ratio - including tax expenses from interest on own capital (%)</v>
      </c>
      <c r="C26" s="301">
        <f t="shared" ref="C26:H26" si="71">C18/C22</f>
        <v>0.80448043413149117</v>
      </c>
      <c r="D26" s="301">
        <f t="shared" si="71"/>
        <v>0.90379777979974207</v>
      </c>
      <c r="E26" s="301">
        <f t="shared" si="71"/>
        <v>0.82011360010696199</v>
      </c>
      <c r="F26" s="301">
        <f t="shared" si="71"/>
        <v>0.72178098742996</v>
      </c>
      <c r="G26" s="301">
        <f t="shared" si="71"/>
        <v>0.54508144854195151</v>
      </c>
      <c r="H26" s="301">
        <f t="shared" si="71"/>
        <v>0.49224759601157758</v>
      </c>
      <c r="I26" s="301">
        <f t="shared" ref="I26" si="72">I18/I22</f>
        <v>0.47335341969530531</v>
      </c>
      <c r="J26" s="327"/>
      <c r="K26" s="301">
        <f t="shared" ref="K26:Z26" si="73">K18/K22</f>
        <v>0.8224467649408943</v>
      </c>
      <c r="L26" s="301">
        <f t="shared" si="73"/>
        <v>0.8949860183046211</v>
      </c>
      <c r="M26" s="301">
        <f t="shared" si="73"/>
        <v>0.68477256272790943</v>
      </c>
      <c r="N26" s="301">
        <f t="shared" si="73"/>
        <v>0.88300737159708231</v>
      </c>
      <c r="O26" s="301">
        <f t="shared" si="73"/>
        <v>0.71882577509772227</v>
      </c>
      <c r="P26" s="301">
        <f t="shared" si="73"/>
        <v>0.68258662740128873</v>
      </c>
      <c r="Q26" s="301">
        <f t="shared" si="73"/>
        <v>0.75028956831525417</v>
      </c>
      <c r="R26" s="301">
        <f t="shared" si="73"/>
        <v>0.73439393175827561</v>
      </c>
      <c r="S26" s="301">
        <f t="shared" si="73"/>
        <v>0.62351037661067732</v>
      </c>
      <c r="T26" s="301">
        <f t="shared" si="73"/>
        <v>0.53383674950420901</v>
      </c>
      <c r="U26" s="301">
        <f t="shared" si="73"/>
        <v>0.52425868462963221</v>
      </c>
      <c r="V26" s="301">
        <f t="shared" si="73"/>
        <v>0.51364353479126668</v>
      </c>
      <c r="W26" s="301">
        <f t="shared" si="73"/>
        <v>0.47740995408553893</v>
      </c>
      <c r="X26" s="301">
        <f t="shared" si="73"/>
        <v>0.47859484625533166</v>
      </c>
      <c r="Y26" s="301">
        <f t="shared" si="73"/>
        <v>0.50700442145484115</v>
      </c>
      <c r="Z26" s="301">
        <f t="shared" si="73"/>
        <v>0.50144660439294553</v>
      </c>
      <c r="AA26" s="301">
        <f t="shared" ref="AA26:AB26" si="74">AA18/AA22</f>
        <v>0.48803860928489862</v>
      </c>
      <c r="AB26" s="301">
        <f t="shared" si="74"/>
        <v>0.47827415443673621</v>
      </c>
      <c r="AC26" s="301">
        <f t="shared" ref="AC26" si="75">AC18/AC22</f>
        <v>0.46307847851880612</v>
      </c>
      <c r="AD26" s="301">
        <f>AD18/AD22</f>
        <v>0.46703961809940231</v>
      </c>
      <c r="AF26" s="682">
        <f>(AD26-AC26)*100</f>
        <v>0.39611395805961847</v>
      </c>
      <c r="AG26" s="682">
        <f>(AD26-Z26)*100</f>
        <v>-3.4406986293543218</v>
      </c>
    </row>
  </sheetData>
  <sheetProtection algorithmName="SHA-512" hashValue="YcASkdQhlSaRAXu2jFt6HCxSdbtXDDQ3lg7DG+z02vnGdbde2Y+5nQmp9vk9bKQ+2SbTIZgw934+gM26e+SwVA==" saltValue="0li75xM1kQO+4g8nZRcEc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2580-4A49-9F41-9F25-BAA2BA64A1E3}">
  <sheetPr codeName="Sheet17">
    <tabColor rgb="FFF7CAB0"/>
  </sheetPr>
  <dimension ref="A1:AL31"/>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6" width="10.83203125" style="117" customWidth="1"/>
    <col min="7" max="9" width="10.83203125" style="117"/>
    <col min="10" max="10" width="3.83203125" style="116" customWidth="1"/>
    <col min="11" max="19" width="10.83203125" style="117" customWidth="1"/>
    <col min="20" max="26" width="10.83203125" style="117"/>
    <col min="27" max="30" width="10.83203125" style="116"/>
    <col min="31" max="31" width="5.83203125" style="116" customWidth="1"/>
    <col min="32" max="16384" width="10.83203125" style="116"/>
  </cols>
  <sheetData>
    <row r="1" spans="2:37" ht="13" customHeight="1">
      <c r="J1" s="117"/>
      <c r="AA1" s="117"/>
      <c r="AB1" s="117"/>
      <c r="AC1" s="117"/>
      <c r="AD1" s="117"/>
      <c r="AE1" s="117"/>
      <c r="AF1" s="117"/>
      <c r="AG1" s="117"/>
      <c r="AH1" s="117"/>
    </row>
    <row r="2" spans="2:37" s="10" customFormat="1" ht="13" customHeight="1">
      <c r="B2" s="267" t="str">
        <f>IF('Summary | Sumário'!D$6=Names!B$3,Names!AP1,Names!AQ1)</f>
        <v>Monthly Cost-to-serve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27"/>
      <c r="K3" s="152"/>
      <c r="L3" s="152"/>
      <c r="M3" s="152"/>
      <c r="N3" s="152"/>
      <c r="O3" s="152"/>
      <c r="P3" s="152"/>
      <c r="Q3" s="152"/>
      <c r="R3" s="152"/>
      <c r="S3" s="152"/>
      <c r="T3" s="152"/>
      <c r="U3" s="152"/>
      <c r="V3" s="152"/>
      <c r="W3" s="152"/>
      <c r="X3" s="152"/>
      <c r="Y3" s="152"/>
      <c r="Z3" s="152"/>
      <c r="AA3" s="127"/>
      <c r="AB3" s="127"/>
      <c r="AC3" s="127"/>
      <c r="AD3" s="127"/>
      <c r="AE3" s="127"/>
      <c r="AF3" s="127"/>
      <c r="AG3" s="127"/>
      <c r="AH3" s="127"/>
    </row>
    <row r="4" spans="2:37" ht="13" customHeight="1">
      <c r="B4" s="3" t="str">
        <f>IF('Summary | Sumário'!D$6=Names!B$3,Names!AP3,Names!AQ3)</f>
        <v>Cost-to-serve</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row>
    <row r="5" spans="2:37" ht="13" customHeight="1">
      <c r="B5" s="288" t="str">
        <f>IF('Summary | Sumário'!D$6=Names!B$3,Names!AP4,Names!AQ4)</f>
        <v>Monthly average of cost-to-serve</v>
      </c>
      <c r="C5" s="289">
        <f>C6/12</f>
        <v>47747.5</v>
      </c>
      <c r="D5" s="289">
        <f t="shared" ref="D5:I5" si="0">D6/12</f>
        <v>76173.5</v>
      </c>
      <c r="E5" s="289">
        <f t="shared" si="0"/>
        <v>141818.19125</v>
      </c>
      <c r="F5" s="289">
        <f t="shared" si="0"/>
        <v>199338.41666666666</v>
      </c>
      <c r="G5" s="289">
        <f t="shared" si="0"/>
        <v>201043.91666666666</v>
      </c>
      <c r="H5" s="289">
        <f t="shared" si="0"/>
        <v>242970.47391666667</v>
      </c>
      <c r="I5" s="289">
        <f t="shared" si="0"/>
        <v>302638.66666666669</v>
      </c>
      <c r="J5" s="179"/>
      <c r="K5" s="289">
        <f>K6/3</f>
        <v>106707.43766666665</v>
      </c>
      <c r="L5" s="289">
        <f t="shared" ref="L5:AD5" si="1">L6/3</f>
        <v>130381.66666666667</v>
      </c>
      <c r="M5" s="289">
        <f t="shared" si="1"/>
        <v>129162.72933333332</v>
      </c>
      <c r="N5" s="289">
        <f t="shared" si="1"/>
        <v>201020.93133333334</v>
      </c>
      <c r="O5" s="289">
        <f t="shared" si="1"/>
        <v>186134.66666666666</v>
      </c>
      <c r="P5" s="289">
        <f t="shared" si="1"/>
        <v>185531.66666666666</v>
      </c>
      <c r="Q5" s="289">
        <f t="shared" si="1"/>
        <v>197266</v>
      </c>
      <c r="R5" s="289">
        <f t="shared" si="1"/>
        <v>228421.33333333334</v>
      </c>
      <c r="S5" s="289">
        <f t="shared" si="1"/>
        <v>198534.66666666666</v>
      </c>
      <c r="T5" s="289">
        <f t="shared" si="1"/>
        <v>191749</v>
      </c>
      <c r="U5" s="289">
        <f t="shared" si="1"/>
        <v>204709.66666666666</v>
      </c>
      <c r="V5" s="289">
        <f t="shared" si="1"/>
        <v>209182.33333333334</v>
      </c>
      <c r="W5" s="289">
        <f t="shared" si="1"/>
        <v>209202.33333333334</v>
      </c>
      <c r="X5" s="289">
        <f t="shared" si="1"/>
        <v>220022.89950666667</v>
      </c>
      <c r="Y5" s="289">
        <f t="shared" si="1"/>
        <v>262376.53482666664</v>
      </c>
      <c r="Z5" s="289">
        <f t="shared" si="1"/>
        <v>280280.12800000003</v>
      </c>
      <c r="AA5" s="289">
        <f t="shared" si="1"/>
        <v>276839.26666666666</v>
      </c>
      <c r="AB5" s="289">
        <f t="shared" si="1"/>
        <v>291141.86666666664</v>
      </c>
      <c r="AC5" s="289">
        <f t="shared" si="1"/>
        <v>304371.66666666669</v>
      </c>
      <c r="AD5" s="289">
        <f t="shared" si="1"/>
        <v>338201.8666666667</v>
      </c>
      <c r="AE5" s="179"/>
      <c r="AF5" s="348">
        <f t="shared" ref="AF5:AF13" si="2">AD5/AC5-1</f>
        <v>0.11114766486149064</v>
      </c>
      <c r="AG5" s="348">
        <f t="shared" ref="AG5:AG13" si="3">AD5/Z5-1</f>
        <v>0.20665660130805508</v>
      </c>
    </row>
    <row r="6" spans="2:37" ht="13" customHeight="1">
      <c r="B6" s="54" t="str">
        <f>IF('Summary | Sumário'!D$6=Names!B$3,Names!AP5,Names!AQ5)</f>
        <v>Total cost-to-serve</v>
      </c>
      <c r="C6" s="179">
        <f t="shared" ref="C6:H6" si="4">SUM(C7:C9)</f>
        <v>572970</v>
      </c>
      <c r="D6" s="179">
        <f t="shared" si="4"/>
        <v>914082</v>
      </c>
      <c r="E6" s="179">
        <f t="shared" si="4"/>
        <v>1701818.2949999999</v>
      </c>
      <c r="F6" s="179">
        <f t="shared" si="4"/>
        <v>2392061</v>
      </c>
      <c r="G6" s="179">
        <f t="shared" si="4"/>
        <v>2412527</v>
      </c>
      <c r="H6" s="179">
        <f t="shared" si="4"/>
        <v>2915645.6869999999</v>
      </c>
      <c r="I6" s="179">
        <f t="shared" ref="I6" si="5">SUM(I7:I9)</f>
        <v>3631664</v>
      </c>
      <c r="J6" s="179"/>
      <c r="K6" s="179">
        <f t="shared" ref="K6:AA6" si="6">SUM(K7:K9)</f>
        <v>320122.31299999997</v>
      </c>
      <c r="L6" s="179">
        <f t="shared" si="6"/>
        <v>391145</v>
      </c>
      <c r="M6" s="179">
        <f t="shared" si="6"/>
        <v>387488.18799999997</v>
      </c>
      <c r="N6" s="179">
        <f t="shared" si="6"/>
        <v>603062.79399999999</v>
      </c>
      <c r="O6" s="179">
        <f t="shared" si="6"/>
        <v>558404</v>
      </c>
      <c r="P6" s="179">
        <f t="shared" si="6"/>
        <v>556595</v>
      </c>
      <c r="Q6" s="179">
        <f t="shared" si="6"/>
        <v>591798</v>
      </c>
      <c r="R6" s="179">
        <f t="shared" si="6"/>
        <v>685264</v>
      </c>
      <c r="S6" s="179">
        <f t="shared" si="6"/>
        <v>595604</v>
      </c>
      <c r="T6" s="179">
        <f t="shared" si="6"/>
        <v>575247</v>
      </c>
      <c r="U6" s="179">
        <f t="shared" si="6"/>
        <v>614129</v>
      </c>
      <c r="V6" s="179">
        <f t="shared" si="6"/>
        <v>627547</v>
      </c>
      <c r="W6" s="179">
        <f t="shared" si="6"/>
        <v>627607</v>
      </c>
      <c r="X6" s="179">
        <f t="shared" si="6"/>
        <v>660068.69851999998</v>
      </c>
      <c r="Y6" s="179">
        <f t="shared" si="6"/>
        <v>787129.60447999998</v>
      </c>
      <c r="Z6" s="179">
        <f t="shared" si="6"/>
        <v>840840.38400000008</v>
      </c>
      <c r="AA6" s="179">
        <f t="shared" si="6"/>
        <v>830517.8</v>
      </c>
      <c r="AB6" s="179">
        <f t="shared" ref="AB6:AC6" si="7">SUM(AB7:AB9)</f>
        <v>873425.6</v>
      </c>
      <c r="AC6" s="179">
        <f t="shared" si="7"/>
        <v>913115</v>
      </c>
      <c r="AD6" s="179">
        <f t="shared" ref="AD6" si="8">SUM(AD7:AD9)</f>
        <v>1014605.6000000001</v>
      </c>
      <c r="AE6" s="179"/>
      <c r="AF6" s="349">
        <f t="shared" si="2"/>
        <v>0.11114766486149064</v>
      </c>
      <c r="AG6" s="349">
        <f t="shared" si="3"/>
        <v>0.20665660130805508</v>
      </c>
    </row>
    <row r="7" spans="2:37" ht="13" customHeight="1">
      <c r="B7" s="67" t="str">
        <f>IF('Summary | Sumário'!D$6=Names!B$3,Names!AP6,Names!AQ6)</f>
        <v>Personnel expenses</v>
      </c>
      <c r="C7" s="174">
        <v>169198</v>
      </c>
      <c r="D7" s="174">
        <v>229096</v>
      </c>
      <c r="E7" s="174">
        <v>443328</v>
      </c>
      <c r="F7" s="174">
        <v>733605</v>
      </c>
      <c r="G7" s="174">
        <v>790739</v>
      </c>
      <c r="H7" s="174">
        <v>937761.13</v>
      </c>
      <c r="I7" s="174">
        <v>1090333</v>
      </c>
      <c r="J7" s="179"/>
      <c r="K7" s="174">
        <v>81861</v>
      </c>
      <c r="L7" s="174">
        <v>93046</v>
      </c>
      <c r="M7" s="174">
        <v>121250</v>
      </c>
      <c r="N7" s="174">
        <v>147171</v>
      </c>
      <c r="O7" s="174">
        <v>145120</v>
      </c>
      <c r="P7" s="174">
        <v>172466</v>
      </c>
      <c r="Q7" s="174">
        <v>176232</v>
      </c>
      <c r="R7" s="174">
        <v>239787</v>
      </c>
      <c r="S7" s="174">
        <v>172412</v>
      </c>
      <c r="T7" s="174">
        <v>186249</v>
      </c>
      <c r="U7" s="174">
        <v>210661</v>
      </c>
      <c r="V7" s="174">
        <v>221417</v>
      </c>
      <c r="W7" s="174">
        <v>190463</v>
      </c>
      <c r="X7" s="174">
        <v>204206.56551999997</v>
      </c>
      <c r="Y7" s="174">
        <v>258954.60447999998</v>
      </c>
      <c r="Z7" s="174">
        <v>284136.96000000008</v>
      </c>
      <c r="AA7" s="174">
        <v>234873.2</v>
      </c>
      <c r="AB7" s="174">
        <v>256765</v>
      </c>
      <c r="AC7" s="174">
        <v>285248</v>
      </c>
      <c r="AD7" s="174">
        <v>313446.80000000005</v>
      </c>
      <c r="AE7" s="179"/>
      <c r="AF7" s="350">
        <f t="shared" si="2"/>
        <v>9.8857134844065664E-2</v>
      </c>
      <c r="AG7" s="350">
        <f t="shared" si="3"/>
        <v>0.10315391563279896</v>
      </c>
    </row>
    <row r="8" spans="2:37" ht="13" customHeight="1">
      <c r="B8" s="62" t="str">
        <f>IF('Summary | Sumário'!D$6=Names!B$3,Names!AP7,Names!AQ7)</f>
        <v>Administrative expenses</v>
      </c>
      <c r="C8" s="179">
        <v>386309</v>
      </c>
      <c r="D8" s="179">
        <v>641327</v>
      </c>
      <c r="E8" s="179">
        <v>1164239.7749999999</v>
      </c>
      <c r="F8" s="179">
        <v>1494484</v>
      </c>
      <c r="G8" s="179">
        <v>1461348</v>
      </c>
      <c r="H8" s="179">
        <v>1769055.128</v>
      </c>
      <c r="I8" s="179">
        <v>2200604</v>
      </c>
      <c r="J8" s="179"/>
      <c r="K8" s="179">
        <v>219095.31299999999</v>
      </c>
      <c r="L8" s="179">
        <v>272761</v>
      </c>
      <c r="M8" s="179">
        <v>235355.18799999999</v>
      </c>
      <c r="N8" s="179">
        <v>437028.27399999998</v>
      </c>
      <c r="O8" s="179">
        <v>376806</v>
      </c>
      <c r="P8" s="179">
        <v>348618</v>
      </c>
      <c r="Q8" s="179">
        <v>379946</v>
      </c>
      <c r="R8" s="179">
        <v>389114</v>
      </c>
      <c r="S8" s="179">
        <v>385615</v>
      </c>
      <c r="T8" s="179">
        <v>347868</v>
      </c>
      <c r="U8" s="179">
        <v>362877</v>
      </c>
      <c r="V8" s="179">
        <v>364988</v>
      </c>
      <c r="W8" s="179">
        <v>395244</v>
      </c>
      <c r="X8" s="179">
        <v>402827.25400000002</v>
      </c>
      <c r="Y8" s="179">
        <v>474826</v>
      </c>
      <c r="Z8" s="179">
        <v>496157.87400000007</v>
      </c>
      <c r="AA8" s="179">
        <v>528199.6</v>
      </c>
      <c r="AB8" s="179">
        <v>540029.6</v>
      </c>
      <c r="AC8" s="179">
        <v>543343</v>
      </c>
      <c r="AD8" s="179">
        <v>589031.80000000005</v>
      </c>
      <c r="AE8" s="179"/>
      <c r="AF8" s="349">
        <f t="shared" si="2"/>
        <v>8.408831990105714E-2</v>
      </c>
      <c r="AG8" s="349">
        <f t="shared" si="3"/>
        <v>0.18718623822545633</v>
      </c>
    </row>
    <row r="9" spans="2:37" ht="13" customHeight="1">
      <c r="B9" s="67" t="str">
        <f>IF('Summary | Sumário'!D$6=Names!B$3,Names!AP8,Names!AQ8)</f>
        <v>Depreciation and amortization</v>
      </c>
      <c r="C9" s="174">
        <v>17463</v>
      </c>
      <c r="D9" s="174">
        <v>43659</v>
      </c>
      <c r="E9" s="174">
        <v>94250.52</v>
      </c>
      <c r="F9" s="174">
        <v>163972</v>
      </c>
      <c r="G9" s="174">
        <v>160440</v>
      </c>
      <c r="H9" s="174">
        <v>208829.429</v>
      </c>
      <c r="I9" s="174">
        <v>340727</v>
      </c>
      <c r="J9" s="179"/>
      <c r="K9" s="174">
        <v>19166</v>
      </c>
      <c r="L9" s="174">
        <v>25338</v>
      </c>
      <c r="M9" s="174">
        <v>30883</v>
      </c>
      <c r="N9" s="174">
        <v>18863.520000000004</v>
      </c>
      <c r="O9" s="174">
        <v>36478</v>
      </c>
      <c r="P9" s="174">
        <v>35511</v>
      </c>
      <c r="Q9" s="174">
        <v>35620</v>
      </c>
      <c r="R9" s="174">
        <v>56363</v>
      </c>
      <c r="S9" s="174">
        <v>37577</v>
      </c>
      <c r="T9" s="174">
        <v>41130</v>
      </c>
      <c r="U9" s="174">
        <v>40591</v>
      </c>
      <c r="V9" s="174">
        <v>41142</v>
      </c>
      <c r="W9" s="174">
        <v>41900</v>
      </c>
      <c r="X9" s="174">
        <v>53034.879000000001</v>
      </c>
      <c r="Y9" s="174">
        <v>53349</v>
      </c>
      <c r="Z9" s="174">
        <v>60545.549999999988</v>
      </c>
      <c r="AA9" s="174">
        <v>67445</v>
      </c>
      <c r="AB9" s="174">
        <v>76631</v>
      </c>
      <c r="AC9" s="174">
        <v>84524</v>
      </c>
      <c r="AD9" s="174">
        <v>112127</v>
      </c>
      <c r="AE9" s="179"/>
      <c r="AF9" s="350">
        <f t="shared" si="2"/>
        <v>0.3265699682930292</v>
      </c>
      <c r="AG9" s="350">
        <f t="shared" si="3"/>
        <v>0.85194452771508433</v>
      </c>
    </row>
    <row r="10" spans="2:37" ht="13" customHeight="1">
      <c r="B10" s="51" t="str">
        <f>IF('Summary | Sumário'!D$6=Names!B$3,Names!AP10,Names!AQ10)</f>
        <v>(÷) Average active clients</v>
      </c>
      <c r="C10" s="179">
        <f>C11</f>
        <v>2282.6979999999999</v>
      </c>
      <c r="D10" s="179">
        <f>AVERAGE(C11:D11)</f>
        <v>3767.4889999999996</v>
      </c>
      <c r="E10" s="179">
        <f t="shared" ref="E10:I10" si="9">AVERAGE(D11:E11)</f>
        <v>7039.3045000000002</v>
      </c>
      <c r="F10" s="179">
        <f t="shared" si="9"/>
        <v>10705.3665</v>
      </c>
      <c r="G10" s="179">
        <f t="shared" si="9"/>
        <v>14494.899000000001</v>
      </c>
      <c r="H10" s="179">
        <f t="shared" si="9"/>
        <v>18483.565000000002</v>
      </c>
      <c r="I10" s="179">
        <f t="shared" si="9"/>
        <v>22773.1165</v>
      </c>
      <c r="J10" s="179"/>
      <c r="K10" s="179">
        <f>AVERAGE(K11,D11)</f>
        <v>5692.4650000000001</v>
      </c>
      <c r="L10" s="179">
        <f>AVERAGE(K11:L11)</f>
        <v>6597.8119999999999</v>
      </c>
      <c r="M10" s="179">
        <f t="shared" ref="M10:AD10" si="10">AVERAGE(L11:M11)</f>
        <v>7514.7129999999997</v>
      </c>
      <c r="N10" s="179">
        <f t="shared" si="10"/>
        <v>8396.3904999999995</v>
      </c>
      <c r="O10" s="179">
        <f t="shared" si="10"/>
        <v>9358.8734999999997</v>
      </c>
      <c r="P10" s="179">
        <f t="shared" si="10"/>
        <v>10303.8135</v>
      </c>
      <c r="Q10" s="179">
        <f t="shared" si="10"/>
        <v>11182.7415</v>
      </c>
      <c r="R10" s="179">
        <f t="shared" si="10"/>
        <v>12116.839</v>
      </c>
      <c r="S10" s="179">
        <f t="shared" si="10"/>
        <v>13062.486000000001</v>
      </c>
      <c r="T10" s="179">
        <f t="shared" si="10"/>
        <v>14017.737499999999</v>
      </c>
      <c r="U10" s="179">
        <f t="shared" si="10"/>
        <v>14984.0635</v>
      </c>
      <c r="V10" s="179">
        <f t="shared" si="10"/>
        <v>15939.307000000001</v>
      </c>
      <c r="W10" s="179">
        <f t="shared" si="10"/>
        <v>16909.548000000003</v>
      </c>
      <c r="X10" s="179">
        <f t="shared" si="10"/>
        <v>17907.845500000003</v>
      </c>
      <c r="Y10" s="179">
        <f t="shared" si="10"/>
        <v>18970.246500000001</v>
      </c>
      <c r="Z10" s="179">
        <f t="shared" si="10"/>
        <v>20050.120000000003</v>
      </c>
      <c r="AA10" s="179">
        <f t="shared" si="10"/>
        <v>21070.289000000001</v>
      </c>
      <c r="AB10" s="179">
        <f t="shared" si="10"/>
        <v>22144.881999999998</v>
      </c>
      <c r="AC10" s="179">
        <f t="shared" si="10"/>
        <v>23318.665999999997</v>
      </c>
      <c r="AD10" s="179">
        <f t="shared" si="10"/>
        <v>24455.4535</v>
      </c>
      <c r="AE10" s="179"/>
      <c r="AF10" s="349">
        <f t="shared" si="2"/>
        <v>4.8750108603982767E-2</v>
      </c>
      <c r="AG10" s="349">
        <f t="shared" si="3"/>
        <v>0.2197160665372575</v>
      </c>
    </row>
    <row r="11" spans="2:37" ht="13" customHeight="1">
      <c r="B11" s="60" t="str">
        <f>IF('Summary | Sumário'!D$6=Names!B$3,Names!AP11,Names!AQ11)</f>
        <v>Active clients</v>
      </c>
      <c r="C11" s="174">
        <v>2282.6979999999999</v>
      </c>
      <c r="D11" s="174">
        <v>5252.28</v>
      </c>
      <c r="E11" s="174">
        <v>8826.3289999999997</v>
      </c>
      <c r="F11" s="174">
        <v>12584.404</v>
      </c>
      <c r="G11" s="174">
        <f>V11</f>
        <v>16405.394</v>
      </c>
      <c r="H11" s="174">
        <f>Z11</f>
        <v>20561.736000000001</v>
      </c>
      <c r="I11" s="174">
        <f>AD11</f>
        <v>24984.496999999999</v>
      </c>
      <c r="J11" s="179"/>
      <c r="K11" s="174">
        <v>6132.65</v>
      </c>
      <c r="L11" s="174">
        <v>7062.9740000000002</v>
      </c>
      <c r="M11" s="174">
        <v>7966.4520000000002</v>
      </c>
      <c r="N11" s="174">
        <v>8826.3289999999997</v>
      </c>
      <c r="O11" s="174">
        <v>9891.4179999999997</v>
      </c>
      <c r="P11" s="174">
        <v>10716.209000000001</v>
      </c>
      <c r="Q11" s="174">
        <v>11649.273999999999</v>
      </c>
      <c r="R11" s="174">
        <v>12584.404</v>
      </c>
      <c r="S11" s="174">
        <v>13540.567999999999</v>
      </c>
      <c r="T11" s="174">
        <v>14494.906999999999</v>
      </c>
      <c r="U11" s="174">
        <v>15473.22</v>
      </c>
      <c r="V11" s="174">
        <v>16405.394</v>
      </c>
      <c r="W11" s="174">
        <v>17413.702000000001</v>
      </c>
      <c r="X11" s="174">
        <v>18401.989000000001</v>
      </c>
      <c r="Y11" s="174">
        <v>19538.504000000001</v>
      </c>
      <c r="Z11" s="174">
        <v>20561.736000000001</v>
      </c>
      <c r="AA11" s="174">
        <v>21578.842000000001</v>
      </c>
      <c r="AB11" s="174">
        <v>22710.921999999999</v>
      </c>
      <c r="AC11" s="174">
        <v>23926.41</v>
      </c>
      <c r="AD11" s="174">
        <v>24984.496999999999</v>
      </c>
      <c r="AE11" s="179"/>
      <c r="AF11" s="350">
        <f t="shared" si="2"/>
        <v>4.4222555744886094E-2</v>
      </c>
      <c r="AG11" s="350">
        <f t="shared" si="3"/>
        <v>0.21509667277120958</v>
      </c>
    </row>
    <row r="12" spans="2:37" ht="13" customHeight="1">
      <c r="B12" s="55" t="str">
        <f>IF('Summary | Sumário'!D$6=Names!B$3,Names!AP12,Names!AQ12)</f>
        <v>Active clients in the previous period</v>
      </c>
      <c r="C12" s="179">
        <f>C11</f>
        <v>2282.6979999999999</v>
      </c>
      <c r="D12" s="179">
        <f>C12</f>
        <v>2282.6979999999999</v>
      </c>
      <c r="E12" s="179">
        <f>D11</f>
        <v>5252.28</v>
      </c>
      <c r="F12" s="179">
        <f t="shared" ref="F12:AD12" si="11">E11</f>
        <v>8826.3289999999997</v>
      </c>
      <c r="G12" s="179">
        <f t="shared" si="11"/>
        <v>12584.404</v>
      </c>
      <c r="H12" s="179">
        <f t="shared" si="11"/>
        <v>16405.394</v>
      </c>
      <c r="I12" s="179">
        <f t="shared" si="11"/>
        <v>20561.736000000001</v>
      </c>
      <c r="J12" s="179"/>
      <c r="K12" s="179">
        <f>D11</f>
        <v>5252.28</v>
      </c>
      <c r="L12" s="179">
        <f t="shared" si="11"/>
        <v>6132.65</v>
      </c>
      <c r="M12" s="179">
        <f t="shared" si="11"/>
        <v>7062.9740000000002</v>
      </c>
      <c r="N12" s="179">
        <f t="shared" si="11"/>
        <v>7966.4520000000002</v>
      </c>
      <c r="O12" s="179">
        <f t="shared" si="11"/>
        <v>8826.3289999999997</v>
      </c>
      <c r="P12" s="179">
        <f t="shared" si="11"/>
        <v>9891.4179999999997</v>
      </c>
      <c r="Q12" s="179">
        <f t="shared" si="11"/>
        <v>10716.209000000001</v>
      </c>
      <c r="R12" s="179">
        <f t="shared" si="11"/>
        <v>11649.273999999999</v>
      </c>
      <c r="S12" s="179">
        <f t="shared" si="11"/>
        <v>12584.404</v>
      </c>
      <c r="T12" s="179">
        <f t="shared" si="11"/>
        <v>13540.567999999999</v>
      </c>
      <c r="U12" s="179">
        <f t="shared" si="11"/>
        <v>14494.906999999999</v>
      </c>
      <c r="V12" s="179">
        <f t="shared" si="11"/>
        <v>15473.22</v>
      </c>
      <c r="W12" s="179">
        <f t="shared" si="11"/>
        <v>16405.394</v>
      </c>
      <c r="X12" s="179">
        <f t="shared" si="11"/>
        <v>17413.702000000001</v>
      </c>
      <c r="Y12" s="179">
        <f t="shared" si="11"/>
        <v>18401.989000000001</v>
      </c>
      <c r="Z12" s="179">
        <f t="shared" si="11"/>
        <v>19538.504000000001</v>
      </c>
      <c r="AA12" s="179">
        <f t="shared" si="11"/>
        <v>20561.736000000001</v>
      </c>
      <c r="AB12" s="179">
        <f t="shared" si="11"/>
        <v>21578.842000000001</v>
      </c>
      <c r="AC12" s="179">
        <f t="shared" si="11"/>
        <v>22710.921999999999</v>
      </c>
      <c r="AD12" s="179">
        <f t="shared" si="11"/>
        <v>23926.41</v>
      </c>
      <c r="AE12" s="179"/>
      <c r="AF12" s="349">
        <f t="shared" si="2"/>
        <v>5.3519975983361778E-2</v>
      </c>
      <c r="AG12" s="349">
        <f t="shared" si="3"/>
        <v>0.22457737808380829</v>
      </c>
    </row>
    <row r="13" spans="2:37" ht="13" customHeight="1">
      <c r="B13" s="286" t="str">
        <f>IF('Summary | Sumário'!D$6=Names!B$3,Names!AP13,Names!AQ13)</f>
        <v>Cost-to-serve (R$)</v>
      </c>
      <c r="C13" s="531">
        <f t="shared" ref="C13:H13" si="12">C5/C10</f>
        <v>20.917134022985081</v>
      </c>
      <c r="D13" s="531">
        <f t="shared" si="12"/>
        <v>20.21863899270841</v>
      </c>
      <c r="E13" s="531">
        <f t="shared" si="12"/>
        <v>20.146619776144078</v>
      </c>
      <c r="F13" s="531">
        <f t="shared" si="12"/>
        <v>18.620419643425254</v>
      </c>
      <c r="G13" s="531">
        <f t="shared" si="12"/>
        <v>13.869977063425322</v>
      </c>
      <c r="H13" s="531">
        <f t="shared" si="12"/>
        <v>13.145217057243375</v>
      </c>
      <c r="I13" s="531">
        <f t="shared" ref="I13" si="13">I5/I10</f>
        <v>13.289295150563458</v>
      </c>
      <c r="J13" s="328"/>
      <c r="K13" s="531">
        <f t="shared" ref="K13:AA13" si="14">K5/K10</f>
        <v>18.745383180514356</v>
      </c>
      <c r="L13" s="531">
        <f t="shared" si="14"/>
        <v>19.761349166461045</v>
      </c>
      <c r="M13" s="531">
        <f t="shared" si="14"/>
        <v>17.187979013081847</v>
      </c>
      <c r="N13" s="531">
        <f t="shared" si="14"/>
        <v>23.941350909457267</v>
      </c>
      <c r="O13" s="531">
        <f t="shared" si="14"/>
        <v>19.888575977297553</v>
      </c>
      <c r="P13" s="531">
        <f t="shared" si="14"/>
        <v>18.006116537985346</v>
      </c>
      <c r="Q13" s="531">
        <f t="shared" si="14"/>
        <v>17.640218187999785</v>
      </c>
      <c r="R13" s="531">
        <f t="shared" si="14"/>
        <v>18.851561313419559</v>
      </c>
      <c r="S13" s="531">
        <f t="shared" si="14"/>
        <v>15.198842445968298</v>
      </c>
      <c r="T13" s="531">
        <f t="shared" si="14"/>
        <v>13.67902630506528</v>
      </c>
      <c r="U13" s="531">
        <f t="shared" si="14"/>
        <v>13.661825890331194</v>
      </c>
      <c r="V13" s="531">
        <f t="shared" si="14"/>
        <v>13.123678045308578</v>
      </c>
      <c r="W13" s="531">
        <f t="shared" si="14"/>
        <v>12.371846564635158</v>
      </c>
      <c r="X13" s="531">
        <f t="shared" si="14"/>
        <v>12.286397015579938</v>
      </c>
      <c r="Y13" s="531">
        <f t="shared" si="14"/>
        <v>13.830950210724284</v>
      </c>
      <c r="Z13" s="531">
        <f t="shared" si="14"/>
        <v>13.978975088428397</v>
      </c>
      <c r="AA13" s="531">
        <f t="shared" si="14"/>
        <v>13.138845255832354</v>
      </c>
      <c r="AB13" s="531">
        <f t="shared" ref="AB13:AC13" si="15">AB5/AB10</f>
        <v>13.147140123242322</v>
      </c>
      <c r="AC13" s="531">
        <f t="shared" si="15"/>
        <v>13.052704930319202</v>
      </c>
      <c r="AD13" s="531">
        <f t="shared" ref="AD13" si="16">AD5/AD10</f>
        <v>13.829302599792996</v>
      </c>
      <c r="AE13" s="328"/>
      <c r="AF13" s="315">
        <f t="shared" si="2"/>
        <v>5.949706774339858E-2</v>
      </c>
      <c r="AG13" s="315">
        <f t="shared" si="3"/>
        <v>-1.0706971554681255E-2</v>
      </c>
    </row>
    <row r="14" spans="2:37" ht="13" customHeight="1">
      <c r="B14" s="63"/>
    </row>
    <row r="15" spans="2:37" ht="13" customHeight="1">
      <c r="B15" s="70"/>
      <c r="C15" s="182"/>
      <c r="D15" s="182"/>
      <c r="E15" s="182"/>
      <c r="F15" s="182"/>
      <c r="G15" s="182"/>
      <c r="H15" s="182"/>
      <c r="I15" s="182"/>
      <c r="K15" s="182"/>
      <c r="L15" s="182"/>
      <c r="M15" s="182"/>
      <c r="N15" s="182"/>
      <c r="O15" s="182"/>
      <c r="P15" s="182"/>
      <c r="Q15" s="182"/>
      <c r="R15" s="182"/>
      <c r="S15" s="182"/>
      <c r="T15" s="182"/>
      <c r="U15" s="182"/>
      <c r="V15" s="182"/>
      <c r="W15" s="182"/>
      <c r="X15" s="182"/>
      <c r="Y15" s="182"/>
      <c r="Z15" s="182"/>
    </row>
    <row r="16" spans="2:37" ht="13" customHeight="1">
      <c r="B16" s="71"/>
      <c r="C16" s="183"/>
      <c r="D16" s="183"/>
      <c r="E16" s="183"/>
      <c r="F16" s="183"/>
      <c r="G16" s="183"/>
      <c r="H16" s="183"/>
      <c r="I16" s="183"/>
      <c r="K16" s="183"/>
      <c r="L16" s="183"/>
      <c r="M16" s="183"/>
      <c r="N16" s="183"/>
      <c r="O16" s="183"/>
      <c r="P16" s="183"/>
      <c r="Q16" s="183"/>
      <c r="R16" s="183"/>
      <c r="S16" s="183"/>
      <c r="T16" s="183"/>
      <c r="U16" s="183"/>
      <c r="V16" s="183"/>
      <c r="W16" s="183"/>
      <c r="X16" s="183"/>
      <c r="Y16" s="183"/>
      <c r="Z16" s="183"/>
    </row>
    <row r="17" spans="1:38" ht="13" customHeight="1">
      <c r="B17" s="72"/>
      <c r="C17" s="179"/>
      <c r="D17" s="179"/>
      <c r="E17" s="179"/>
      <c r="F17" s="179"/>
      <c r="G17" s="179"/>
      <c r="H17" s="179"/>
      <c r="I17" s="179"/>
      <c r="K17" s="179"/>
      <c r="L17" s="179"/>
      <c r="M17" s="179"/>
      <c r="N17" s="179"/>
      <c r="O17" s="179"/>
      <c r="P17" s="179"/>
      <c r="Q17" s="179"/>
      <c r="R17" s="179"/>
      <c r="S17" s="179"/>
      <c r="T17" s="179"/>
      <c r="U17" s="179"/>
      <c r="V17" s="179"/>
      <c r="W17" s="179"/>
      <c r="X17" s="179"/>
      <c r="Y17" s="179"/>
      <c r="Z17" s="179"/>
    </row>
    <row r="18" spans="1:38" ht="13" customHeight="1">
      <c r="B18" s="62"/>
      <c r="C18" s="175"/>
      <c r="D18" s="175"/>
      <c r="E18" s="175"/>
      <c r="F18" s="175"/>
      <c r="G18" s="175"/>
      <c r="H18" s="175"/>
      <c r="I18" s="175"/>
      <c r="K18" s="175"/>
      <c r="L18" s="175"/>
      <c r="M18" s="175"/>
      <c r="N18" s="175"/>
      <c r="O18" s="175"/>
      <c r="P18" s="175"/>
      <c r="Q18" s="175"/>
      <c r="R18" s="175"/>
      <c r="S18" s="175"/>
      <c r="T18" s="175"/>
      <c r="U18" s="175"/>
      <c r="V18" s="175"/>
      <c r="W18" s="175"/>
      <c r="X18" s="175"/>
      <c r="Y18" s="175"/>
      <c r="Z18" s="175"/>
    </row>
    <row r="19" spans="1:38" ht="13" customHeight="1">
      <c r="B19" s="62"/>
      <c r="C19" s="175"/>
      <c r="D19" s="175"/>
      <c r="E19" s="175"/>
      <c r="F19" s="175"/>
      <c r="G19" s="175"/>
      <c r="H19" s="175"/>
      <c r="I19" s="175"/>
      <c r="K19" s="175"/>
      <c r="L19" s="175"/>
      <c r="M19" s="175"/>
      <c r="N19" s="175"/>
      <c r="O19" s="175"/>
      <c r="P19" s="175"/>
      <c r="Q19" s="175"/>
      <c r="R19" s="175"/>
      <c r="S19" s="175"/>
      <c r="T19" s="175"/>
      <c r="U19" s="175"/>
      <c r="V19" s="175"/>
      <c r="W19" s="175"/>
      <c r="X19" s="175"/>
      <c r="Y19" s="175"/>
      <c r="Z19" s="175"/>
    </row>
    <row r="20" spans="1:38" ht="13" customHeight="1">
      <c r="B20" s="62"/>
      <c r="C20" s="175"/>
      <c r="D20" s="175"/>
      <c r="E20" s="175"/>
      <c r="F20" s="175"/>
      <c r="G20" s="175"/>
      <c r="H20" s="175"/>
      <c r="I20" s="175"/>
      <c r="K20" s="175"/>
      <c r="L20" s="175"/>
      <c r="M20" s="175"/>
      <c r="N20" s="175"/>
      <c r="O20" s="175"/>
      <c r="P20" s="175"/>
      <c r="Q20" s="175"/>
      <c r="R20" s="175"/>
      <c r="S20" s="175"/>
      <c r="T20" s="175"/>
      <c r="U20" s="175"/>
      <c r="V20" s="175"/>
      <c r="W20" s="175"/>
      <c r="X20" s="175"/>
      <c r="Y20" s="175"/>
      <c r="Z20" s="175"/>
    </row>
    <row r="21" spans="1:38" ht="13" customHeight="1">
      <c r="B21" s="73"/>
      <c r="C21" s="184"/>
      <c r="D21" s="184"/>
      <c r="E21" s="184"/>
      <c r="F21" s="184"/>
      <c r="G21" s="184"/>
      <c r="H21" s="184"/>
      <c r="I21" s="184"/>
      <c r="K21" s="184"/>
      <c r="L21" s="184"/>
      <c r="M21" s="184"/>
      <c r="N21" s="184"/>
      <c r="O21" s="184"/>
      <c r="P21" s="184"/>
      <c r="Q21" s="184"/>
      <c r="R21" s="184"/>
      <c r="S21" s="184"/>
      <c r="T21" s="184"/>
      <c r="U21" s="184"/>
      <c r="V21" s="184"/>
      <c r="W21" s="184"/>
      <c r="X21" s="184"/>
      <c r="Y21" s="184"/>
      <c r="Z21" s="184"/>
    </row>
    <row r="22" spans="1:38" ht="13" customHeight="1">
      <c r="B22" s="64"/>
      <c r="C22" s="175"/>
      <c r="D22" s="175"/>
      <c r="E22" s="175"/>
      <c r="F22" s="175"/>
      <c r="G22" s="175"/>
      <c r="H22" s="175"/>
      <c r="I22" s="175"/>
      <c r="K22" s="175"/>
      <c r="L22" s="175"/>
      <c r="M22" s="175"/>
      <c r="N22" s="175"/>
      <c r="O22" s="175"/>
      <c r="P22" s="175"/>
      <c r="Q22" s="175"/>
      <c r="R22" s="175"/>
      <c r="S22" s="175"/>
      <c r="T22" s="175"/>
      <c r="U22" s="175"/>
      <c r="V22" s="175"/>
      <c r="W22" s="175"/>
      <c r="X22" s="175"/>
      <c r="Y22" s="175"/>
      <c r="Z22" s="175"/>
    </row>
    <row r="23" spans="1:38" ht="13" customHeight="1">
      <c r="B23" s="62"/>
      <c r="C23" s="175"/>
      <c r="D23" s="175"/>
      <c r="E23" s="175"/>
      <c r="F23" s="175"/>
      <c r="G23" s="175"/>
      <c r="H23" s="175"/>
      <c r="I23" s="175"/>
      <c r="K23" s="175"/>
      <c r="L23" s="175"/>
      <c r="M23" s="175"/>
      <c r="N23" s="175"/>
      <c r="O23" s="175"/>
      <c r="P23" s="175"/>
      <c r="Q23" s="175"/>
      <c r="R23" s="175"/>
      <c r="S23" s="175"/>
      <c r="T23" s="175"/>
      <c r="U23" s="175"/>
      <c r="V23" s="175"/>
      <c r="W23" s="175"/>
      <c r="X23" s="175"/>
      <c r="Y23" s="175"/>
      <c r="Z23" s="175"/>
    </row>
    <row r="24" spans="1:38" ht="13" customHeight="1">
      <c r="B24" s="62"/>
      <c r="C24" s="175"/>
      <c r="D24" s="175"/>
      <c r="E24" s="175"/>
      <c r="F24" s="175"/>
      <c r="G24" s="175"/>
      <c r="H24" s="175"/>
      <c r="I24" s="175"/>
      <c r="K24" s="175"/>
      <c r="L24" s="175"/>
      <c r="M24" s="175"/>
      <c r="N24" s="175"/>
      <c r="O24" s="175"/>
      <c r="P24" s="175"/>
      <c r="Q24" s="175"/>
      <c r="R24" s="175"/>
      <c r="S24" s="175"/>
      <c r="T24" s="175"/>
      <c r="U24" s="175"/>
      <c r="V24" s="175"/>
      <c r="W24" s="175"/>
      <c r="X24" s="175"/>
      <c r="Y24" s="175"/>
      <c r="Z24" s="175"/>
    </row>
    <row r="25" spans="1:38" ht="13" customHeight="1">
      <c r="B25" s="65"/>
      <c r="C25" s="175"/>
      <c r="D25" s="175"/>
      <c r="E25" s="175"/>
      <c r="F25" s="175"/>
      <c r="G25" s="175"/>
      <c r="H25" s="175"/>
      <c r="I25" s="175"/>
      <c r="K25" s="175"/>
      <c r="L25" s="175"/>
      <c r="M25" s="175"/>
      <c r="N25" s="175"/>
      <c r="O25" s="175"/>
      <c r="P25" s="175"/>
      <c r="Q25" s="175"/>
      <c r="R25" s="175"/>
      <c r="S25" s="175"/>
      <c r="T25" s="175"/>
      <c r="U25" s="175"/>
      <c r="V25" s="175"/>
      <c r="W25" s="175"/>
      <c r="X25" s="175"/>
      <c r="Y25" s="175"/>
      <c r="Z25" s="175"/>
    </row>
    <row r="26" spans="1:38" ht="13" customHeight="1">
      <c r="B26" s="66"/>
      <c r="C26" s="175"/>
      <c r="D26" s="175"/>
      <c r="E26" s="175"/>
      <c r="F26" s="175"/>
      <c r="G26" s="175"/>
      <c r="H26" s="175"/>
      <c r="I26" s="175"/>
      <c r="K26" s="175"/>
      <c r="L26" s="175"/>
      <c r="M26" s="175"/>
      <c r="N26" s="175"/>
      <c r="O26" s="175"/>
      <c r="P26" s="175"/>
      <c r="Q26" s="175"/>
      <c r="R26" s="175"/>
      <c r="S26" s="175"/>
      <c r="T26" s="175"/>
      <c r="U26" s="175"/>
      <c r="V26" s="175"/>
      <c r="W26" s="175"/>
      <c r="X26" s="175"/>
      <c r="Y26" s="175"/>
      <c r="Z26" s="175"/>
    </row>
    <row r="27" spans="1:38" ht="13" customHeight="1">
      <c r="B27" s="66"/>
      <c r="C27" s="175"/>
      <c r="D27" s="175"/>
      <c r="E27" s="175"/>
      <c r="F27" s="175"/>
      <c r="G27" s="175"/>
      <c r="H27" s="175"/>
      <c r="I27" s="175"/>
      <c r="K27" s="175"/>
      <c r="L27" s="175"/>
      <c r="M27" s="175"/>
      <c r="N27" s="175"/>
      <c r="O27" s="175"/>
      <c r="P27" s="175"/>
      <c r="Q27" s="175"/>
      <c r="R27" s="175"/>
      <c r="S27" s="175"/>
      <c r="T27" s="175"/>
      <c r="U27" s="175"/>
      <c r="V27" s="175"/>
      <c r="W27" s="175"/>
      <c r="X27" s="175"/>
      <c r="Y27" s="175"/>
      <c r="Z27" s="175"/>
    </row>
    <row r="28" spans="1:38" ht="13" customHeight="1">
      <c r="B28" s="64"/>
      <c r="C28" s="175"/>
      <c r="D28" s="175"/>
      <c r="E28" s="175"/>
      <c r="F28" s="175"/>
      <c r="G28" s="175"/>
      <c r="H28" s="175"/>
      <c r="I28" s="175"/>
      <c r="K28" s="175"/>
      <c r="L28" s="175"/>
      <c r="M28" s="175"/>
      <c r="N28" s="175"/>
      <c r="O28" s="175"/>
      <c r="P28" s="175"/>
      <c r="Q28" s="175"/>
      <c r="R28" s="175"/>
      <c r="S28" s="175"/>
      <c r="T28" s="175"/>
      <c r="U28" s="175"/>
      <c r="V28" s="175"/>
      <c r="W28" s="175"/>
      <c r="X28" s="175"/>
      <c r="Y28" s="175"/>
      <c r="Z28" s="175"/>
    </row>
    <row r="29" spans="1:38" ht="13" customHeight="1">
      <c r="B29" s="15"/>
    </row>
    <row r="31" spans="1:38" s="117" customFormat="1" ht="13" customHeight="1">
      <c r="A31" s="116"/>
      <c r="B31" s="4"/>
      <c r="J31" s="116"/>
      <c r="AA31" s="116"/>
      <c r="AB31" s="116"/>
      <c r="AC31" s="116"/>
      <c r="AD31" s="116"/>
      <c r="AE31" s="116"/>
      <c r="AF31" s="116"/>
      <c r="AG31" s="116"/>
      <c r="AH31" s="116"/>
      <c r="AI31" s="116"/>
      <c r="AJ31" s="116"/>
      <c r="AK31" s="116"/>
      <c r="AL31" s="116"/>
    </row>
  </sheetData>
  <sheetProtection algorithmName="SHA-512" hashValue="JZchkEYuKxqAhVML9swDF1ZeC31vU9SBjkw+jNDppYDogEEoD5hyZvjDXcDNqEGUD45ZLxeaNJWiQ5SImymErQ==" saltValue="fhVdMnfzB1haMn45NJEiQw=="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DBEC-523B-254E-9636-2CD8A7BD5EF5}">
  <sheetPr codeName="Sheet18">
    <tabColor rgb="FFF7CAB0"/>
  </sheetPr>
  <dimension ref="A1:AL58"/>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3.83203125" style="117" customWidth="1"/>
    <col min="11" max="30" width="10.83203125" style="117" customWidth="1"/>
    <col min="31" max="31" width="5.83203125" style="117" customWidth="1"/>
    <col min="32" max="33" width="10.83203125" style="117" customWidth="1"/>
    <col min="34" max="35" width="10.83203125" style="116"/>
    <col min="36" max="36" width="21.1640625" style="116" bestFit="1" customWidth="1"/>
    <col min="37" max="16384" width="10.83203125" style="116"/>
  </cols>
  <sheetData>
    <row r="1" spans="1:37" ht="13" customHeight="1">
      <c r="AH1" s="117"/>
    </row>
    <row r="2" spans="1:37" s="10" customFormat="1" ht="13" customHeight="1">
      <c r="B2" s="267" t="str">
        <f>IF('Summary | Sumário'!D$6=Names!B$3,Names!AR1,Names!AS1)</f>
        <v>Monthly ARPAC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1: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1:37" ht="13" customHeight="1">
      <c r="B4" s="5" t="str">
        <f>IF('Summary | Sumário'!D$6=Names!B$3,Names!AR3,Names!AS3)</f>
        <v>ARPAC (gross of cost of funding)</v>
      </c>
      <c r="C4" s="173"/>
      <c r="D4" s="173"/>
      <c r="E4" s="173"/>
      <c r="F4" s="173"/>
      <c r="G4" s="173"/>
      <c r="H4" s="173"/>
      <c r="I4" s="173"/>
      <c r="J4" s="182"/>
      <c r="K4" s="173"/>
      <c r="L4" s="173"/>
      <c r="M4" s="173"/>
      <c r="N4" s="173"/>
      <c r="O4" s="173"/>
      <c r="P4" s="173"/>
      <c r="Q4" s="173"/>
      <c r="R4" s="173"/>
      <c r="S4" s="173"/>
      <c r="T4" s="173"/>
      <c r="U4" s="173"/>
      <c r="V4" s="173"/>
      <c r="W4" s="173"/>
      <c r="X4" s="173"/>
      <c r="Y4" s="173"/>
      <c r="Z4" s="173"/>
      <c r="AA4" s="173"/>
      <c r="AB4" s="182"/>
      <c r="AC4" s="182"/>
      <c r="AD4" s="182"/>
      <c r="AE4" s="182"/>
      <c r="AF4" s="173"/>
      <c r="AG4" s="173"/>
    </row>
    <row r="5" spans="1:37" ht="13" customHeight="1">
      <c r="B5" s="74" t="str">
        <f>IF('Summary | Sumário'!D$6=Names!B$3,Names!AR4,Names!AS4)</f>
        <v>Monthly average of total gross revenues</v>
      </c>
      <c r="C5" s="174">
        <f>C6/12</f>
        <v>85464</v>
      </c>
      <c r="D5" s="174">
        <f t="shared" ref="D5:I5" si="0">D6/12</f>
        <v>110608.40793166666</v>
      </c>
      <c r="E5" s="174">
        <f t="shared" si="0"/>
        <v>259726.99266666666</v>
      </c>
      <c r="F5" s="174">
        <f t="shared" si="0"/>
        <v>498851.51541666669</v>
      </c>
      <c r="G5" s="174">
        <f t="shared" si="0"/>
        <v>673232.08333333337</v>
      </c>
      <c r="H5" s="174">
        <f t="shared" si="0"/>
        <v>861835.84259116091</v>
      </c>
      <c r="I5" s="174">
        <f t="shared" si="0"/>
        <v>1249906.5</v>
      </c>
      <c r="J5" s="179"/>
      <c r="K5" s="174">
        <f>K6/3</f>
        <v>181362.33299999998</v>
      </c>
      <c r="L5" s="174">
        <f t="shared" ref="L5" si="1">L6/3</f>
        <v>211899.78233333337</v>
      </c>
      <c r="M5" s="174">
        <f t="shared" ref="M5" si="2">M6/3</f>
        <v>279111.62666666665</v>
      </c>
      <c r="N5" s="174">
        <f t="shared" ref="N5" si="3">N6/3</f>
        <v>366534.22866666666</v>
      </c>
      <c r="O5" s="174">
        <f t="shared" ref="O5" si="4">O6/3</f>
        <v>427116.67166666663</v>
      </c>
      <c r="P5" s="174">
        <f t="shared" ref="P5" si="5">P6/3</f>
        <v>487088.43700000009</v>
      </c>
      <c r="Q5" s="174">
        <f t="shared" ref="Q5" si="6">Q6/3</f>
        <v>513268.489</v>
      </c>
      <c r="R5" s="174">
        <f t="shared" ref="R5" si="7">R6/3</f>
        <v>567932.46400000004</v>
      </c>
      <c r="S5" s="174">
        <f t="shared" ref="S5" si="8">S6/3</f>
        <v>599943.70799999998</v>
      </c>
      <c r="T5" s="174">
        <f t="shared" ref="T5" si="9">T6/3</f>
        <v>646180.66666666663</v>
      </c>
      <c r="U5" s="174">
        <f t="shared" ref="U5" si="10">U6/3</f>
        <v>714488.53607999999</v>
      </c>
      <c r="V5" s="174">
        <f t="shared" ref="V5" si="11">V6/3</f>
        <v>732315.28925333347</v>
      </c>
      <c r="W5" s="174">
        <f t="shared" ref="W5" si="12">W6/3</f>
        <v>763558.61658005824</v>
      </c>
      <c r="X5" s="174">
        <f t="shared" ref="X5" si="13">X6/3</f>
        <v>801286.33217417682</v>
      </c>
      <c r="Y5" s="174">
        <f t="shared" ref="Y5" si="14">Y6/3</f>
        <v>894725.203004524</v>
      </c>
      <c r="Z5" s="174">
        <f t="shared" ref="Z5" si="15">Z6/3</f>
        <v>987773.21860588517</v>
      </c>
      <c r="AA5" s="174">
        <f t="shared" ref="AA5:AD5" si="16">AA6/3</f>
        <v>1053909.2333333332</v>
      </c>
      <c r="AB5" s="659">
        <f t="shared" si="16"/>
        <v>1188982.4666666666</v>
      </c>
      <c r="AC5" s="659">
        <f t="shared" si="16"/>
        <v>1325543.3333333333</v>
      </c>
      <c r="AD5" s="659">
        <f t="shared" si="16"/>
        <v>1431190.9666666668</v>
      </c>
      <c r="AE5" s="179"/>
      <c r="AF5" s="350">
        <f t="shared" ref="AF5:AF16" si="17">AD5/AC5-1</f>
        <v>7.970138031448748E-2</v>
      </c>
      <c r="AG5" s="350">
        <f t="shared" ref="AG5:AG16" si="18">AD5/Z5-1</f>
        <v>0.44890642883252974</v>
      </c>
      <c r="AJ5" s="188"/>
    </row>
    <row r="6" spans="1:37" ht="13" customHeight="1">
      <c r="B6" s="54" t="str">
        <f>IF('Summary | Sumário'!D$6=Names!B$3,Names!AR5,Names!AS5)</f>
        <v>Total gross revenues</v>
      </c>
      <c r="C6" s="179">
        <f t="shared" ref="C6:G6" si="19">SUM(C7:C12)</f>
        <v>1025568</v>
      </c>
      <c r="D6" s="179">
        <f t="shared" si="19"/>
        <v>1327300.89518</v>
      </c>
      <c r="E6" s="179">
        <f t="shared" si="19"/>
        <v>3116723.912</v>
      </c>
      <c r="F6" s="179">
        <f t="shared" si="19"/>
        <v>5986218.1850000005</v>
      </c>
      <c r="G6" s="179">
        <f t="shared" si="19"/>
        <v>8078785</v>
      </c>
      <c r="H6" s="179">
        <f>SUM(H7:H12)</f>
        <v>10342030.111093931</v>
      </c>
      <c r="I6" s="179">
        <f>SUM(I7:I12)</f>
        <v>14998878</v>
      </c>
      <c r="J6" s="179"/>
      <c r="K6" s="179">
        <f t="shared" ref="K6" si="20">SUM(K7:K11)</f>
        <v>544086.99899999995</v>
      </c>
      <c r="L6" s="179">
        <f t="shared" ref="L6:Z6" si="21">SUM(L7:L12)</f>
        <v>635699.34700000007</v>
      </c>
      <c r="M6" s="179">
        <f t="shared" si="21"/>
        <v>837334.88</v>
      </c>
      <c r="N6" s="179">
        <f t="shared" si="21"/>
        <v>1099602.686</v>
      </c>
      <c r="O6" s="179">
        <f t="shared" si="21"/>
        <v>1281350.0149999999</v>
      </c>
      <c r="P6" s="179">
        <f t="shared" si="21"/>
        <v>1461265.3110000002</v>
      </c>
      <c r="Q6" s="179">
        <f t="shared" si="21"/>
        <v>1539805.4669999999</v>
      </c>
      <c r="R6" s="179">
        <f t="shared" si="21"/>
        <v>1703797.392</v>
      </c>
      <c r="S6" s="179">
        <f t="shared" si="21"/>
        <v>1799831.1240000001</v>
      </c>
      <c r="T6" s="179">
        <f t="shared" si="21"/>
        <v>1938542</v>
      </c>
      <c r="U6" s="179">
        <f t="shared" si="21"/>
        <v>2143465.60824</v>
      </c>
      <c r="V6" s="179">
        <f t="shared" si="21"/>
        <v>2196945.8677600003</v>
      </c>
      <c r="W6" s="179">
        <f t="shared" si="21"/>
        <v>2290675.8497401746</v>
      </c>
      <c r="X6" s="179">
        <f t="shared" si="21"/>
        <v>2403858.9965225304</v>
      </c>
      <c r="Y6" s="179">
        <f t="shared" si="21"/>
        <v>2684175.6090135719</v>
      </c>
      <c r="Z6" s="179">
        <f t="shared" si="21"/>
        <v>2963319.6558176554</v>
      </c>
      <c r="AA6" s="179">
        <f>SUM(AA7:AA12)</f>
        <v>3161727.6999999997</v>
      </c>
      <c r="AB6" s="179">
        <f>SUM(AB7:AB12)</f>
        <v>3566947.4</v>
      </c>
      <c r="AC6" s="179">
        <f>SUM(AC7:AC12)</f>
        <v>3976630</v>
      </c>
      <c r="AD6" s="179">
        <f>SUM(AD7:AD12)</f>
        <v>4293572.9000000004</v>
      </c>
      <c r="AE6" s="179"/>
      <c r="AF6" s="349">
        <f t="shared" si="17"/>
        <v>7.970138031448748E-2</v>
      </c>
      <c r="AG6" s="349">
        <f t="shared" si="18"/>
        <v>0.44890642883252974</v>
      </c>
      <c r="AJ6" s="188"/>
    </row>
    <row r="7" spans="1:37" ht="13" customHeight="1">
      <c r="B7" s="67" t="str">
        <f>IF('Summary | Sumário'!D$6=Names!B$3,Names!AR6,Names!AS6)</f>
        <v>Interest income</v>
      </c>
      <c r="C7" s="174">
        <f>'6. NII'!C5</f>
        <v>775515</v>
      </c>
      <c r="D7" s="174">
        <f>'6. NII'!D5</f>
        <v>942655.89517999999</v>
      </c>
      <c r="E7" s="174">
        <f>'6. NII'!E5</f>
        <v>1435427.246</v>
      </c>
      <c r="F7" s="174">
        <f>'6. NII'!F5</f>
        <v>2802658.0819999999</v>
      </c>
      <c r="G7" s="174">
        <f>'6. NII'!G5</f>
        <v>4549827</v>
      </c>
      <c r="H7" s="174">
        <f>'6. NII'!H5</f>
        <v>5139213.5399445314</v>
      </c>
      <c r="I7" s="174">
        <f>'6. NII'!I5</f>
        <v>8638477</v>
      </c>
      <c r="J7" s="179"/>
      <c r="K7" s="174">
        <f>'6. NII'!K5</f>
        <v>289003.935</v>
      </c>
      <c r="L7" s="174">
        <f>'6. NII'!L5</f>
        <v>305659.75100000005</v>
      </c>
      <c r="M7" s="174">
        <f>'6. NII'!M5</f>
        <v>367405.88</v>
      </c>
      <c r="N7" s="174">
        <f>'6. NII'!N5</f>
        <v>473357.68</v>
      </c>
      <c r="O7" s="174">
        <f>'6. NII'!O5</f>
        <v>521159.63199999993</v>
      </c>
      <c r="P7" s="174">
        <f>'6. NII'!P5</f>
        <v>622312.6370000001</v>
      </c>
      <c r="Q7" s="174">
        <f>'6. NII'!Q5</f>
        <v>788342.73100000003</v>
      </c>
      <c r="R7" s="174">
        <f>'6. NII'!R5</f>
        <v>870843.08199999994</v>
      </c>
      <c r="S7" s="174">
        <f>'6. NII'!S5</f>
        <v>1012926.822</v>
      </c>
      <c r="T7" s="174">
        <f>'6. NII'!T5</f>
        <v>1151105</v>
      </c>
      <c r="U7" s="174">
        <f>'6. NII'!U5</f>
        <v>1106935.08874</v>
      </c>
      <c r="V7" s="174">
        <f>'6. NII'!V5</f>
        <v>1278860.08926</v>
      </c>
      <c r="W7" s="174">
        <f>'6. NII'!W5</f>
        <v>1217530.9999999998</v>
      </c>
      <c r="X7" s="174">
        <f>'6. NII'!X5</f>
        <v>1172415.139</v>
      </c>
      <c r="Y7" s="174">
        <f>'6. NII'!Y5</f>
        <v>1412226.140133633</v>
      </c>
      <c r="Z7" s="174">
        <f>'6. NII'!Z5</f>
        <v>1337041.2608108988</v>
      </c>
      <c r="AA7" s="174">
        <f>'6. NII'!AA5</f>
        <v>1806870</v>
      </c>
      <c r="AB7" s="174">
        <f>'6. NII'!AB5</f>
        <v>2128214</v>
      </c>
      <c r="AC7" s="174">
        <f>'6. NII'!AC5</f>
        <v>2226423</v>
      </c>
      <c r="AD7" s="174">
        <f>'6. NII'!AD5</f>
        <v>2476970</v>
      </c>
      <c r="AE7" s="179"/>
      <c r="AF7" s="350">
        <f t="shared" si="17"/>
        <v>0.11253342244488129</v>
      </c>
      <c r="AG7" s="350">
        <f t="shared" si="18"/>
        <v>0.85257558805458888</v>
      </c>
      <c r="AJ7" s="188"/>
    </row>
    <row r="8" spans="1:37" ht="13" customHeight="1">
      <c r="A8" s="150" t="str">
        <f>IF('Summary | Sumário'!D$6=Names!B$3,Names!AR7,Names!AS7)</f>
        <v>Income from securities and derivatives</v>
      </c>
      <c r="B8" s="62" t="str">
        <f>IF('Summary | Sumário'!D$6=Names!B$3,Names!M4,Names!N4)</f>
        <v>Income from securities, derivatives and foreign exchange</v>
      </c>
      <c r="C8" s="175">
        <f>'6. NII'!C18</f>
        <v>72729</v>
      </c>
      <c r="D8" s="175">
        <f>'6. NII'!D18</f>
        <v>-25040</v>
      </c>
      <c r="E8" s="175">
        <f>'6. NII'!E18</f>
        <v>721949.66599999997</v>
      </c>
      <c r="F8" s="175">
        <f>'6. NII'!F18</f>
        <v>1605401.1030000001</v>
      </c>
      <c r="G8" s="175">
        <f>'6. NII'!G18</f>
        <v>1634543</v>
      </c>
      <c r="H8" s="175">
        <f>'6. NII'!H18</f>
        <v>2629169.8130000001</v>
      </c>
      <c r="I8" s="175">
        <f>'6. NII'!I18</f>
        <v>3612469</v>
      </c>
      <c r="J8" s="175"/>
      <c r="K8" s="175">
        <f>'6. NII'!K18</f>
        <v>74012.403999999995</v>
      </c>
      <c r="L8" s="175">
        <f>'6. NII'!L18</f>
        <v>89585.596000000005</v>
      </c>
      <c r="M8" s="175">
        <f>'6. NII'!M18</f>
        <v>224342</v>
      </c>
      <c r="N8" s="175">
        <f>'6. NII'!N18</f>
        <v>334009.66600000003</v>
      </c>
      <c r="O8" s="175">
        <f>'6. NII'!O18</f>
        <v>376055.38299999997</v>
      </c>
      <c r="P8" s="175">
        <f>'6. NII'!P18</f>
        <v>429378.674</v>
      </c>
      <c r="Q8" s="175">
        <f>'6. NII'!Q18</f>
        <v>378059.73599999998</v>
      </c>
      <c r="R8" s="175">
        <f>'6. NII'!R18</f>
        <v>421907.31</v>
      </c>
      <c r="S8" s="175">
        <f>'6. NII'!S18</f>
        <v>386325.30200000003</v>
      </c>
      <c r="T8" s="175">
        <f>'6. NII'!T18</f>
        <v>369367</v>
      </c>
      <c r="U8" s="175">
        <f>'6. NII'!U18</f>
        <v>508679.01922000002</v>
      </c>
      <c r="V8" s="175">
        <f>'6. NII'!V18</f>
        <v>370171.67877999996</v>
      </c>
      <c r="W8" s="175">
        <f>'6. NII'!W18</f>
        <v>537136.61082000006</v>
      </c>
      <c r="X8" s="175">
        <f>'6. NII'!X18</f>
        <v>642093.19580384996</v>
      </c>
      <c r="Y8" s="175">
        <f>'6. NII'!Y18</f>
        <v>587740.70944000012</v>
      </c>
      <c r="Z8" s="175">
        <f>'6. NII'!Z18</f>
        <v>862199.29693614994</v>
      </c>
      <c r="AA8" s="175">
        <f>'6. NII'!AA18</f>
        <v>734744.3</v>
      </c>
      <c r="AB8" s="175">
        <f>'6. NII'!AB18</f>
        <v>765251</v>
      </c>
      <c r="AC8" s="175">
        <f>'6. NII'!AC18</f>
        <v>1050027</v>
      </c>
      <c r="AD8" s="175">
        <f>'6. NII'!AD18</f>
        <v>1062446.7000000002</v>
      </c>
      <c r="AE8" s="175"/>
      <c r="AF8" s="375">
        <f t="shared" si="17"/>
        <v>1.1827981566188583E-2</v>
      </c>
      <c r="AG8" s="375">
        <f t="shared" si="18"/>
        <v>0.23225187468307529</v>
      </c>
      <c r="AJ8" s="188"/>
    </row>
    <row r="9" spans="1:37" ht="13" customHeight="1">
      <c r="B9" s="67" t="str">
        <f>IF('Summary | Sumário'!D$6=Names!B$3,Names!AR8,Names!AS8)</f>
        <v xml:space="preserve">Revenues from services and commissions </v>
      </c>
      <c r="C9" s="176">
        <f>'3. IS | DRE'!C9</f>
        <v>130457</v>
      </c>
      <c r="D9" s="176">
        <f>'3. IS | DRE'!D9</f>
        <v>257145</v>
      </c>
      <c r="E9" s="176">
        <f>'3. IS | DRE'!E9</f>
        <v>542569</v>
      </c>
      <c r="F9" s="176">
        <f>'3. IS | DRE'!F9</f>
        <v>968039</v>
      </c>
      <c r="G9" s="176">
        <f>'3. IS | DRE'!G9</f>
        <v>1304382</v>
      </c>
      <c r="H9" s="176">
        <f>'3. IS | DRE'!H9</f>
        <v>1753280.4850000001</v>
      </c>
      <c r="I9" s="176">
        <f>'3. IS | DRE'!I9</f>
        <v>2008095</v>
      </c>
      <c r="J9" s="175"/>
      <c r="K9" s="176">
        <f>'3. IS | DRE'!K9</f>
        <v>100965</v>
      </c>
      <c r="L9" s="176">
        <f>'3. IS | DRE'!L9</f>
        <v>110911</v>
      </c>
      <c r="M9" s="176">
        <f>'3. IS | DRE'!M9</f>
        <v>149283</v>
      </c>
      <c r="N9" s="176">
        <f>'3. IS | DRE'!N9</f>
        <v>181410</v>
      </c>
      <c r="O9" s="176">
        <f>'3. IS | DRE'!O9</f>
        <v>206219</v>
      </c>
      <c r="P9" s="176">
        <f>'3. IS | DRE'!P9</f>
        <v>238515</v>
      </c>
      <c r="Q9" s="176">
        <f>'3. IS | DRE'!Q9</f>
        <v>250433</v>
      </c>
      <c r="R9" s="176">
        <f>'3. IS | DRE'!R9</f>
        <v>272872</v>
      </c>
      <c r="S9" s="176">
        <f>'3. IS | DRE'!S9</f>
        <v>282353</v>
      </c>
      <c r="T9" s="176">
        <f>'3. IS | DRE'!T9</f>
        <v>298524</v>
      </c>
      <c r="U9" s="176">
        <f>'3. IS | DRE'!U9</f>
        <v>347780</v>
      </c>
      <c r="V9" s="176">
        <f>'3. IS | DRE'!V9</f>
        <v>375724.6</v>
      </c>
      <c r="W9" s="176">
        <f>'3. IS | DRE'!W9</f>
        <v>374339.16833017452</v>
      </c>
      <c r="X9" s="176">
        <f>'3. IS | DRE'!X9</f>
        <v>397142.87599999999</v>
      </c>
      <c r="Y9" s="176">
        <f>'3. IS | DRE'!Y9</f>
        <v>467667</v>
      </c>
      <c r="Z9" s="176">
        <f>'3. IS | DRE'!Z9</f>
        <v>514131.44066982553</v>
      </c>
      <c r="AA9" s="176">
        <f>'3. IS | DRE'!AA9</f>
        <v>459924</v>
      </c>
      <c r="AB9" s="176">
        <f>'3. IS | DRE'!AB9</f>
        <v>495128</v>
      </c>
      <c r="AC9" s="176">
        <f>'3. IS | DRE'!AC9</f>
        <v>514179</v>
      </c>
      <c r="AD9" s="176">
        <f>'3. IS | DRE'!AD9</f>
        <v>538864</v>
      </c>
      <c r="AE9" s="175"/>
      <c r="AF9" s="376">
        <f t="shared" si="17"/>
        <v>4.8008572889985723E-2</v>
      </c>
      <c r="AG9" s="376">
        <f t="shared" si="18"/>
        <v>4.810551811021746E-2</v>
      </c>
      <c r="AJ9" s="188"/>
    </row>
    <row r="10" spans="1:37" ht="13" customHeight="1">
      <c r="B10" s="62" t="str">
        <f>IF('Summary | Sumário'!D$6=Names!B$3,Names!AR10,Names!AS10)</f>
        <v>Other revenues</v>
      </c>
      <c r="C10" s="175">
        <f>'3. IS | DRE'!C11</f>
        <v>46867</v>
      </c>
      <c r="D10" s="175">
        <f>'3. IS | DRE'!D11</f>
        <v>92564</v>
      </c>
      <c r="E10" s="175">
        <f>'3. IS | DRE'!E11</f>
        <v>165415</v>
      </c>
      <c r="F10" s="175">
        <f>'3. IS | DRE'!F11</f>
        <v>288682</v>
      </c>
      <c r="G10" s="175">
        <f>'3. IS | DRE'!G11</f>
        <v>286980</v>
      </c>
      <c r="H10" s="175">
        <f>'3. IS | DRE'!H11</f>
        <v>333570.52926939999</v>
      </c>
      <c r="I10" s="175">
        <f>'3. IS | DRE'!I11</f>
        <v>301226</v>
      </c>
      <c r="J10" s="175"/>
      <c r="K10" s="175">
        <f>'3. IS | DRE'!K11</f>
        <v>41623</v>
      </c>
      <c r="L10" s="175">
        <f>'3. IS | DRE'!L11</f>
        <v>69359</v>
      </c>
      <c r="M10" s="175">
        <f>'3. IS | DRE'!M11</f>
        <v>30496</v>
      </c>
      <c r="N10" s="175">
        <f>'3. IS | DRE'!N11</f>
        <v>23937</v>
      </c>
      <c r="O10" s="175">
        <f>'3. IS | DRE'!O11</f>
        <v>95374</v>
      </c>
      <c r="P10" s="175">
        <f>'3. IS | DRE'!P11</f>
        <v>85809</v>
      </c>
      <c r="Q10" s="175">
        <f>'3. IS | DRE'!Q11</f>
        <v>46550</v>
      </c>
      <c r="R10" s="175">
        <f>'3. IS | DRE'!R11</f>
        <v>60949</v>
      </c>
      <c r="S10" s="175">
        <f>'3. IS | DRE'!S11</f>
        <v>50958</v>
      </c>
      <c r="T10" s="175">
        <f>'3. IS | DRE'!T11</f>
        <v>54967</v>
      </c>
      <c r="U10" s="175">
        <f>'3. IS | DRE'!U11</f>
        <v>104770.50028000001</v>
      </c>
      <c r="V10" s="175">
        <f>'3. IS | DRE'!V11</f>
        <v>76284.499719999993</v>
      </c>
      <c r="W10" s="175">
        <f>'3. IS | DRE'!W11</f>
        <v>68201</v>
      </c>
      <c r="X10" s="175">
        <f>'3. IS | DRE'!X11</f>
        <v>72531.218238679983</v>
      </c>
      <c r="Y10" s="175">
        <f>'3. IS | DRE'!Y11</f>
        <v>81802.620979938802</v>
      </c>
      <c r="Z10" s="175">
        <f>'3. IS | DRE'!Z11</f>
        <v>111035.69005078121</v>
      </c>
      <c r="AA10" s="175">
        <f>'3. IS | DRE'!AA11</f>
        <v>56093.4</v>
      </c>
      <c r="AB10" s="175">
        <f>'3. IS | DRE'!AB11</f>
        <v>81444.399999999994</v>
      </c>
      <c r="AC10" s="175">
        <f>'3. IS | DRE'!AC11</f>
        <v>72103</v>
      </c>
      <c r="AD10" s="175">
        <f>'3. IS | DRE'!AD11</f>
        <v>91585.2</v>
      </c>
      <c r="AE10" s="175"/>
      <c r="AF10" s="375">
        <f t="shared" si="17"/>
        <v>0.2701995756071176</v>
      </c>
      <c r="AG10" s="375">
        <f t="shared" si="18"/>
        <v>-0.1751733162723238</v>
      </c>
      <c r="AJ10" s="188"/>
    </row>
    <row r="11" spans="1:37" ht="13" customHeight="1">
      <c r="B11" s="67" t="str">
        <f>IF('Summary | Sumário'!D$6=Names!B$3,Names!AR11,Names!AS11)</f>
        <v>(+) Cashback expenses</v>
      </c>
      <c r="C11" s="176">
        <f>-'7. Fee Revenue | R. de Serv '!C11</f>
        <v>0</v>
      </c>
      <c r="D11" s="176">
        <f>-'7. Fee Revenue | R. de Serv '!D11</f>
        <v>59976</v>
      </c>
      <c r="E11" s="176">
        <f>-'7. Fee Revenue | R. de Serv '!E11</f>
        <v>251363</v>
      </c>
      <c r="F11" s="176">
        <f>-'7. Fee Revenue | R. de Serv '!F11</f>
        <v>321438</v>
      </c>
      <c r="G11" s="176">
        <f>-'7. Fee Revenue | R. de Serv '!G11</f>
        <v>236482</v>
      </c>
      <c r="H11" s="176">
        <f>-'7. Fee Revenue | R. de Serv '!H11</f>
        <v>360561.95250999997</v>
      </c>
      <c r="I11" s="176">
        <f>-'7. Fee Revenue | R. de Serv '!I11</f>
        <v>273207</v>
      </c>
      <c r="J11" s="175"/>
      <c r="K11" s="176">
        <f>-'7. Fee Revenue | R. de Serv '!K11</f>
        <v>38482.660000000003</v>
      </c>
      <c r="L11" s="176">
        <f>-'7. Fee Revenue | R. de Serv '!L11</f>
        <v>60184</v>
      </c>
      <c r="M11" s="176">
        <f>-'7. Fee Revenue | R. de Serv '!M11</f>
        <v>65808</v>
      </c>
      <c r="N11" s="176">
        <f>-'7. Fee Revenue | R. de Serv '!N11</f>
        <v>86888.34</v>
      </c>
      <c r="O11" s="176">
        <f>-'7. Fee Revenue | R. de Serv '!O11</f>
        <v>82542</v>
      </c>
      <c r="P11" s="176">
        <f>-'7. Fee Revenue | R. de Serv '!P11</f>
        <v>85250</v>
      </c>
      <c r="Q11" s="176">
        <f>-'7. Fee Revenue | R. de Serv '!Q11</f>
        <v>76420</v>
      </c>
      <c r="R11" s="176">
        <f>-'7. Fee Revenue | R. de Serv '!R11</f>
        <v>77226</v>
      </c>
      <c r="S11" s="176">
        <f>-'7. Fee Revenue | R. de Serv '!S11</f>
        <v>67268</v>
      </c>
      <c r="T11" s="176">
        <f>-'7. Fee Revenue | R. de Serv '!T11</f>
        <v>58005</v>
      </c>
      <c r="U11" s="176">
        <f>-'7. Fee Revenue | R. de Serv '!U11</f>
        <v>48391</v>
      </c>
      <c r="V11" s="176">
        <f>-'7. Fee Revenue | R. de Serv '!V11</f>
        <v>62818</v>
      </c>
      <c r="W11" s="176">
        <f>-'7. Fee Revenue | R. de Serv '!W11</f>
        <v>63381.686999999998</v>
      </c>
      <c r="X11" s="176">
        <f>-'7. Fee Revenue | R. de Serv '!X11</f>
        <v>91044.550029999999</v>
      </c>
      <c r="Y11" s="176">
        <f>-'7. Fee Revenue | R. de Serv '!Y11</f>
        <v>104280.54006</v>
      </c>
      <c r="Z11" s="176">
        <f>-'7. Fee Revenue | R. de Serv '!Z11</f>
        <v>101855.17541999999</v>
      </c>
      <c r="AA11" s="176">
        <f>-'7. Fee Revenue | R. de Serv '!AA11</f>
        <v>68120</v>
      </c>
      <c r="AB11" s="176">
        <f>-'7. Fee Revenue | R. de Serv '!AB11</f>
        <v>58376</v>
      </c>
      <c r="AC11" s="176">
        <f>-'7. Fee Revenue | R. de Serv '!AC11</f>
        <v>75042</v>
      </c>
      <c r="AD11" s="176">
        <f>-'7. Fee Revenue | R. de Serv '!AD11</f>
        <v>71669</v>
      </c>
      <c r="AE11" s="175"/>
      <c r="AF11" s="376">
        <f t="shared" si="17"/>
        <v>-4.4948162362410393E-2</v>
      </c>
      <c r="AG11" s="376">
        <f t="shared" si="18"/>
        <v>-0.29636368790812284</v>
      </c>
      <c r="AJ11" s="188"/>
    </row>
    <row r="12" spans="1:37" ht="13" customHeight="1">
      <c r="B12" s="62" t="str">
        <f>IF('Summary | Sumário'!D$6=Names!B$3,Names!AR32,Names!AS32)</f>
        <v>(+) Inter Loop</v>
      </c>
      <c r="C12" s="175">
        <f>-'7. Fee Revenue | R. de Serv '!C12</f>
        <v>0</v>
      </c>
      <c r="D12" s="175">
        <f>-'7. Fee Revenue | R. de Serv '!D12</f>
        <v>0</v>
      </c>
      <c r="E12" s="175">
        <f>-'7. Fee Revenue | R. de Serv '!E12</f>
        <v>0</v>
      </c>
      <c r="F12" s="175">
        <f>-'7. Fee Revenue | R. de Serv '!F12</f>
        <v>0</v>
      </c>
      <c r="G12" s="175">
        <f>-'7. Fee Revenue | R. de Serv '!G12</f>
        <v>66571</v>
      </c>
      <c r="H12" s="175">
        <f>-'7. Fee Revenue | R. de Serv '!H12</f>
        <v>126233.79137000001</v>
      </c>
      <c r="I12" s="175">
        <f>-'7. Fee Revenue | R. de Serv '!I12</f>
        <v>165404</v>
      </c>
      <c r="J12" s="175"/>
      <c r="K12" s="175">
        <f>-'7. Fee Revenue | R. de Serv '!K12</f>
        <v>0</v>
      </c>
      <c r="L12" s="175">
        <f>-'7. Fee Revenue | R. de Serv '!L12</f>
        <v>0</v>
      </c>
      <c r="M12" s="175">
        <f>-'7. Fee Revenue | R. de Serv '!M12</f>
        <v>0</v>
      </c>
      <c r="N12" s="175">
        <f>-'7. Fee Revenue | R. de Serv '!N12</f>
        <v>0</v>
      </c>
      <c r="O12" s="175">
        <f>-'7. Fee Revenue | R. de Serv '!O12</f>
        <v>0</v>
      </c>
      <c r="P12" s="175">
        <f>-'7. Fee Revenue | R. de Serv '!P12</f>
        <v>0</v>
      </c>
      <c r="Q12" s="175">
        <f>-'7. Fee Revenue | R. de Serv '!Q12</f>
        <v>0</v>
      </c>
      <c r="R12" s="175">
        <f>-'7. Fee Revenue | R. de Serv '!R12</f>
        <v>0</v>
      </c>
      <c r="S12" s="175">
        <f>-'7. Fee Revenue | R. de Serv '!S12</f>
        <v>0</v>
      </c>
      <c r="T12" s="175">
        <f>-'7. Fee Revenue | R. de Serv '!T12</f>
        <v>6574</v>
      </c>
      <c r="U12" s="175">
        <f>-'7. Fee Revenue | R. de Serv '!U12</f>
        <v>26910</v>
      </c>
      <c r="V12" s="175">
        <f>-'7. Fee Revenue | R. de Serv '!V12</f>
        <v>33087</v>
      </c>
      <c r="W12" s="175">
        <f>-'7. Fee Revenue | R. de Serv '!W12</f>
        <v>30086.383590000005</v>
      </c>
      <c r="X12" s="175">
        <f>-'7. Fee Revenue | R. de Serv '!X12</f>
        <v>28632.017450000003</v>
      </c>
      <c r="Y12" s="175">
        <f>-'7. Fee Revenue | R. de Serv '!Y12</f>
        <v>30458.598399999999</v>
      </c>
      <c r="Z12" s="175">
        <f>-'7. Fee Revenue | R. de Serv '!Z12</f>
        <v>37056.791929999992</v>
      </c>
      <c r="AA12" s="175">
        <f>-'7. Fee Revenue | R. de Serv '!AA12</f>
        <v>35976</v>
      </c>
      <c r="AB12" s="175">
        <f>-'7. Fee Revenue | R. de Serv '!AB12</f>
        <v>38534</v>
      </c>
      <c r="AC12" s="175">
        <f>-'7. Fee Revenue | R. de Serv '!AC12</f>
        <v>38856</v>
      </c>
      <c r="AD12" s="175">
        <f>-'7. Fee Revenue | R. de Serv '!AD12</f>
        <v>52038</v>
      </c>
      <c r="AE12" s="175"/>
      <c r="AF12" s="375">
        <f t="shared" si="17"/>
        <v>0.3392526250772081</v>
      </c>
      <c r="AG12" s="375">
        <f t="shared" si="18"/>
        <v>0.4042769837793676</v>
      </c>
      <c r="AJ12" s="188"/>
    </row>
    <row r="13" spans="1:37" ht="13" customHeight="1">
      <c r="B13" s="53" t="str">
        <f>IF('Summary | Sumário'!D$6=Names!B$3,Names!AR12,Names!AS12)</f>
        <v>(÷) Average of active clients</v>
      </c>
      <c r="C13" s="174">
        <f t="shared" ref="C13" si="22">AVERAGE(C14,C15)</f>
        <v>2282.6979999999999</v>
      </c>
      <c r="D13" s="174">
        <f t="shared" ref="D13" si="23">AVERAGE(D14,D15)</f>
        <v>3767.4889999999996</v>
      </c>
      <c r="E13" s="174">
        <f t="shared" ref="E13" si="24">AVERAGE(E14,E15)</f>
        <v>7039.3045000000002</v>
      </c>
      <c r="F13" s="174">
        <f t="shared" ref="F13" si="25">AVERAGE(F14,F15)</f>
        <v>10705.3665</v>
      </c>
      <c r="G13" s="174">
        <f t="shared" ref="G13" si="26">AVERAGE(G14,G15)</f>
        <v>14494.899000000001</v>
      </c>
      <c r="H13" s="174">
        <f t="shared" ref="H13:Z13" si="27">AVERAGE(H14,H15)</f>
        <v>18483.565000000002</v>
      </c>
      <c r="I13" s="174">
        <f t="shared" ref="I13" si="28">AVERAGE(I14,I15)</f>
        <v>22773.1165</v>
      </c>
      <c r="J13" s="179"/>
      <c r="K13" s="174">
        <f t="shared" si="27"/>
        <v>4207.674</v>
      </c>
      <c r="L13" s="174">
        <f t="shared" si="27"/>
        <v>6597.8119999999999</v>
      </c>
      <c r="M13" s="174">
        <f t="shared" si="27"/>
        <v>7514.7129999999997</v>
      </c>
      <c r="N13" s="174">
        <f t="shared" si="27"/>
        <v>8396.3904999999995</v>
      </c>
      <c r="O13" s="174">
        <f t="shared" si="27"/>
        <v>9358.8734999999997</v>
      </c>
      <c r="P13" s="174">
        <f t="shared" si="27"/>
        <v>10303.8135</v>
      </c>
      <c r="Q13" s="174">
        <f t="shared" si="27"/>
        <v>11182.7415</v>
      </c>
      <c r="R13" s="174">
        <f t="shared" si="27"/>
        <v>12116.839</v>
      </c>
      <c r="S13" s="174">
        <f t="shared" si="27"/>
        <v>13062.486000000001</v>
      </c>
      <c r="T13" s="174">
        <f t="shared" si="27"/>
        <v>14017.737499999999</v>
      </c>
      <c r="U13" s="174">
        <f t="shared" si="27"/>
        <v>14984.0635</v>
      </c>
      <c r="V13" s="174">
        <f t="shared" si="27"/>
        <v>15939.307000000001</v>
      </c>
      <c r="W13" s="174">
        <f t="shared" si="27"/>
        <v>16909.548000000003</v>
      </c>
      <c r="X13" s="174">
        <f t="shared" si="27"/>
        <v>17907.845500000003</v>
      </c>
      <c r="Y13" s="174">
        <f t="shared" si="27"/>
        <v>18970.246500000001</v>
      </c>
      <c r="Z13" s="174">
        <f t="shared" si="27"/>
        <v>20050.120000000003</v>
      </c>
      <c r="AA13" s="174">
        <f>AVERAGE(AA14,AA15)</f>
        <v>21070.289000000001</v>
      </c>
      <c r="AB13" s="174">
        <f>AVERAGE(AB14,AB15)</f>
        <v>22144.881999999998</v>
      </c>
      <c r="AC13" s="174">
        <f>AVERAGE(AC14,AC15)</f>
        <v>23318.665999999997</v>
      </c>
      <c r="AD13" s="174">
        <f>AVERAGE(AD14,AD15)</f>
        <v>24455.4535</v>
      </c>
      <c r="AE13" s="179"/>
      <c r="AF13" s="350">
        <f t="shared" si="17"/>
        <v>4.8750108603982767E-2</v>
      </c>
      <c r="AG13" s="350">
        <f t="shared" si="18"/>
        <v>0.2197160665372575</v>
      </c>
      <c r="AJ13" s="188"/>
    </row>
    <row r="14" spans="1:37" ht="13" customHeight="1">
      <c r="B14" s="55" t="str">
        <f>IF('Summary | Sumário'!D$6=Names!B$3,Names!AR13,Names!AS13)</f>
        <v>Active clients</v>
      </c>
      <c r="C14" s="179">
        <v>2282.6979999999999</v>
      </c>
      <c r="D14" s="179">
        <v>5252.28</v>
      </c>
      <c r="E14" s="179">
        <v>8826.3289999999997</v>
      </c>
      <c r="F14" s="179">
        <v>12584.404</v>
      </c>
      <c r="G14" s="179">
        <v>16405.394</v>
      </c>
      <c r="H14" s="179">
        <v>20561.736000000001</v>
      </c>
      <c r="I14" s="179">
        <v>24984.496999999999</v>
      </c>
      <c r="J14" s="179"/>
      <c r="K14" s="179">
        <v>6132.65</v>
      </c>
      <c r="L14" s="179">
        <v>7062.9740000000002</v>
      </c>
      <c r="M14" s="179">
        <v>7966.4520000000002</v>
      </c>
      <c r="N14" s="179">
        <v>8826.3289999999997</v>
      </c>
      <c r="O14" s="179">
        <v>9891.4179999999997</v>
      </c>
      <c r="P14" s="179">
        <v>10716.209000000001</v>
      </c>
      <c r="Q14" s="179">
        <v>11649.273999999999</v>
      </c>
      <c r="R14" s="179">
        <v>12584.404</v>
      </c>
      <c r="S14" s="179">
        <v>13540.567999999999</v>
      </c>
      <c r="T14" s="179">
        <v>14494.906999999999</v>
      </c>
      <c r="U14" s="179">
        <v>15473.22</v>
      </c>
      <c r="V14" s="179">
        <v>16405.394</v>
      </c>
      <c r="W14" s="179">
        <v>17413.702000000001</v>
      </c>
      <c r="X14" s="179">
        <v>18401.989000000001</v>
      </c>
      <c r="Y14" s="179">
        <v>19538.504000000001</v>
      </c>
      <c r="Z14" s="179">
        <v>20561.736000000001</v>
      </c>
      <c r="AA14" s="179">
        <v>21578.842000000001</v>
      </c>
      <c r="AB14" s="179">
        <v>22710.921999999999</v>
      </c>
      <c r="AC14" s="179">
        <v>23926.41</v>
      </c>
      <c r="AD14" s="179">
        <v>24984.496999999999</v>
      </c>
      <c r="AE14" s="179"/>
      <c r="AF14" s="349">
        <f t="shared" si="17"/>
        <v>4.4222555744886094E-2</v>
      </c>
      <c r="AG14" s="349">
        <f t="shared" si="18"/>
        <v>0.21509667277120958</v>
      </c>
      <c r="AJ14" s="188"/>
    </row>
    <row r="15" spans="1:37" ht="13" customHeight="1">
      <c r="B15" s="60" t="str">
        <f>IF('Summary | Sumário'!D$6=Names!B$3,Names!AR14,Names!AS14)</f>
        <v>Active clients in the previus period</v>
      </c>
      <c r="C15" s="174">
        <f>C14</f>
        <v>2282.6979999999999</v>
      </c>
      <c r="D15" s="174">
        <f t="shared" ref="D15:G15" si="29">C14</f>
        <v>2282.6979999999999</v>
      </c>
      <c r="E15" s="174">
        <f t="shared" si="29"/>
        <v>5252.28</v>
      </c>
      <c r="F15" s="174">
        <f t="shared" si="29"/>
        <v>8826.3289999999997</v>
      </c>
      <c r="G15" s="174">
        <f t="shared" si="29"/>
        <v>12584.404</v>
      </c>
      <c r="H15" s="174">
        <f>G14</f>
        <v>16405.394</v>
      </c>
      <c r="I15" s="174">
        <f>H14</f>
        <v>20561.736000000001</v>
      </c>
      <c r="J15" s="179"/>
      <c r="K15" s="174">
        <f>D15</f>
        <v>2282.6979999999999</v>
      </c>
      <c r="L15" s="174">
        <f t="shared" ref="L15:Z15" si="30">K14</f>
        <v>6132.65</v>
      </c>
      <c r="M15" s="174">
        <f t="shared" si="30"/>
        <v>7062.9740000000002</v>
      </c>
      <c r="N15" s="174">
        <f t="shared" si="30"/>
        <v>7966.4520000000002</v>
      </c>
      <c r="O15" s="174">
        <f t="shared" si="30"/>
        <v>8826.3289999999997</v>
      </c>
      <c r="P15" s="174">
        <f t="shared" si="30"/>
        <v>9891.4179999999997</v>
      </c>
      <c r="Q15" s="174">
        <f t="shared" si="30"/>
        <v>10716.209000000001</v>
      </c>
      <c r="R15" s="174">
        <f t="shared" si="30"/>
        <v>11649.273999999999</v>
      </c>
      <c r="S15" s="174">
        <f t="shared" si="30"/>
        <v>12584.404</v>
      </c>
      <c r="T15" s="174">
        <f t="shared" si="30"/>
        <v>13540.567999999999</v>
      </c>
      <c r="U15" s="174">
        <f t="shared" si="30"/>
        <v>14494.906999999999</v>
      </c>
      <c r="V15" s="174">
        <f t="shared" si="30"/>
        <v>15473.22</v>
      </c>
      <c r="W15" s="174">
        <f t="shared" si="30"/>
        <v>16405.394</v>
      </c>
      <c r="X15" s="174">
        <f t="shared" si="30"/>
        <v>17413.702000000001</v>
      </c>
      <c r="Y15" s="174">
        <f t="shared" si="30"/>
        <v>18401.989000000001</v>
      </c>
      <c r="Z15" s="174">
        <f t="shared" si="30"/>
        <v>19538.504000000001</v>
      </c>
      <c r="AA15" s="174">
        <f>Z14</f>
        <v>20561.736000000001</v>
      </c>
      <c r="AB15" s="174">
        <f>AA14</f>
        <v>21578.842000000001</v>
      </c>
      <c r="AC15" s="174">
        <f>AB14</f>
        <v>22710.921999999999</v>
      </c>
      <c r="AD15" s="174">
        <f>AC14</f>
        <v>23926.41</v>
      </c>
      <c r="AE15" s="179"/>
      <c r="AF15" s="350">
        <f t="shared" si="17"/>
        <v>5.3519975983361778E-2</v>
      </c>
      <c r="AG15" s="350">
        <f t="shared" si="18"/>
        <v>0.22457737808380829</v>
      </c>
      <c r="AJ15" s="188"/>
    </row>
    <row r="16" spans="1:37" ht="13" customHeight="1">
      <c r="B16" s="6" t="str">
        <f>IF('Summary | Sumário'!D$6=Names!B$3,Names!AR15,Names!AS15)</f>
        <v>Gross ARPAC (R$)</v>
      </c>
      <c r="C16" s="180">
        <f t="shared" ref="C16" si="31">C5/C13</f>
        <v>37.439906636795584</v>
      </c>
      <c r="D16" s="180">
        <f t="shared" ref="D16:AA16" si="32">D5/D13</f>
        <v>29.358654512771416</v>
      </c>
      <c r="E16" s="180">
        <f t="shared" si="32"/>
        <v>36.896683850892749</v>
      </c>
      <c r="F16" s="180">
        <f t="shared" si="32"/>
        <v>46.598265964707203</v>
      </c>
      <c r="G16" s="180">
        <f t="shared" si="32"/>
        <v>46.446138281704023</v>
      </c>
      <c r="H16" s="180">
        <f t="shared" si="32"/>
        <v>46.627143767512422</v>
      </c>
      <c r="I16" s="180">
        <f t="shared" ref="I16" si="33">I5/I13</f>
        <v>54.885175685110994</v>
      </c>
      <c r="J16" s="328"/>
      <c r="K16" s="180">
        <f t="shared" si="32"/>
        <v>43.102752969930648</v>
      </c>
      <c r="L16" s="180">
        <f t="shared" ref="L16:Z16" si="34">L5/L13</f>
        <v>32.116674790571992</v>
      </c>
      <c r="M16" s="180">
        <f t="shared" si="34"/>
        <v>37.142020815254909</v>
      </c>
      <c r="N16" s="180">
        <f t="shared" si="34"/>
        <v>43.653785357728026</v>
      </c>
      <c r="O16" s="180">
        <f t="shared" si="34"/>
        <v>45.637615645372989</v>
      </c>
      <c r="P16" s="180">
        <f t="shared" si="34"/>
        <v>47.27263716487105</v>
      </c>
      <c r="Q16" s="180">
        <f t="shared" si="34"/>
        <v>45.898270026182757</v>
      </c>
      <c r="R16" s="180">
        <f t="shared" si="34"/>
        <v>46.871338638732432</v>
      </c>
      <c r="S16" s="180">
        <f t="shared" si="34"/>
        <v>45.928754143736498</v>
      </c>
      <c r="T16" s="180">
        <f t="shared" si="34"/>
        <v>46.097358198258931</v>
      </c>
      <c r="U16" s="180">
        <f t="shared" si="34"/>
        <v>47.683229324275089</v>
      </c>
      <c r="V16" s="180">
        <f t="shared" si="34"/>
        <v>45.943985472726851</v>
      </c>
      <c r="W16" s="180">
        <f t="shared" si="34"/>
        <v>45.155471724025865</v>
      </c>
      <c r="X16" s="180">
        <f t="shared" si="34"/>
        <v>44.744988009538986</v>
      </c>
      <c r="Y16" s="180">
        <f t="shared" si="34"/>
        <v>47.164658772595494</v>
      </c>
      <c r="Z16" s="180">
        <f t="shared" si="34"/>
        <v>49.265202333247132</v>
      </c>
      <c r="AA16" s="180">
        <f t="shared" si="32"/>
        <v>50.018736493520954</v>
      </c>
      <c r="AB16" s="180">
        <f t="shared" ref="AB16:AC16" si="35">AB5/AB13</f>
        <v>53.691072576799762</v>
      </c>
      <c r="AC16" s="180">
        <f t="shared" si="35"/>
        <v>56.844732598911676</v>
      </c>
      <c r="AD16" s="180">
        <f>AD5/AD13</f>
        <v>58.522364619681532</v>
      </c>
      <c r="AE16" s="328"/>
      <c r="AF16" s="377">
        <f t="shared" si="17"/>
        <v>2.9512532543815251E-2</v>
      </c>
      <c r="AG16" s="377">
        <f t="shared" si="18"/>
        <v>0.18790468419911699</v>
      </c>
    </row>
    <row r="17" spans="2:35" ht="13" customHeight="1">
      <c r="B17" s="69"/>
      <c r="C17" s="178"/>
      <c r="D17" s="178"/>
      <c r="E17" s="178"/>
      <c r="F17" s="178"/>
      <c r="G17" s="178"/>
      <c r="H17" s="178"/>
      <c r="I17" s="178"/>
      <c r="K17" s="178"/>
      <c r="L17" s="178"/>
      <c r="M17" s="178"/>
      <c r="N17" s="178"/>
      <c r="O17" s="178"/>
      <c r="P17" s="178"/>
      <c r="Q17" s="178"/>
      <c r="R17" s="178"/>
      <c r="S17" s="178"/>
      <c r="T17" s="178"/>
      <c r="U17" s="178"/>
      <c r="V17" s="178"/>
      <c r="W17" s="178"/>
      <c r="X17" s="178"/>
      <c r="Y17" s="178"/>
      <c r="Z17" s="178"/>
      <c r="AA17" s="178"/>
      <c r="AB17" s="178"/>
      <c r="AC17" s="178"/>
      <c r="AD17" s="178"/>
      <c r="AF17" s="178"/>
      <c r="AG17" s="178"/>
    </row>
    <row r="18" spans="2:35" ht="13" customHeight="1">
      <c r="B18" s="5" t="str">
        <f>IF('Summary | Sumário'!D$6=Names!B$3,Names!AR17,Names!AS17)</f>
        <v>ARPAC (net of cost of funding)</v>
      </c>
      <c r="C18" s="173"/>
      <c r="D18" s="173"/>
      <c r="E18" s="173"/>
      <c r="F18" s="173"/>
      <c r="G18" s="173"/>
      <c r="H18" s="173"/>
      <c r="I18" s="173"/>
      <c r="J18" s="182"/>
      <c r="K18" s="173"/>
      <c r="L18" s="173"/>
      <c r="M18" s="173"/>
      <c r="N18" s="173"/>
      <c r="O18" s="173"/>
      <c r="P18" s="173"/>
      <c r="Q18" s="173"/>
      <c r="R18" s="173"/>
      <c r="S18" s="173"/>
      <c r="T18" s="173"/>
      <c r="U18" s="173"/>
      <c r="V18" s="173"/>
      <c r="W18" s="173"/>
      <c r="X18" s="173"/>
      <c r="Y18" s="173"/>
      <c r="Z18" s="173"/>
      <c r="AA18" s="173"/>
      <c r="AB18" s="182"/>
      <c r="AC18" s="182"/>
      <c r="AD18" s="182"/>
      <c r="AE18" s="182"/>
      <c r="AF18" s="173"/>
      <c r="AG18" s="173"/>
    </row>
    <row r="19" spans="2:35" ht="13" customHeight="1">
      <c r="B19" s="81" t="str">
        <f>IF('Summary | Sumário'!D$6=Names!B$3,Names!AR18,Names!AS18)</f>
        <v>Monthly average total revenues net of cost of funding</v>
      </c>
      <c r="C19" s="174">
        <f>C20/12</f>
        <v>64070.916666666664</v>
      </c>
      <c r="D19" s="174">
        <f t="shared" ref="D19:I19" si="36">D20/12</f>
        <v>95247.157931666661</v>
      </c>
      <c r="E19" s="174">
        <f t="shared" si="36"/>
        <v>214456.90933333329</v>
      </c>
      <c r="F19" s="174">
        <f t="shared" si="36"/>
        <v>334447.34874999995</v>
      </c>
      <c r="G19" s="174">
        <f t="shared" si="36"/>
        <v>432601</v>
      </c>
      <c r="H19" s="174">
        <f t="shared" si="36"/>
        <v>585865.92937446118</v>
      </c>
      <c r="I19" s="174">
        <f t="shared" si="36"/>
        <v>751812.58333333337</v>
      </c>
      <c r="J19" s="179"/>
      <c r="K19" s="174">
        <f t="shared" ref="K19:Z19" si="37">K20/3</f>
        <v>159509.33299999998</v>
      </c>
      <c r="L19" s="174">
        <f t="shared" si="37"/>
        <v>183146.11566666668</v>
      </c>
      <c r="M19" s="174">
        <f t="shared" si="37"/>
        <v>232915.96</v>
      </c>
      <c r="N19" s="174">
        <f t="shared" si="37"/>
        <v>282255.89533333335</v>
      </c>
      <c r="O19" s="174">
        <f t="shared" si="37"/>
        <v>314859.67166666663</v>
      </c>
      <c r="P19" s="174">
        <f t="shared" si="37"/>
        <v>332074.77033333341</v>
      </c>
      <c r="Q19" s="174">
        <f t="shared" si="37"/>
        <v>320042.489</v>
      </c>
      <c r="R19" s="174">
        <f t="shared" si="37"/>
        <v>370812.46399999998</v>
      </c>
      <c r="S19" s="174">
        <f t="shared" si="37"/>
        <v>375686.70800000004</v>
      </c>
      <c r="T19" s="174">
        <f t="shared" si="37"/>
        <v>415445.33333333331</v>
      </c>
      <c r="U19" s="174">
        <f t="shared" si="37"/>
        <v>457689.20274666668</v>
      </c>
      <c r="V19" s="174">
        <f t="shared" si="37"/>
        <v>481582.62092000007</v>
      </c>
      <c r="W19" s="174">
        <f t="shared" si="37"/>
        <v>509476.31981339148</v>
      </c>
      <c r="X19" s="174">
        <f t="shared" si="37"/>
        <v>543738.79584084346</v>
      </c>
      <c r="Y19" s="174">
        <f t="shared" si="37"/>
        <v>616186.29700452404</v>
      </c>
      <c r="Z19" s="174">
        <f t="shared" si="37"/>
        <v>674062.30470504111</v>
      </c>
      <c r="AA19" s="174">
        <f>AA20/3</f>
        <v>660902.56666666653</v>
      </c>
      <c r="AB19" s="659">
        <f>AB20/3</f>
        <v>714329.79999999993</v>
      </c>
      <c r="AC19" s="659">
        <f>AC20/3</f>
        <v>774290.33333333337</v>
      </c>
      <c r="AD19" s="659">
        <f>AD20/3</f>
        <v>857727.63333333342</v>
      </c>
      <c r="AE19" s="179"/>
      <c r="AF19" s="350">
        <f t="shared" ref="AF19:AF31" si="38">AD19/AC19-1</f>
        <v>0.10775970770654086</v>
      </c>
      <c r="AG19" s="350">
        <f t="shared" ref="AG19:AG31" si="39">AD19/Z19-1</f>
        <v>0.27247529990371033</v>
      </c>
      <c r="AI19" s="489"/>
    </row>
    <row r="20" spans="2:35" ht="13" customHeight="1">
      <c r="B20" s="54" t="str">
        <f>IF('Summary | Sumário'!D$6=Names!B$3,Names!AR19,Names!AS19)</f>
        <v>Total revenues net of cost of funding</v>
      </c>
      <c r="C20" s="179">
        <f t="shared" ref="C20" si="40">SUM(C21:C27)</f>
        <v>768851</v>
      </c>
      <c r="D20" s="179">
        <f t="shared" ref="D20:AA20" si="41">SUM(D21:D27)</f>
        <v>1142965.89518</v>
      </c>
      <c r="E20" s="179">
        <f t="shared" si="41"/>
        <v>2573482.9119999995</v>
      </c>
      <c r="F20" s="179">
        <f t="shared" si="41"/>
        <v>4013368.1849999996</v>
      </c>
      <c r="G20" s="179">
        <f t="shared" si="41"/>
        <v>5191212</v>
      </c>
      <c r="H20" s="179">
        <f t="shared" si="41"/>
        <v>7030391.1524935337</v>
      </c>
      <c r="I20" s="179">
        <f t="shared" ref="I20" si="42">SUM(I21:I27)</f>
        <v>9021751</v>
      </c>
      <c r="J20" s="179"/>
      <c r="K20" s="179">
        <f t="shared" si="41"/>
        <v>478527.99899999995</v>
      </c>
      <c r="L20" s="179">
        <f t="shared" si="41"/>
        <v>549438.34700000007</v>
      </c>
      <c r="M20" s="179">
        <f t="shared" si="41"/>
        <v>698747.88</v>
      </c>
      <c r="N20" s="179">
        <f t="shared" si="41"/>
        <v>846767.68599999999</v>
      </c>
      <c r="O20" s="179">
        <f t="shared" si="41"/>
        <v>944579.0149999999</v>
      </c>
      <c r="P20" s="179">
        <f t="shared" si="41"/>
        <v>996224.31100000022</v>
      </c>
      <c r="Q20" s="179">
        <f t="shared" si="41"/>
        <v>960127.46699999995</v>
      </c>
      <c r="R20" s="179">
        <f t="shared" si="41"/>
        <v>1112437.392</v>
      </c>
      <c r="S20" s="179">
        <f t="shared" si="41"/>
        <v>1127060.1240000001</v>
      </c>
      <c r="T20" s="179">
        <f t="shared" si="41"/>
        <v>1246336</v>
      </c>
      <c r="U20" s="179">
        <f t="shared" si="41"/>
        <v>1373067.60824</v>
      </c>
      <c r="V20" s="179">
        <f t="shared" si="41"/>
        <v>1444747.8627600002</v>
      </c>
      <c r="W20" s="179">
        <f t="shared" si="41"/>
        <v>1528428.9594401745</v>
      </c>
      <c r="X20" s="179">
        <f t="shared" si="41"/>
        <v>1631216.3875225303</v>
      </c>
      <c r="Y20" s="179">
        <f t="shared" si="41"/>
        <v>1848558.891013572</v>
      </c>
      <c r="Z20" s="179">
        <f t="shared" si="41"/>
        <v>2022186.9141151232</v>
      </c>
      <c r="AA20" s="179">
        <f t="shared" si="41"/>
        <v>1982707.6999999997</v>
      </c>
      <c r="AB20" s="179">
        <f t="shared" ref="AB20:AC20" si="43">SUM(AB21:AB27)</f>
        <v>2142989.4</v>
      </c>
      <c r="AC20" s="179">
        <f t="shared" si="43"/>
        <v>2322871</v>
      </c>
      <c r="AD20" s="179">
        <f t="shared" ref="AD20" si="44">SUM(AD21:AD27)</f>
        <v>2573182.9000000004</v>
      </c>
      <c r="AE20" s="179"/>
      <c r="AF20" s="349">
        <f t="shared" si="38"/>
        <v>0.10775970770654086</v>
      </c>
      <c r="AG20" s="349">
        <f t="shared" si="39"/>
        <v>0.27247529990371055</v>
      </c>
      <c r="AI20" s="489"/>
    </row>
    <row r="21" spans="2:35" ht="13" customHeight="1">
      <c r="B21" s="67" t="str">
        <f>IF('Summary | Sumário'!D$6=Names!B$3,Names!AR20,Names!AS20)</f>
        <v>Interest income</v>
      </c>
      <c r="C21" s="174">
        <f>C7</f>
        <v>775515</v>
      </c>
      <c r="D21" s="174">
        <v>942655.89517999999</v>
      </c>
      <c r="E21" s="174">
        <v>1435428.2459999998</v>
      </c>
      <c r="F21" s="174">
        <v>2802658.0819999995</v>
      </c>
      <c r="G21" s="174">
        <v>4549827</v>
      </c>
      <c r="H21" s="174">
        <v>5139213</v>
      </c>
      <c r="I21" s="174">
        <v>8638477</v>
      </c>
      <c r="J21" s="179"/>
      <c r="K21" s="174">
        <v>289003.935</v>
      </c>
      <c r="L21" s="174">
        <v>305659.75100000005</v>
      </c>
      <c r="M21" s="174">
        <v>367405.88</v>
      </c>
      <c r="N21" s="174">
        <v>473357.68</v>
      </c>
      <c r="O21" s="174">
        <v>521159.63199999993</v>
      </c>
      <c r="P21" s="174">
        <v>622312.6370000001</v>
      </c>
      <c r="Q21" s="174">
        <v>788342.73100000003</v>
      </c>
      <c r="R21" s="174">
        <v>870843.08199999994</v>
      </c>
      <c r="S21" s="174">
        <v>1012926.822</v>
      </c>
      <c r="T21" s="174">
        <v>1151105</v>
      </c>
      <c r="U21" s="174">
        <v>1106935.08874</v>
      </c>
      <c r="V21" s="174">
        <v>1278860.08926</v>
      </c>
      <c r="W21" s="174">
        <v>1217530.9999999998</v>
      </c>
      <c r="X21" s="174">
        <v>1172415.139</v>
      </c>
      <c r="Y21" s="174">
        <v>1412226.140133633</v>
      </c>
      <c r="Z21" s="174">
        <v>1337040.7208663672</v>
      </c>
      <c r="AA21" s="174">
        <v>1806870</v>
      </c>
      <c r="AB21" s="174">
        <v>2128214</v>
      </c>
      <c r="AC21" s="174">
        <v>2226423</v>
      </c>
      <c r="AD21" s="174">
        <v>2476970</v>
      </c>
      <c r="AE21" s="179"/>
      <c r="AF21" s="350">
        <f t="shared" si="38"/>
        <v>0.11253342244488129</v>
      </c>
      <c r="AG21" s="350">
        <f t="shared" si="39"/>
        <v>0.85257633619041062</v>
      </c>
    </row>
    <row r="22" spans="2:35" ht="13" customHeight="1">
      <c r="B22" s="62" t="str">
        <f>IF('Summary | Sumário'!D$6=Names!B$3,Names!AR21,Names!AS21)</f>
        <v>Income from securities and derivatives</v>
      </c>
      <c r="C22" s="175">
        <v>72729</v>
      </c>
      <c r="D22" s="175">
        <v>-25040</v>
      </c>
      <c r="E22" s="175">
        <v>721949.66599999997</v>
      </c>
      <c r="F22" s="175">
        <v>1605401.1030000001</v>
      </c>
      <c r="G22" s="175">
        <v>1634543</v>
      </c>
      <c r="H22" s="175">
        <v>2629169.8134021345</v>
      </c>
      <c r="I22" s="175">
        <v>3612469</v>
      </c>
      <c r="J22" s="175"/>
      <c r="K22" s="175">
        <v>74012.403999999995</v>
      </c>
      <c r="L22" s="175">
        <v>89585.596000000005</v>
      </c>
      <c r="M22" s="175">
        <v>224342</v>
      </c>
      <c r="N22" s="175">
        <v>334009.66600000003</v>
      </c>
      <c r="O22" s="175">
        <v>376055.38299999997</v>
      </c>
      <c r="P22" s="175">
        <v>429378.674</v>
      </c>
      <c r="Q22" s="175">
        <v>378059.73599999998</v>
      </c>
      <c r="R22" s="175">
        <v>421907.31</v>
      </c>
      <c r="S22" s="175">
        <v>386325.30200000003</v>
      </c>
      <c r="T22" s="175">
        <v>369367</v>
      </c>
      <c r="U22" s="175">
        <v>508679.01922000002</v>
      </c>
      <c r="V22" s="175">
        <v>370171.67877999996</v>
      </c>
      <c r="W22" s="175">
        <v>537136.61082000006</v>
      </c>
      <c r="X22" s="175">
        <v>642093.19580384996</v>
      </c>
      <c r="Y22" s="175">
        <v>587740.70944000012</v>
      </c>
      <c r="Z22" s="175">
        <v>862199.29693614994</v>
      </c>
      <c r="AA22" s="175">
        <v>734744.3</v>
      </c>
      <c r="AB22" s="175">
        <v>765251</v>
      </c>
      <c r="AC22" s="175">
        <v>1050027</v>
      </c>
      <c r="AD22" s="175">
        <v>1062446.7000000002</v>
      </c>
      <c r="AE22" s="175"/>
      <c r="AF22" s="375">
        <f t="shared" si="38"/>
        <v>1.1827981566188583E-2</v>
      </c>
      <c r="AG22" s="375">
        <f t="shared" si="39"/>
        <v>0.23225187468307529</v>
      </c>
    </row>
    <row r="23" spans="2:35" ht="13" customHeight="1">
      <c r="B23" s="67" t="str">
        <f>IF('Summary | Sumário'!D$6=Names!B$3,Names!AR22,Names!AS22)</f>
        <v xml:space="preserve">Revenues from services and commissions </v>
      </c>
      <c r="C23" s="176">
        <v>130457</v>
      </c>
      <c r="D23" s="176">
        <v>257145</v>
      </c>
      <c r="E23" s="176">
        <v>542569</v>
      </c>
      <c r="F23" s="176">
        <v>968039</v>
      </c>
      <c r="G23" s="176">
        <v>1304382</v>
      </c>
      <c r="H23" s="176">
        <v>1753280.4850000001</v>
      </c>
      <c r="I23" s="176">
        <v>2008095</v>
      </c>
      <c r="J23" s="175"/>
      <c r="K23" s="176">
        <v>100965</v>
      </c>
      <c r="L23" s="176">
        <v>110911</v>
      </c>
      <c r="M23" s="176">
        <v>149283</v>
      </c>
      <c r="N23" s="176">
        <v>181410</v>
      </c>
      <c r="O23" s="176">
        <v>206219</v>
      </c>
      <c r="P23" s="176">
        <v>238515</v>
      </c>
      <c r="Q23" s="176">
        <v>250433</v>
      </c>
      <c r="R23" s="176">
        <v>272872</v>
      </c>
      <c r="S23" s="176">
        <v>282353</v>
      </c>
      <c r="T23" s="176">
        <v>298524</v>
      </c>
      <c r="U23" s="176">
        <v>347780</v>
      </c>
      <c r="V23" s="176">
        <v>375724.6</v>
      </c>
      <c r="W23" s="176">
        <v>374339.16833017452</v>
      </c>
      <c r="X23" s="176">
        <v>397142.87599999999</v>
      </c>
      <c r="Y23" s="176">
        <v>467667</v>
      </c>
      <c r="Z23" s="176">
        <v>514131.44066982553</v>
      </c>
      <c r="AA23" s="176">
        <v>459924</v>
      </c>
      <c r="AB23" s="176">
        <v>495128</v>
      </c>
      <c r="AC23" s="176">
        <v>514179</v>
      </c>
      <c r="AD23" s="176">
        <v>538864</v>
      </c>
      <c r="AE23" s="175"/>
      <c r="AF23" s="376">
        <f t="shared" si="38"/>
        <v>4.8008572889985723E-2</v>
      </c>
      <c r="AG23" s="376">
        <f t="shared" si="39"/>
        <v>4.810551811021746E-2</v>
      </c>
    </row>
    <row r="24" spans="2:35" ht="13" customHeight="1">
      <c r="B24" s="62" t="str">
        <f>IF('Summary | Sumário'!D$6=Names!B$3,Names!AR24,Names!AS24)</f>
        <v>Other revenues</v>
      </c>
      <c r="C24" s="175">
        <v>46867</v>
      </c>
      <c r="D24" s="175">
        <v>92564</v>
      </c>
      <c r="E24" s="175">
        <v>165415</v>
      </c>
      <c r="F24" s="175">
        <v>288682</v>
      </c>
      <c r="G24" s="175">
        <v>286980</v>
      </c>
      <c r="H24" s="175">
        <v>333570.52926939999</v>
      </c>
      <c r="I24" s="175">
        <v>301226</v>
      </c>
      <c r="J24" s="175"/>
      <c r="K24" s="175">
        <v>41623</v>
      </c>
      <c r="L24" s="175">
        <v>69359</v>
      </c>
      <c r="M24" s="175">
        <v>30496</v>
      </c>
      <c r="N24" s="175">
        <v>23937</v>
      </c>
      <c r="O24" s="175">
        <v>95374</v>
      </c>
      <c r="P24" s="175">
        <v>85809</v>
      </c>
      <c r="Q24" s="175">
        <v>46550</v>
      </c>
      <c r="R24" s="175">
        <v>60949</v>
      </c>
      <c r="S24" s="175">
        <v>50958</v>
      </c>
      <c r="T24" s="175">
        <v>54967</v>
      </c>
      <c r="U24" s="175">
        <v>104770.50028000001</v>
      </c>
      <c r="V24" s="175">
        <v>76284.499719999993</v>
      </c>
      <c r="W24" s="175">
        <v>68201</v>
      </c>
      <c r="X24" s="175">
        <v>72531.218238679983</v>
      </c>
      <c r="Y24" s="175">
        <v>81802.620979938802</v>
      </c>
      <c r="Z24" s="175">
        <v>111035.69005078121</v>
      </c>
      <c r="AA24" s="175">
        <v>56093.4</v>
      </c>
      <c r="AB24" s="175">
        <v>81444.399999999994</v>
      </c>
      <c r="AC24" s="175">
        <v>72103</v>
      </c>
      <c r="AD24" s="175">
        <v>91585.2</v>
      </c>
      <c r="AE24" s="175"/>
      <c r="AF24" s="375">
        <f t="shared" si="38"/>
        <v>0.2701995756071176</v>
      </c>
      <c r="AG24" s="375">
        <f t="shared" si="39"/>
        <v>-0.1751733162723238</v>
      </c>
    </row>
    <row r="25" spans="2:35" ht="13" customHeight="1">
      <c r="B25" s="67" t="str">
        <f>IF('Summary | Sumário'!D$6=Names!B$3,Names!AR25,Names!AS25)</f>
        <v>(+) Cashback expenses</v>
      </c>
      <c r="C25" s="176">
        <f t="shared" ref="C25:C26" si="45">C11</f>
        <v>0</v>
      </c>
      <c r="D25" s="176">
        <f t="shared" ref="D25:AA25" si="46">D11</f>
        <v>59976</v>
      </c>
      <c r="E25" s="176">
        <f t="shared" si="46"/>
        <v>251363</v>
      </c>
      <c r="F25" s="176">
        <f t="shared" si="46"/>
        <v>321438</v>
      </c>
      <c r="G25" s="176">
        <f t="shared" si="46"/>
        <v>236482</v>
      </c>
      <c r="H25" s="176">
        <f t="shared" si="46"/>
        <v>360561.95250999997</v>
      </c>
      <c r="I25" s="176">
        <f t="shared" ref="I25" si="47">I11</f>
        <v>273207</v>
      </c>
      <c r="J25" s="175"/>
      <c r="K25" s="176">
        <f t="shared" si="46"/>
        <v>38482.660000000003</v>
      </c>
      <c r="L25" s="176">
        <f t="shared" si="46"/>
        <v>60184</v>
      </c>
      <c r="M25" s="176">
        <f t="shared" si="46"/>
        <v>65808</v>
      </c>
      <c r="N25" s="176">
        <f t="shared" si="46"/>
        <v>86888.34</v>
      </c>
      <c r="O25" s="176">
        <f t="shared" si="46"/>
        <v>82542</v>
      </c>
      <c r="P25" s="176">
        <f t="shared" si="46"/>
        <v>85250</v>
      </c>
      <c r="Q25" s="176">
        <f t="shared" si="46"/>
        <v>76420</v>
      </c>
      <c r="R25" s="176">
        <f t="shared" si="46"/>
        <v>77226</v>
      </c>
      <c r="S25" s="176">
        <f t="shared" si="46"/>
        <v>67268</v>
      </c>
      <c r="T25" s="176">
        <f t="shared" si="46"/>
        <v>58005</v>
      </c>
      <c r="U25" s="176">
        <f t="shared" si="46"/>
        <v>48391</v>
      </c>
      <c r="V25" s="176">
        <f t="shared" si="46"/>
        <v>62818</v>
      </c>
      <c r="W25" s="176">
        <f t="shared" si="46"/>
        <v>63381.686999999998</v>
      </c>
      <c r="X25" s="176">
        <f t="shared" si="46"/>
        <v>91044.550029999999</v>
      </c>
      <c r="Y25" s="176">
        <f t="shared" si="46"/>
        <v>104280.54006</v>
      </c>
      <c r="Z25" s="176">
        <f t="shared" si="46"/>
        <v>101855.17541999999</v>
      </c>
      <c r="AA25" s="176">
        <f t="shared" si="46"/>
        <v>68120</v>
      </c>
      <c r="AB25" s="176">
        <f t="shared" ref="AB25:AC25" si="48">AB11</f>
        <v>58376</v>
      </c>
      <c r="AC25" s="176">
        <f t="shared" si="48"/>
        <v>75042</v>
      </c>
      <c r="AD25" s="176">
        <f t="shared" ref="AD25" si="49">AD11</f>
        <v>71669</v>
      </c>
      <c r="AE25" s="175"/>
      <c r="AF25" s="376">
        <f t="shared" si="38"/>
        <v>-4.4948162362410393E-2</v>
      </c>
      <c r="AG25" s="376">
        <f t="shared" si="39"/>
        <v>-0.29636368790812284</v>
      </c>
    </row>
    <row r="26" spans="2:35" ht="13" customHeight="1">
      <c r="B26" s="62" t="str">
        <f>IF('Summary | Sumário'!D$6=Names!B$3,Names!AR32,Names!AS32)</f>
        <v>(+) Inter Loop</v>
      </c>
      <c r="C26" s="175">
        <f t="shared" si="45"/>
        <v>0</v>
      </c>
      <c r="D26" s="175">
        <f t="shared" ref="D26:AA26" si="50">D12</f>
        <v>0</v>
      </c>
      <c r="E26" s="175">
        <f t="shared" si="50"/>
        <v>0</v>
      </c>
      <c r="F26" s="175">
        <f t="shared" si="50"/>
        <v>0</v>
      </c>
      <c r="G26" s="175">
        <f t="shared" si="50"/>
        <v>66571</v>
      </c>
      <c r="H26" s="175">
        <f t="shared" si="50"/>
        <v>126233.79137000001</v>
      </c>
      <c r="I26" s="175">
        <f t="shared" ref="I26" si="51">I12</f>
        <v>165404</v>
      </c>
      <c r="J26" s="175"/>
      <c r="K26" s="175">
        <f t="shared" si="50"/>
        <v>0</v>
      </c>
      <c r="L26" s="175">
        <f t="shared" si="50"/>
        <v>0</v>
      </c>
      <c r="M26" s="175">
        <f t="shared" si="50"/>
        <v>0</v>
      </c>
      <c r="N26" s="175">
        <f t="shared" si="50"/>
        <v>0</v>
      </c>
      <c r="O26" s="175">
        <f t="shared" si="50"/>
        <v>0</v>
      </c>
      <c r="P26" s="175">
        <f t="shared" si="50"/>
        <v>0</v>
      </c>
      <c r="Q26" s="175">
        <f t="shared" si="50"/>
        <v>0</v>
      </c>
      <c r="R26" s="175">
        <f t="shared" si="50"/>
        <v>0</v>
      </c>
      <c r="S26" s="175">
        <f t="shared" si="50"/>
        <v>0</v>
      </c>
      <c r="T26" s="175">
        <f t="shared" si="50"/>
        <v>6574</v>
      </c>
      <c r="U26" s="175">
        <f t="shared" si="50"/>
        <v>26910</v>
      </c>
      <c r="V26" s="175">
        <f t="shared" si="50"/>
        <v>33087</v>
      </c>
      <c r="W26" s="175">
        <f t="shared" si="50"/>
        <v>30086.383590000005</v>
      </c>
      <c r="X26" s="175">
        <f t="shared" si="50"/>
        <v>28632.017450000003</v>
      </c>
      <c r="Y26" s="175">
        <f t="shared" si="50"/>
        <v>30458.598399999999</v>
      </c>
      <c r="Z26" s="175">
        <f t="shared" si="50"/>
        <v>37056.791929999992</v>
      </c>
      <c r="AA26" s="175">
        <f t="shared" si="50"/>
        <v>35976</v>
      </c>
      <c r="AB26" s="175">
        <f t="shared" ref="AB26:AC26" si="52">AB12</f>
        <v>38534</v>
      </c>
      <c r="AC26" s="175">
        <f t="shared" si="52"/>
        <v>38856</v>
      </c>
      <c r="AD26" s="175">
        <f t="shared" ref="AD26" si="53">AD12</f>
        <v>52038</v>
      </c>
      <c r="AE26" s="175"/>
      <c r="AF26" s="375">
        <f t="shared" si="38"/>
        <v>0.3392526250772081</v>
      </c>
      <c r="AG26" s="375">
        <f t="shared" si="39"/>
        <v>0.4042769837793676</v>
      </c>
    </row>
    <row r="27" spans="2:35" ht="13" customHeight="1">
      <c r="B27" s="82" t="str">
        <f>IF('Summary | Sumário'!D$6=Names!B$3,Names!AR26,Names!AS26)</f>
        <v>Interest expenses</v>
      </c>
      <c r="C27" s="176">
        <v>-256717</v>
      </c>
      <c r="D27" s="176">
        <v>-184335</v>
      </c>
      <c r="E27" s="176">
        <v>-543242</v>
      </c>
      <c r="F27" s="176">
        <v>-1972850</v>
      </c>
      <c r="G27" s="176">
        <v>-2887573</v>
      </c>
      <c r="H27" s="176">
        <v>-3311638.4190579997</v>
      </c>
      <c r="I27" s="176">
        <v>-5977127</v>
      </c>
      <c r="J27" s="175"/>
      <c r="K27" s="176">
        <v>-65559</v>
      </c>
      <c r="L27" s="176">
        <v>-86261</v>
      </c>
      <c r="M27" s="176">
        <v>-138587</v>
      </c>
      <c r="N27" s="176">
        <v>-252835</v>
      </c>
      <c r="O27" s="176">
        <v>-336771</v>
      </c>
      <c r="P27" s="176">
        <v>-465041</v>
      </c>
      <c r="Q27" s="176">
        <v>-579678</v>
      </c>
      <c r="R27" s="176">
        <v>-591360</v>
      </c>
      <c r="S27" s="176">
        <v>-672771</v>
      </c>
      <c r="T27" s="176">
        <v>-692206</v>
      </c>
      <c r="U27" s="176">
        <v>-770398</v>
      </c>
      <c r="V27" s="176">
        <v>-752198.00500000012</v>
      </c>
      <c r="W27" s="176">
        <v>-762246.89030000009</v>
      </c>
      <c r="X27" s="176">
        <v>-772642.60900000005</v>
      </c>
      <c r="Y27" s="176">
        <v>-835616.71799999999</v>
      </c>
      <c r="Z27" s="176">
        <v>-941132.20175799984</v>
      </c>
      <c r="AA27" s="176">
        <v>-1179020</v>
      </c>
      <c r="AB27" s="176">
        <v>-1423958</v>
      </c>
      <c r="AC27" s="176">
        <v>-1653759</v>
      </c>
      <c r="AD27" s="176">
        <v>-1720390</v>
      </c>
      <c r="AE27" s="175"/>
      <c r="AF27" s="376">
        <f t="shared" si="38"/>
        <v>4.029063485066442E-2</v>
      </c>
      <c r="AG27" s="376">
        <f t="shared" si="39"/>
        <v>0.82800035615227663</v>
      </c>
    </row>
    <row r="28" spans="2:35" ht="13" customHeight="1">
      <c r="B28" s="51" t="str">
        <f>IF('Summary | Sumário'!D$6=Names!B$3,Names!AR27,Names!AS27)</f>
        <v>(÷) Average active clients</v>
      </c>
      <c r="C28" s="179">
        <f>C13</f>
        <v>2282.6979999999999</v>
      </c>
      <c r="D28" s="179">
        <f t="shared" ref="D28:AA28" si="54">D13</f>
        <v>3767.4889999999996</v>
      </c>
      <c r="E28" s="179">
        <f t="shared" si="54"/>
        <v>7039.3045000000002</v>
      </c>
      <c r="F28" s="179">
        <f t="shared" si="54"/>
        <v>10705.3665</v>
      </c>
      <c r="G28" s="179">
        <f t="shared" si="54"/>
        <v>14494.899000000001</v>
      </c>
      <c r="H28" s="179">
        <f t="shared" si="54"/>
        <v>18483.565000000002</v>
      </c>
      <c r="I28" s="179">
        <f t="shared" ref="I28" si="55">I13</f>
        <v>22773.1165</v>
      </c>
      <c r="J28" s="179"/>
      <c r="K28" s="179">
        <f t="shared" si="54"/>
        <v>4207.674</v>
      </c>
      <c r="L28" s="179">
        <f t="shared" si="54"/>
        <v>6597.8119999999999</v>
      </c>
      <c r="M28" s="179">
        <f t="shared" si="54"/>
        <v>7514.7129999999997</v>
      </c>
      <c r="N28" s="179">
        <f t="shared" si="54"/>
        <v>8396.3904999999995</v>
      </c>
      <c r="O28" s="179">
        <f t="shared" si="54"/>
        <v>9358.8734999999997</v>
      </c>
      <c r="P28" s="179">
        <f t="shared" si="54"/>
        <v>10303.8135</v>
      </c>
      <c r="Q28" s="179">
        <f t="shared" si="54"/>
        <v>11182.7415</v>
      </c>
      <c r="R28" s="179">
        <f t="shared" si="54"/>
        <v>12116.839</v>
      </c>
      <c r="S28" s="179">
        <f t="shared" si="54"/>
        <v>13062.486000000001</v>
      </c>
      <c r="T28" s="179">
        <f t="shared" si="54"/>
        <v>14017.737499999999</v>
      </c>
      <c r="U28" s="179">
        <f t="shared" si="54"/>
        <v>14984.0635</v>
      </c>
      <c r="V28" s="179">
        <f t="shared" si="54"/>
        <v>15939.307000000001</v>
      </c>
      <c r="W28" s="179">
        <f t="shared" si="54"/>
        <v>16909.548000000003</v>
      </c>
      <c r="X28" s="179">
        <f t="shared" si="54"/>
        <v>17907.845500000003</v>
      </c>
      <c r="Y28" s="179">
        <f t="shared" si="54"/>
        <v>18970.246500000001</v>
      </c>
      <c r="Z28" s="179">
        <f t="shared" si="54"/>
        <v>20050.120000000003</v>
      </c>
      <c r="AA28" s="179">
        <f t="shared" si="54"/>
        <v>21070.289000000001</v>
      </c>
      <c r="AB28" s="179">
        <f t="shared" ref="AB28:AC28" si="56">AB13</f>
        <v>22144.881999999998</v>
      </c>
      <c r="AC28" s="179">
        <f t="shared" si="56"/>
        <v>23318.665999999997</v>
      </c>
      <c r="AD28" s="179">
        <f t="shared" ref="AD28" si="57">AD13</f>
        <v>24455.4535</v>
      </c>
      <c r="AE28" s="179"/>
      <c r="AF28" s="349">
        <f t="shared" si="38"/>
        <v>4.8750108603982767E-2</v>
      </c>
      <c r="AG28" s="349">
        <f t="shared" si="39"/>
        <v>0.2197160665372575</v>
      </c>
    </row>
    <row r="29" spans="2:35" ht="13" customHeight="1">
      <c r="B29" s="60" t="str">
        <f>IF('Summary | Sumário'!D$6=Names!B$3,Names!AR28,Names!AS28)</f>
        <v>Active clients</v>
      </c>
      <c r="C29" s="174">
        <f>C14</f>
        <v>2282.6979999999999</v>
      </c>
      <c r="D29" s="174">
        <f t="shared" ref="D29:AA29" si="58">D14</f>
        <v>5252.28</v>
      </c>
      <c r="E29" s="174">
        <f t="shared" si="58"/>
        <v>8826.3289999999997</v>
      </c>
      <c r="F29" s="174">
        <f t="shared" si="58"/>
        <v>12584.404</v>
      </c>
      <c r="G29" s="174">
        <f t="shared" si="58"/>
        <v>16405.394</v>
      </c>
      <c r="H29" s="174">
        <f t="shared" si="58"/>
        <v>20561.736000000001</v>
      </c>
      <c r="I29" s="174">
        <f t="shared" ref="I29" si="59">I14</f>
        <v>24984.496999999999</v>
      </c>
      <c r="J29" s="179"/>
      <c r="K29" s="174">
        <f t="shared" si="58"/>
        <v>6132.65</v>
      </c>
      <c r="L29" s="174">
        <f t="shared" si="58"/>
        <v>7062.9740000000002</v>
      </c>
      <c r="M29" s="174">
        <f t="shared" si="58"/>
        <v>7966.4520000000002</v>
      </c>
      <c r="N29" s="174">
        <f t="shared" si="58"/>
        <v>8826.3289999999997</v>
      </c>
      <c r="O29" s="174">
        <f t="shared" si="58"/>
        <v>9891.4179999999997</v>
      </c>
      <c r="P29" s="174">
        <f t="shared" si="58"/>
        <v>10716.209000000001</v>
      </c>
      <c r="Q29" s="174">
        <f t="shared" si="58"/>
        <v>11649.273999999999</v>
      </c>
      <c r="R29" s="174">
        <f t="shared" si="58"/>
        <v>12584.404</v>
      </c>
      <c r="S29" s="174">
        <f t="shared" si="58"/>
        <v>13540.567999999999</v>
      </c>
      <c r="T29" s="174">
        <f t="shared" si="58"/>
        <v>14494.906999999999</v>
      </c>
      <c r="U29" s="174">
        <f t="shared" si="58"/>
        <v>15473.22</v>
      </c>
      <c r="V29" s="174">
        <f t="shared" si="58"/>
        <v>16405.394</v>
      </c>
      <c r="W29" s="174">
        <f t="shared" si="58"/>
        <v>17413.702000000001</v>
      </c>
      <c r="X29" s="174">
        <f t="shared" si="58"/>
        <v>18401.989000000001</v>
      </c>
      <c r="Y29" s="174">
        <f t="shared" si="58"/>
        <v>19538.504000000001</v>
      </c>
      <c r="Z29" s="174">
        <f t="shared" si="58"/>
        <v>20561.736000000001</v>
      </c>
      <c r="AA29" s="174">
        <f t="shared" si="58"/>
        <v>21578.842000000001</v>
      </c>
      <c r="AB29" s="174">
        <f t="shared" ref="AB29:AC29" si="60">AB14</f>
        <v>22710.921999999999</v>
      </c>
      <c r="AC29" s="174">
        <f t="shared" si="60"/>
        <v>23926.41</v>
      </c>
      <c r="AD29" s="174">
        <f t="shared" ref="AD29" si="61">AD14</f>
        <v>24984.496999999999</v>
      </c>
      <c r="AE29" s="179"/>
      <c r="AF29" s="350">
        <f t="shared" si="38"/>
        <v>4.4222555744886094E-2</v>
      </c>
      <c r="AG29" s="350">
        <f t="shared" si="39"/>
        <v>0.21509667277120958</v>
      </c>
    </row>
    <row r="30" spans="2:35" ht="13" customHeight="1">
      <c r="B30" s="55" t="str">
        <f>IF('Summary | Sumário'!D$6=Names!B$3,Names!AR29,Names!AS29)</f>
        <v>Active clients in the previus period</v>
      </c>
      <c r="C30" s="179">
        <f>C15</f>
        <v>2282.6979999999999</v>
      </c>
      <c r="D30" s="179">
        <f t="shared" ref="D30:AA30" si="62">D15</f>
        <v>2282.6979999999999</v>
      </c>
      <c r="E30" s="179">
        <f t="shared" si="62"/>
        <v>5252.28</v>
      </c>
      <c r="F30" s="179">
        <f t="shared" si="62"/>
        <v>8826.3289999999997</v>
      </c>
      <c r="G30" s="179">
        <f t="shared" si="62"/>
        <v>12584.404</v>
      </c>
      <c r="H30" s="179">
        <f t="shared" si="62"/>
        <v>16405.394</v>
      </c>
      <c r="I30" s="179">
        <f t="shared" ref="I30" si="63">I15</f>
        <v>20561.736000000001</v>
      </c>
      <c r="J30" s="179"/>
      <c r="K30" s="179">
        <f t="shared" si="62"/>
        <v>2282.6979999999999</v>
      </c>
      <c r="L30" s="179">
        <f t="shared" si="62"/>
        <v>6132.65</v>
      </c>
      <c r="M30" s="179">
        <f t="shared" si="62"/>
        <v>7062.9740000000002</v>
      </c>
      <c r="N30" s="179">
        <f t="shared" si="62"/>
        <v>7966.4520000000002</v>
      </c>
      <c r="O30" s="179">
        <f t="shared" si="62"/>
        <v>8826.3289999999997</v>
      </c>
      <c r="P30" s="179">
        <f t="shared" si="62"/>
        <v>9891.4179999999997</v>
      </c>
      <c r="Q30" s="179">
        <f t="shared" si="62"/>
        <v>10716.209000000001</v>
      </c>
      <c r="R30" s="179">
        <f t="shared" si="62"/>
        <v>11649.273999999999</v>
      </c>
      <c r="S30" s="179">
        <f t="shared" si="62"/>
        <v>12584.404</v>
      </c>
      <c r="T30" s="179">
        <f t="shared" si="62"/>
        <v>13540.567999999999</v>
      </c>
      <c r="U30" s="179">
        <f t="shared" si="62"/>
        <v>14494.906999999999</v>
      </c>
      <c r="V30" s="179">
        <f t="shared" si="62"/>
        <v>15473.22</v>
      </c>
      <c r="W30" s="179">
        <f t="shared" si="62"/>
        <v>16405.394</v>
      </c>
      <c r="X30" s="179">
        <f t="shared" si="62"/>
        <v>17413.702000000001</v>
      </c>
      <c r="Y30" s="179">
        <f t="shared" si="62"/>
        <v>18401.989000000001</v>
      </c>
      <c r="Z30" s="179">
        <f t="shared" si="62"/>
        <v>19538.504000000001</v>
      </c>
      <c r="AA30" s="179">
        <f t="shared" si="62"/>
        <v>20561.736000000001</v>
      </c>
      <c r="AB30" s="179">
        <f t="shared" ref="AB30:AC30" si="64">AB15</f>
        <v>21578.842000000001</v>
      </c>
      <c r="AC30" s="179">
        <f t="shared" si="64"/>
        <v>22710.921999999999</v>
      </c>
      <c r="AD30" s="179">
        <f t="shared" ref="AD30" si="65">AD15</f>
        <v>23926.41</v>
      </c>
      <c r="AE30" s="179"/>
      <c r="AF30" s="349">
        <f t="shared" si="38"/>
        <v>5.3519975983361778E-2</v>
      </c>
      <c r="AG30" s="349">
        <f t="shared" si="39"/>
        <v>0.22457737808380829</v>
      </c>
    </row>
    <row r="31" spans="2:35" ht="13" customHeight="1">
      <c r="B31" s="80" t="str">
        <f>IF('Summary | Sumário'!D$6=Names!B$3,Names!AR30,Names!AS30)</f>
        <v>Net ARPAC (R$)</v>
      </c>
      <c r="C31" s="181">
        <f t="shared" ref="C31" si="66">C19/C28</f>
        <v>28.068065362420551</v>
      </c>
      <c r="D31" s="181">
        <f t="shared" ref="D31:AA31" si="67">D19/D28</f>
        <v>25.281336702420809</v>
      </c>
      <c r="E31" s="181">
        <f t="shared" si="67"/>
        <v>30.465638946764312</v>
      </c>
      <c r="F31" s="181">
        <f t="shared" si="67"/>
        <v>31.241092843481812</v>
      </c>
      <c r="G31" s="181">
        <f t="shared" si="67"/>
        <v>29.845051007254341</v>
      </c>
      <c r="H31" s="181">
        <f t="shared" si="67"/>
        <v>31.696587177552658</v>
      </c>
      <c r="I31" s="181">
        <f t="shared" ref="I31" si="68">I19/I28</f>
        <v>33.01316195933628</v>
      </c>
      <c r="J31" s="328"/>
      <c r="K31" s="181">
        <f t="shared" si="67"/>
        <v>37.909147191536221</v>
      </c>
      <c r="L31" s="181">
        <f t="shared" si="67"/>
        <v>27.758613865728016</v>
      </c>
      <c r="M31" s="181">
        <f t="shared" si="67"/>
        <v>30.994658079423658</v>
      </c>
      <c r="N31" s="181">
        <f t="shared" si="67"/>
        <v>33.616337321773372</v>
      </c>
      <c r="O31" s="181">
        <f t="shared" si="67"/>
        <v>33.64290282015957</v>
      </c>
      <c r="P31" s="181">
        <f t="shared" si="67"/>
        <v>32.22833665742624</v>
      </c>
      <c r="Q31" s="181">
        <f t="shared" si="67"/>
        <v>28.619322819900649</v>
      </c>
      <c r="R31" s="181">
        <f t="shared" si="67"/>
        <v>30.603069331861221</v>
      </c>
      <c r="S31" s="181">
        <f t="shared" si="67"/>
        <v>28.760735743563668</v>
      </c>
      <c r="T31" s="181">
        <f t="shared" si="67"/>
        <v>29.637117497266114</v>
      </c>
      <c r="U31" s="181">
        <f t="shared" si="67"/>
        <v>30.545065612319828</v>
      </c>
      <c r="V31" s="181">
        <f t="shared" si="67"/>
        <v>30.213523142505508</v>
      </c>
      <c r="W31" s="181">
        <f t="shared" si="67"/>
        <v>30.129505520395423</v>
      </c>
      <c r="X31" s="181">
        <f t="shared" si="67"/>
        <v>30.36316098666606</v>
      </c>
      <c r="Y31" s="181">
        <f t="shared" si="67"/>
        <v>32.481723260924625</v>
      </c>
      <c r="Z31" s="181">
        <f t="shared" si="67"/>
        <v>33.618866356163508</v>
      </c>
      <c r="AA31" s="181">
        <f t="shared" si="67"/>
        <v>31.366563916929024</v>
      </c>
      <c r="AB31" s="181">
        <f t="shared" ref="AB31:AC31" si="69">AB19/AB28</f>
        <v>32.257105727634944</v>
      </c>
      <c r="AC31" s="181">
        <f t="shared" si="69"/>
        <v>33.204743930606213</v>
      </c>
      <c r="AD31" s="181">
        <f t="shared" ref="AD31" si="70">AD19/AD28</f>
        <v>35.073061856462132</v>
      </c>
      <c r="AE31" s="328"/>
      <c r="AF31" s="378">
        <f t="shared" si="38"/>
        <v>5.6266596416478132E-2</v>
      </c>
      <c r="AG31" s="378">
        <f t="shared" si="39"/>
        <v>4.3255340168007139E-2</v>
      </c>
    </row>
    <row r="32" spans="2:35" ht="13" customHeight="1">
      <c r="B32" s="6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row>
    <row r="33" spans="1:38" ht="13" customHeight="1">
      <c r="B33" s="70"/>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row>
    <row r="34" spans="1:38" ht="13" customHeight="1">
      <c r="B34" s="66"/>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row>
    <row r="35" spans="1:38" ht="13" customHeight="1">
      <c r="B35" s="64"/>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row>
    <row r="36" spans="1:38" ht="13" customHeight="1">
      <c r="B36" s="15"/>
    </row>
    <row r="38" spans="1:38" s="117" customFormat="1" ht="13" customHeight="1">
      <c r="A38" s="116"/>
      <c r="B38" s="48"/>
      <c r="AH38" s="116"/>
      <c r="AI38" s="116"/>
      <c r="AJ38" s="116"/>
      <c r="AK38" s="116"/>
      <c r="AL38" s="116"/>
    </row>
    <row r="39" spans="1:38" ht="13" customHeight="1">
      <c r="X39" s="193"/>
      <c r="Y39" s="193"/>
      <c r="Z39" s="193"/>
      <c r="AA39" s="193"/>
      <c r="AB39" s="193"/>
      <c r="AC39" s="193"/>
      <c r="AD39" s="193"/>
      <c r="AF39" s="492"/>
      <c r="AG39" s="492"/>
      <c r="AH39" s="159"/>
      <c r="AI39" s="493"/>
      <c r="AK39" s="494"/>
    </row>
    <row r="40" spans="1:38" ht="13" customHeight="1">
      <c r="X40" s="193"/>
      <c r="Y40" s="193"/>
      <c r="Z40" s="193"/>
      <c r="AA40" s="193"/>
      <c r="AB40" s="193"/>
      <c r="AC40" s="193"/>
      <c r="AD40" s="193"/>
      <c r="AF40" s="492"/>
      <c r="AG40" s="492"/>
      <c r="AH40" s="159"/>
      <c r="AI40" s="493"/>
    </row>
    <row r="41" spans="1:38" ht="13" customHeight="1">
      <c r="W41" s="193"/>
      <c r="X41" s="193"/>
      <c r="Y41" s="193"/>
      <c r="Z41" s="193"/>
      <c r="AA41" s="193"/>
      <c r="AB41" s="193"/>
      <c r="AC41" s="193"/>
      <c r="AD41" s="193"/>
      <c r="AI41" s="493"/>
    </row>
    <row r="42" spans="1:38" ht="13" customHeight="1">
      <c r="W42" s="193"/>
      <c r="X42" s="193"/>
      <c r="Y42" s="193"/>
      <c r="Z42" s="193"/>
      <c r="AA42" s="193"/>
      <c r="AB42" s="193"/>
      <c r="AC42" s="193"/>
      <c r="AD42" s="193"/>
      <c r="AF42" s="492"/>
      <c r="AG42" s="492"/>
      <c r="AH42" s="159"/>
      <c r="AI42" s="493"/>
    </row>
    <row r="43" spans="1:38" ht="13" customHeight="1">
      <c r="W43" s="193"/>
      <c r="X43" s="193"/>
      <c r="Y43" s="193"/>
      <c r="Z43" s="193"/>
      <c r="AA43" s="193"/>
      <c r="AB43" s="193"/>
      <c r="AC43" s="193"/>
      <c r="AD43" s="193"/>
      <c r="AI43" s="493"/>
    </row>
    <row r="44" spans="1:38" ht="13" customHeight="1">
      <c r="X44" s="193"/>
      <c r="Y44" s="193"/>
      <c r="Z44" s="193"/>
      <c r="AA44" s="193"/>
      <c r="AB44" s="193"/>
      <c r="AC44" s="193"/>
      <c r="AD44" s="193"/>
      <c r="AF44" s="492"/>
      <c r="AG44" s="492"/>
      <c r="AH44" s="159"/>
      <c r="AI44" s="493"/>
    </row>
    <row r="45" spans="1:38" ht="13" customHeight="1">
      <c r="AF45" s="492"/>
      <c r="AG45" s="492"/>
      <c r="AH45" s="159"/>
      <c r="AI45" s="493"/>
    </row>
    <row r="46" spans="1:38" ht="13" customHeight="1">
      <c r="AI46" s="493"/>
    </row>
    <row r="47" spans="1:38" ht="13" customHeight="1">
      <c r="AF47" s="492"/>
      <c r="AG47" s="492"/>
      <c r="AH47" s="159"/>
      <c r="AI47" s="493"/>
    </row>
    <row r="48" spans="1:38" ht="13" customHeight="1">
      <c r="AF48" s="492"/>
      <c r="AG48" s="492"/>
      <c r="AH48" s="159"/>
      <c r="AI48" s="493"/>
    </row>
    <row r="49" spans="34:36" ht="13" customHeight="1">
      <c r="AI49" s="493"/>
    </row>
    <row r="54" spans="34:36" ht="13" customHeight="1">
      <c r="AH54" s="490"/>
    </row>
    <row r="55" spans="34:36" ht="13" customHeight="1">
      <c r="AH55" s="490"/>
      <c r="AJ55" s="229"/>
    </row>
    <row r="56" spans="34:36" ht="13" customHeight="1">
      <c r="AH56" s="490"/>
      <c r="AJ56" s="491"/>
    </row>
    <row r="57" spans="34:36" ht="13" customHeight="1">
      <c r="AJ57" s="491"/>
    </row>
    <row r="58" spans="34:36" ht="13" customHeight="1">
      <c r="AJ58" s="491"/>
    </row>
  </sheetData>
  <sheetProtection algorithmName="SHA-512" hashValue="OQ/lY0bXU71WwzTN7HYolqFbRc1DSIN17uYvaj6kNPOzcq8F23htTwdYvbVtRzFxrLq0OHXo5Yr3wrvMYUajGg==" saltValue="//wxXTBs4/e/saVYfsX7p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6E0A-FF71-1D4C-8C0E-32C40F189DDC}">
  <sheetPr codeName="Sheet19">
    <tabColor rgb="FFF7CAB0"/>
  </sheetPr>
  <dimension ref="A1:AK22"/>
  <sheetViews>
    <sheetView showGridLines="0" zoomScaleNormal="100" zoomScaleSheetLayoutView="5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ustomWidth="1"/>
    <col min="10" max="10" width="2.83203125" style="116" customWidth="1"/>
    <col min="11" max="30" width="10.83203125" style="116" customWidth="1"/>
    <col min="31" max="31" width="5.83203125" style="116" customWidth="1"/>
    <col min="32" max="33" width="10.83203125" style="116" customWidth="1"/>
    <col min="34" max="16384" width="10.83203125" style="116"/>
  </cols>
  <sheetData>
    <row r="1" spans="1:37" ht="13" customHeight="1">
      <c r="C1" s="117"/>
      <c r="D1" s="117"/>
      <c r="E1" s="117"/>
      <c r="F1" s="117"/>
      <c r="G1" s="117"/>
      <c r="H1" s="117"/>
      <c r="I1" s="117"/>
      <c r="K1" s="117"/>
      <c r="L1" s="117"/>
      <c r="M1" s="117"/>
      <c r="N1" s="117"/>
      <c r="O1" s="117"/>
      <c r="P1" s="117"/>
      <c r="Q1" s="117"/>
      <c r="R1" s="117"/>
      <c r="S1" s="117"/>
    </row>
    <row r="2" spans="1:37" s="10" customFormat="1" ht="13" customHeight="1">
      <c r="B2" s="267" t="str">
        <f>IF('Summary | Sumário'!D$6=Names!B$3,Names!AA1,Names!AB1)</f>
        <v>Funding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1:37"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row>
    <row r="4" spans="1:37" ht="13" customHeight="1">
      <c r="A4" s="211"/>
      <c r="B4" s="3" t="str">
        <f>IF('Summary | Sumário'!D$6=Names!B$3,Names!AA37,Names!AB10)</f>
        <v>All-in cost of funding</v>
      </c>
      <c r="AH4" s="219"/>
    </row>
    <row r="5" spans="1:37" ht="13" customHeight="1">
      <c r="A5" s="211"/>
      <c r="B5" s="271" t="str">
        <f>IF('Summary | Sumário'!D$6=Names!B$3,Names!AA11,Names!AB11)</f>
        <v>Annualized interest expenses</v>
      </c>
      <c r="C5" s="289">
        <f>C6</f>
        <v>256717</v>
      </c>
      <c r="D5" s="289">
        <f t="shared" ref="D5:F5" si="0">D6</f>
        <v>184335</v>
      </c>
      <c r="E5" s="289">
        <f t="shared" si="0"/>
        <v>543242</v>
      </c>
      <c r="F5" s="289">
        <f t="shared" si="0"/>
        <v>1972850</v>
      </c>
      <c r="G5" s="289">
        <f>G6</f>
        <v>2887573</v>
      </c>
      <c r="H5" s="289">
        <f>H6</f>
        <v>3311638.4190579997</v>
      </c>
      <c r="I5" s="289">
        <f>I6</f>
        <v>5977127</v>
      </c>
      <c r="J5" s="179"/>
      <c r="K5" s="289">
        <f>K6*4</f>
        <v>262236</v>
      </c>
      <c r="L5" s="289">
        <f t="shared" ref="L5:AB5" si="1">L6*4</f>
        <v>345044</v>
      </c>
      <c r="M5" s="289">
        <f t="shared" si="1"/>
        <v>554348</v>
      </c>
      <c r="N5" s="289">
        <f t="shared" si="1"/>
        <v>1011340</v>
      </c>
      <c r="O5" s="289">
        <f t="shared" si="1"/>
        <v>1347084</v>
      </c>
      <c r="P5" s="289">
        <f t="shared" si="1"/>
        <v>1860164</v>
      </c>
      <c r="Q5" s="289">
        <f t="shared" si="1"/>
        <v>2318712</v>
      </c>
      <c r="R5" s="289">
        <f t="shared" si="1"/>
        <v>2365440</v>
      </c>
      <c r="S5" s="289">
        <f t="shared" si="1"/>
        <v>2691084</v>
      </c>
      <c r="T5" s="289">
        <f t="shared" si="1"/>
        <v>2768824</v>
      </c>
      <c r="U5" s="289">
        <f t="shared" si="1"/>
        <v>3081592</v>
      </c>
      <c r="V5" s="289">
        <f t="shared" si="1"/>
        <v>3008792.0200000005</v>
      </c>
      <c r="W5" s="289">
        <f t="shared" si="1"/>
        <v>3048987.5612000003</v>
      </c>
      <c r="X5" s="289">
        <f t="shared" si="1"/>
        <v>3090570.4360000002</v>
      </c>
      <c r="Y5" s="289">
        <f t="shared" si="1"/>
        <v>3342466.872</v>
      </c>
      <c r="Z5" s="289">
        <f t="shared" si="1"/>
        <v>3764528.8070319993</v>
      </c>
      <c r="AA5" s="289">
        <f t="shared" si="1"/>
        <v>4716080</v>
      </c>
      <c r="AB5" s="289">
        <f t="shared" si="1"/>
        <v>5695832</v>
      </c>
      <c r="AC5" s="289">
        <f>AC6*4</f>
        <v>6615036</v>
      </c>
      <c r="AD5" s="289">
        <f>AD6*4</f>
        <v>6881560</v>
      </c>
      <c r="AE5" s="179"/>
      <c r="AF5" s="348">
        <f>AD5/AC5-1</f>
        <v>4.029063485066442E-2</v>
      </c>
      <c r="AG5" s="348">
        <f>AD5/Z5-1</f>
        <v>0.82800035615227663</v>
      </c>
      <c r="AH5" s="219"/>
    </row>
    <row r="6" spans="1:37" ht="13" customHeight="1">
      <c r="A6" s="211"/>
      <c r="B6" s="110" t="str">
        <f>IF('Summary | Sumário'!D$6=Names!B$3,Names!AA12,Names!AB12)</f>
        <v>Interest expenses</v>
      </c>
      <c r="C6" s="179">
        <v>256717</v>
      </c>
      <c r="D6" s="179">
        <v>184335</v>
      </c>
      <c r="E6" s="179">
        <v>543242</v>
      </c>
      <c r="F6" s="179">
        <v>1972850</v>
      </c>
      <c r="G6" s="179">
        <v>2887573</v>
      </c>
      <c r="H6" s="179">
        <v>3311638.4190579997</v>
      </c>
      <c r="I6" s="179">
        <v>5977127</v>
      </c>
      <c r="J6" s="179"/>
      <c r="K6" s="179">
        <v>65559</v>
      </c>
      <c r="L6" s="179">
        <v>86261</v>
      </c>
      <c r="M6" s="179">
        <v>138587</v>
      </c>
      <c r="N6" s="179">
        <v>252835</v>
      </c>
      <c r="O6" s="179">
        <v>336771</v>
      </c>
      <c r="P6" s="179">
        <v>465041</v>
      </c>
      <c r="Q6" s="179">
        <v>579678</v>
      </c>
      <c r="R6" s="179">
        <v>591360</v>
      </c>
      <c r="S6" s="179">
        <v>672771</v>
      </c>
      <c r="T6" s="179">
        <v>692206</v>
      </c>
      <c r="U6" s="179">
        <v>770398</v>
      </c>
      <c r="V6" s="179">
        <v>752198.00500000012</v>
      </c>
      <c r="W6" s="179">
        <v>762246.89030000009</v>
      </c>
      <c r="X6" s="179">
        <v>772642.60900000005</v>
      </c>
      <c r="Y6" s="179">
        <v>835616.71799999999</v>
      </c>
      <c r="Z6" s="179">
        <v>941132.20175799984</v>
      </c>
      <c r="AA6" s="179">
        <v>1179020</v>
      </c>
      <c r="AB6" s="179">
        <v>1423958</v>
      </c>
      <c r="AC6" s="179">
        <v>1653759</v>
      </c>
      <c r="AD6" s="179">
        <v>1720390</v>
      </c>
      <c r="AE6" s="179"/>
      <c r="AF6" s="349">
        <f>AD6/AC6-1</f>
        <v>4.029063485066442E-2</v>
      </c>
      <c r="AG6" s="349">
        <f>AD6/Z6-1</f>
        <v>0.82800035615227663</v>
      </c>
      <c r="AH6" s="219"/>
    </row>
    <row r="7" spans="1:37" ht="13" customHeight="1">
      <c r="A7" s="211"/>
      <c r="B7" s="22" t="str">
        <f>IF('Summary | Sumário'!D$6=Names!B$3,Names!AA13,Names!AB13)</f>
        <v>(÷) Average funding</v>
      </c>
      <c r="C7" s="221">
        <f>AVERAGE(C8:C9)</f>
        <v>6974552</v>
      </c>
      <c r="D7" s="221">
        <f t="shared" ref="D7:AA7" si="2">AVERAGE(D8:D9)</f>
        <v>10635449.5</v>
      </c>
      <c r="E7" s="221">
        <f t="shared" si="2"/>
        <v>18670032</v>
      </c>
      <c r="F7" s="221">
        <f t="shared" si="2"/>
        <v>27780267.5</v>
      </c>
      <c r="G7" s="221">
        <f t="shared" si="2"/>
        <v>38014925</v>
      </c>
      <c r="H7" s="221">
        <f t="shared" si="2"/>
        <v>49289164.19822</v>
      </c>
      <c r="I7" s="221">
        <f t="shared" ref="I7" si="3">AVERAGE(I8:I9)</f>
        <v>63992451.19822</v>
      </c>
      <c r="J7" s="220"/>
      <c r="K7" s="221">
        <f t="shared" si="2"/>
        <v>14818087.006689999</v>
      </c>
      <c r="L7" s="221">
        <f t="shared" si="2"/>
        <v>16731200.244014997</v>
      </c>
      <c r="M7" s="221">
        <f t="shared" si="2"/>
        <v>19641228.496824998</v>
      </c>
      <c r="N7" s="221">
        <f t="shared" si="2"/>
        <v>22101800.259500001</v>
      </c>
      <c r="O7" s="221">
        <f t="shared" si="2"/>
        <v>23894688</v>
      </c>
      <c r="P7" s="221">
        <f t="shared" si="2"/>
        <v>26211898</v>
      </c>
      <c r="Q7" s="221">
        <f t="shared" si="2"/>
        <v>29183363</v>
      </c>
      <c r="R7" s="221">
        <f t="shared" si="2"/>
        <v>31602703.5</v>
      </c>
      <c r="S7" s="221">
        <f t="shared" si="2"/>
        <v>33024751.5</v>
      </c>
      <c r="T7" s="221">
        <f t="shared" si="2"/>
        <v>34598886.020369999</v>
      </c>
      <c r="U7" s="221">
        <f t="shared" si="2"/>
        <v>37618356.800609998</v>
      </c>
      <c r="V7" s="221">
        <f t="shared" si="2"/>
        <v>41542329.280239999</v>
      </c>
      <c r="W7" s="221">
        <f t="shared" si="2"/>
        <v>43648306.502857968</v>
      </c>
      <c r="X7" s="221">
        <f t="shared" si="2"/>
        <v>45771591.04785797</v>
      </c>
      <c r="Y7" s="221">
        <f t="shared" si="2"/>
        <v>49013724.09087</v>
      </c>
      <c r="Z7" s="221">
        <f t="shared" si="2"/>
        <v>52666571.744089998</v>
      </c>
      <c r="AA7" s="221">
        <f t="shared" si="2"/>
        <v>57069702.19822</v>
      </c>
      <c r="AB7" s="221">
        <f t="shared" ref="AB7" si="4">AVERAGE(AB8:AB9)</f>
        <v>60657909</v>
      </c>
      <c r="AC7" s="221">
        <f>AVERAGE(AC8:AC9)</f>
        <v>65095187</v>
      </c>
      <c r="AD7" s="221">
        <f>AVERAGE(AD8:AD9)</f>
        <v>70434135</v>
      </c>
      <c r="AE7" s="220"/>
      <c r="AF7" s="354">
        <f>AD7/AC7-1</f>
        <v>8.2017553770910911E-2</v>
      </c>
      <c r="AG7" s="354">
        <f>AD7/Z7-1</f>
        <v>0.33735940403039044</v>
      </c>
      <c r="AH7" s="219"/>
    </row>
    <row r="8" spans="1:37" ht="13" customHeight="1">
      <c r="A8" s="211"/>
      <c r="B8" s="110" t="str">
        <f>IF('Summary | Sumário'!D$6=Names!B$3,Names!AA14,Names!AB14)</f>
        <v>Total funding</v>
      </c>
      <c r="C8" s="220">
        <f>'4. Funding'!C15</f>
        <v>6974552</v>
      </c>
      <c r="D8" s="220">
        <f>'4. Funding'!D15</f>
        <v>14296347</v>
      </c>
      <c r="E8" s="220">
        <f>'4. Funding'!E15</f>
        <v>23043717</v>
      </c>
      <c r="F8" s="220">
        <f>'4. Funding'!F15</f>
        <v>32516818</v>
      </c>
      <c r="G8" s="220">
        <f>'4. Funding'!G15</f>
        <v>43513032</v>
      </c>
      <c r="H8" s="220">
        <f>'4. Funding'!H15</f>
        <v>55065296.396439999</v>
      </c>
      <c r="I8" s="220">
        <f>'4. Funding'!I15</f>
        <v>72919606</v>
      </c>
      <c r="J8" s="220"/>
      <c r="K8" s="220">
        <f>'4. Funding'!K15</f>
        <v>15339827.01338</v>
      </c>
      <c r="L8" s="220">
        <f>'4. Funding'!L15</f>
        <v>18122573.474649996</v>
      </c>
      <c r="M8" s="220">
        <f>'4. Funding'!M15</f>
        <v>21159883.519000001</v>
      </c>
      <c r="N8" s="220">
        <f>'4. Funding'!N15</f>
        <v>23043717</v>
      </c>
      <c r="O8" s="220">
        <f>'4. Funding'!O15</f>
        <v>24745659</v>
      </c>
      <c r="P8" s="220">
        <f>'4. Funding'!P15</f>
        <v>27678137</v>
      </c>
      <c r="Q8" s="220">
        <f>'4. Funding'!Q15</f>
        <v>30688589</v>
      </c>
      <c r="R8" s="220">
        <f>'4. Funding'!R15</f>
        <v>32516818</v>
      </c>
      <c r="S8" s="220">
        <f>'4. Funding'!S15</f>
        <v>33532685</v>
      </c>
      <c r="T8" s="220">
        <f>'4. Funding'!T15</f>
        <v>35665087.040739998</v>
      </c>
      <c r="U8" s="220">
        <f>'4. Funding'!U15</f>
        <v>39571626.560479999</v>
      </c>
      <c r="V8" s="220">
        <f>'4. Funding'!V15</f>
        <v>43513032</v>
      </c>
      <c r="W8" s="220">
        <f>'4. Funding'!W15</f>
        <v>43783581.005715944</v>
      </c>
      <c r="X8" s="220">
        <f>'4. Funding'!X15</f>
        <v>47759601.090000004</v>
      </c>
      <c r="Y8" s="220">
        <f>'4. Funding'!Y15</f>
        <v>50267847.091739997</v>
      </c>
      <c r="Z8" s="220">
        <f>'4. Funding'!Z15</f>
        <v>55065296.396439999</v>
      </c>
      <c r="AA8" s="220">
        <f>'4. Funding'!AA15</f>
        <v>59074108</v>
      </c>
      <c r="AB8" s="220">
        <f>'4. Funding'!AB15</f>
        <v>62241710</v>
      </c>
      <c r="AC8" s="220">
        <f>'4. Funding'!AC15</f>
        <v>67948664</v>
      </c>
      <c r="AD8" s="220">
        <f>'4. Funding'!AD15</f>
        <v>72919606</v>
      </c>
      <c r="AE8" s="220"/>
      <c r="AF8" s="353">
        <f>AD8/AC8-1</f>
        <v>7.3157317706791014E-2</v>
      </c>
      <c r="AG8" s="353">
        <f>AD8/Z8-1</f>
        <v>0.3242388722475722</v>
      </c>
      <c r="AH8" s="219"/>
    </row>
    <row r="9" spans="1:37" ht="13" customHeight="1">
      <c r="A9" s="211"/>
      <c r="B9" s="111" t="str">
        <f>IF('Summary | Sumário'!D$6=Names!B$3,Names!AA15,Names!AB15)</f>
        <v>Total funding in the previous period</v>
      </c>
      <c r="C9" s="221">
        <f>C8</f>
        <v>6974552</v>
      </c>
      <c r="D9" s="221">
        <f>C8</f>
        <v>6974552</v>
      </c>
      <c r="E9" s="221">
        <f t="shared" ref="E9:AD9" si="5">D8</f>
        <v>14296347</v>
      </c>
      <c r="F9" s="221">
        <f t="shared" si="5"/>
        <v>23043717</v>
      </c>
      <c r="G9" s="221">
        <f t="shared" si="5"/>
        <v>32516818</v>
      </c>
      <c r="H9" s="221">
        <f t="shared" si="5"/>
        <v>43513032</v>
      </c>
      <c r="I9" s="221">
        <f t="shared" si="5"/>
        <v>55065296.396439999</v>
      </c>
      <c r="J9" s="220"/>
      <c r="K9" s="221">
        <f>D8</f>
        <v>14296347</v>
      </c>
      <c r="L9" s="221">
        <f t="shared" si="5"/>
        <v>15339827.01338</v>
      </c>
      <c r="M9" s="221">
        <f t="shared" si="5"/>
        <v>18122573.474649996</v>
      </c>
      <c r="N9" s="221">
        <f t="shared" si="5"/>
        <v>21159883.519000001</v>
      </c>
      <c r="O9" s="221">
        <f t="shared" si="5"/>
        <v>23043717</v>
      </c>
      <c r="P9" s="221">
        <f t="shared" si="5"/>
        <v>24745659</v>
      </c>
      <c r="Q9" s="221">
        <f t="shared" si="5"/>
        <v>27678137</v>
      </c>
      <c r="R9" s="221">
        <f t="shared" si="5"/>
        <v>30688589</v>
      </c>
      <c r="S9" s="221">
        <f t="shared" si="5"/>
        <v>32516818</v>
      </c>
      <c r="T9" s="221">
        <f t="shared" si="5"/>
        <v>33532685</v>
      </c>
      <c r="U9" s="221">
        <f t="shared" si="5"/>
        <v>35665087.040739998</v>
      </c>
      <c r="V9" s="221">
        <f t="shared" si="5"/>
        <v>39571626.560479999</v>
      </c>
      <c r="W9" s="221">
        <f t="shared" si="5"/>
        <v>43513032</v>
      </c>
      <c r="X9" s="221">
        <f t="shared" si="5"/>
        <v>43783581.005715944</v>
      </c>
      <c r="Y9" s="221">
        <f t="shared" si="5"/>
        <v>47759601.090000004</v>
      </c>
      <c r="Z9" s="221">
        <f t="shared" si="5"/>
        <v>50267847.091739997</v>
      </c>
      <c r="AA9" s="221">
        <f t="shared" si="5"/>
        <v>55065296.396439999</v>
      </c>
      <c r="AB9" s="221">
        <f t="shared" si="5"/>
        <v>59074108</v>
      </c>
      <c r="AC9" s="221">
        <f t="shared" si="5"/>
        <v>62241710</v>
      </c>
      <c r="AD9" s="221">
        <f t="shared" si="5"/>
        <v>67948664</v>
      </c>
      <c r="AE9" s="220"/>
      <c r="AF9" s="354">
        <f>AD9/AC9-1</f>
        <v>9.1690186532471518E-2</v>
      </c>
      <c r="AG9" s="354">
        <f>AD9/Z9-1</f>
        <v>0.35173212960547318</v>
      </c>
      <c r="AH9" s="219"/>
    </row>
    <row r="10" spans="1:37" ht="13" customHeight="1">
      <c r="A10" s="211"/>
      <c r="B10" s="287" t="str">
        <f>IF('Summary | Sumário'!D$6=Names!B$3,Names!AA36,Names!AB16)</f>
        <v>All-in cost of funding (%)</v>
      </c>
      <c r="C10" s="297">
        <f>C5/C7</f>
        <v>3.6807668793637213E-2</v>
      </c>
      <c r="D10" s="297">
        <f t="shared" ref="D10:AA10" si="6">D5/D7</f>
        <v>1.7332130625978714E-2</v>
      </c>
      <c r="E10" s="297">
        <f t="shared" si="6"/>
        <v>2.9097004225809575E-2</v>
      </c>
      <c r="F10" s="297">
        <f t="shared" si="6"/>
        <v>7.1016234814873541E-2</v>
      </c>
      <c r="G10" s="297">
        <f t="shared" si="6"/>
        <v>7.5958929288956908E-2</v>
      </c>
      <c r="H10" s="297">
        <f t="shared" si="6"/>
        <v>6.7187960537127431E-2</v>
      </c>
      <c r="I10" s="297">
        <f t="shared" ref="I10" si="7">I5/I7</f>
        <v>9.3403626335324036E-2</v>
      </c>
      <c r="J10" s="324"/>
      <c r="K10" s="297">
        <f t="shared" si="6"/>
        <v>1.7697021206691994E-2</v>
      </c>
      <c r="L10" s="297">
        <f t="shared" si="6"/>
        <v>2.0622788261913692E-2</v>
      </c>
      <c r="M10" s="297">
        <f t="shared" si="6"/>
        <v>2.8223692835181377E-2</v>
      </c>
      <c r="N10" s="297">
        <f t="shared" si="6"/>
        <v>4.5758263495540207E-2</v>
      </c>
      <c r="O10" s="297">
        <f t="shared" si="6"/>
        <v>5.637587734981097E-2</v>
      </c>
      <c r="P10" s="297">
        <f t="shared" si="6"/>
        <v>7.0966398541608855E-2</v>
      </c>
      <c r="Q10" s="297">
        <f t="shared" si="6"/>
        <v>7.9453214490735696E-2</v>
      </c>
      <c r="R10" s="297">
        <f t="shared" si="6"/>
        <v>7.48492925613152E-2</v>
      </c>
      <c r="S10" s="297">
        <f t="shared" si="6"/>
        <v>8.148688113519946E-2</v>
      </c>
      <c r="T10" s="297">
        <f t="shared" si="6"/>
        <v>8.0026391554047796E-2</v>
      </c>
      <c r="U10" s="297">
        <f t="shared" si="6"/>
        <v>8.1917240998416782E-2</v>
      </c>
      <c r="V10" s="297">
        <f t="shared" si="6"/>
        <v>7.2427138105401342E-2</v>
      </c>
      <c r="W10" s="297">
        <f t="shared" si="6"/>
        <v>6.9853513354529828E-2</v>
      </c>
      <c r="X10" s="297">
        <f t="shared" si="6"/>
        <v>6.7521586321274127E-2</v>
      </c>
      <c r="Y10" s="297">
        <f t="shared" si="6"/>
        <v>6.8194509476634843E-2</v>
      </c>
      <c r="Z10" s="297">
        <f t="shared" si="6"/>
        <v>7.1478523897930329E-2</v>
      </c>
      <c r="AA10" s="297">
        <f t="shared" si="6"/>
        <v>8.2637193087492483E-2</v>
      </c>
      <c r="AB10" s="297">
        <f t="shared" ref="AB10" si="8">AB5/AB7</f>
        <v>9.3900895924388036E-2</v>
      </c>
      <c r="AC10" s="297">
        <f>AC5/AC7</f>
        <v>0.10162096930453553</v>
      </c>
      <c r="AD10" s="297">
        <f>AD5/AD7</f>
        <v>9.7702058809978995E-2</v>
      </c>
      <c r="AE10" s="324"/>
      <c r="AF10" s="356">
        <f>(AD10-AC10)*100</f>
        <v>-0.39189104945565323</v>
      </c>
      <c r="AG10" s="356">
        <f>(AD10-Z10)*100</f>
        <v>2.6223534912048665</v>
      </c>
      <c r="AH10" s="219"/>
    </row>
    <row r="11" spans="1:37" ht="13" customHeight="1">
      <c r="A11" s="211"/>
      <c r="B11" s="112" t="str">
        <f>IF('Summary | Sumário'!D$6=Names!B$3,Names!AA17,Names!AB17)</f>
        <v>(÷) Average daily CDI rate in the period (%)</v>
      </c>
      <c r="C11" s="225">
        <v>5.9375494071146499E-2</v>
      </c>
      <c r="D11" s="225">
        <v>2.7735059760956016E-2</v>
      </c>
      <c r="E11" s="225">
        <v>4.4600000000000001E-2</v>
      </c>
      <c r="F11" s="225">
        <v>0.124527888446216</v>
      </c>
      <c r="G11" s="225">
        <v>0.1320823293</v>
      </c>
      <c r="H11" s="225">
        <v>0.10831818181818199</v>
      </c>
      <c r="I11" s="225">
        <v>0.14308811475409824</v>
      </c>
      <c r="J11" s="222"/>
      <c r="K11" s="225">
        <v>2.022950819672133E-2</v>
      </c>
      <c r="L11" s="225">
        <v>3.2427419354838741E-2</v>
      </c>
      <c r="M11" s="225">
        <v>4.8576923076923101E-2</v>
      </c>
      <c r="N11" s="225">
        <v>7.6261904761904697E-2</v>
      </c>
      <c r="O11" s="225">
        <v>0.10270967741935499</v>
      </c>
      <c r="P11" s="225">
        <v>0.123758064516129</v>
      </c>
      <c r="Q11" s="225">
        <v>0.13465384615384601</v>
      </c>
      <c r="R11" s="225">
        <v>0.13650000000000001</v>
      </c>
      <c r="S11" s="225">
        <v>0.13650000000000001</v>
      </c>
      <c r="T11" s="225">
        <v>0.13650000000000001</v>
      </c>
      <c r="U11" s="225">
        <v>0.13275000000000001</v>
      </c>
      <c r="V11" s="225">
        <v>0.1224016393</v>
      </c>
      <c r="W11" s="225">
        <v>0.11281147540983601</v>
      </c>
      <c r="X11" s="225">
        <v>0.10507142857142864</v>
      </c>
      <c r="Y11" s="225">
        <v>0.10430303030303033</v>
      </c>
      <c r="Z11" s="225">
        <v>0.1114206349206348</v>
      </c>
      <c r="AA11" s="225">
        <v>0.129532786885246</v>
      </c>
      <c r="AB11" s="225">
        <v>0.14481967213114699</v>
      </c>
      <c r="AC11" s="225">
        <v>0.14899999999999999</v>
      </c>
      <c r="AD11" s="225">
        <v>0.14899999999999999</v>
      </c>
      <c r="AE11" s="222"/>
      <c r="AF11" s="344">
        <f>(AD11-AC11)*100</f>
        <v>0</v>
      </c>
      <c r="AG11" s="344">
        <f>(AD11-Z11)*100</f>
        <v>3.7579365079365199</v>
      </c>
      <c r="AH11" s="219"/>
    </row>
    <row r="12" spans="1:37" ht="13" customHeight="1">
      <c r="A12" s="211"/>
      <c r="B12" s="287" t="str">
        <f>IF('Summary | Sumário'!D$6=Names!B$3,Names!AA35,Names!AB18)</f>
        <v>All-in cost of funding % of CDI</v>
      </c>
      <c r="C12" s="297">
        <f t="shared" ref="C12:AA12" si="9">C10/C11</f>
        <v>0.61991347389097162</v>
      </c>
      <c r="D12" s="297">
        <f t="shared" si="9"/>
        <v>0.62491773139706708</v>
      </c>
      <c r="E12" s="297">
        <f t="shared" si="9"/>
        <v>0.65239919788810707</v>
      </c>
      <c r="F12" s="297">
        <f t="shared" si="9"/>
        <v>0.57028377900702687</v>
      </c>
      <c r="G12" s="297">
        <f t="shared" si="9"/>
        <v>0.57508774785785755</v>
      </c>
      <c r="H12" s="297">
        <f t="shared" si="9"/>
        <v>0.62028331171498152</v>
      </c>
      <c r="I12" s="297">
        <f t="shared" ref="I12" si="10">I10/I11</f>
        <v>0.65276998369739736</v>
      </c>
      <c r="J12" s="324"/>
      <c r="K12" s="297">
        <f t="shared" si="9"/>
        <v>0.87481223144911713</v>
      </c>
      <c r="L12" s="297">
        <f t="shared" si="9"/>
        <v>0.63596760618684289</v>
      </c>
      <c r="M12" s="297">
        <f t="shared" si="9"/>
        <v>0.58101030381212626</v>
      </c>
      <c r="N12" s="297">
        <f t="shared" si="9"/>
        <v>0.60001469460277557</v>
      </c>
      <c r="O12" s="297">
        <f t="shared" si="9"/>
        <v>0.54888574052893768</v>
      </c>
      <c r="P12" s="297">
        <f t="shared" si="9"/>
        <v>0.57342847772445593</v>
      </c>
      <c r="Q12" s="297">
        <f t="shared" si="9"/>
        <v>0.59005529184779504</v>
      </c>
      <c r="R12" s="297">
        <f t="shared" si="9"/>
        <v>0.54834646565066081</v>
      </c>
      <c r="S12" s="297">
        <f t="shared" si="9"/>
        <v>0.59697348816995932</v>
      </c>
      <c r="T12" s="297">
        <f t="shared" si="9"/>
        <v>0.5862739307988849</v>
      </c>
      <c r="U12" s="297">
        <f t="shared" si="9"/>
        <v>0.61707902823666128</v>
      </c>
      <c r="V12" s="297">
        <f t="shared" si="9"/>
        <v>0.59171705967014232</v>
      </c>
      <c r="W12" s="297">
        <f t="shared" si="9"/>
        <v>0.61920574215306567</v>
      </c>
      <c r="X12" s="297">
        <f t="shared" si="9"/>
        <v>0.64262556661987569</v>
      </c>
      <c r="Y12" s="297">
        <f t="shared" si="9"/>
        <v>0.65381139242560993</v>
      </c>
      <c r="Z12" s="297">
        <f t="shared" si="9"/>
        <v>0.64151962469828561</v>
      </c>
      <c r="AA12" s="297">
        <f t="shared" si="9"/>
        <v>0.63796352317117477</v>
      </c>
      <c r="AB12" s="297">
        <f t="shared" ref="AB12" si="11">AB10/AB11</f>
        <v>0.64839876062799318</v>
      </c>
      <c r="AC12" s="297">
        <f>AC10/AC11</f>
        <v>0.68201992821835933</v>
      </c>
      <c r="AD12" s="297">
        <f>AD10/AD11</f>
        <v>0.6557185155032148</v>
      </c>
      <c r="AE12" s="324"/>
      <c r="AF12" s="356">
        <f>(AD12-AC12)*100</f>
        <v>-2.6301412715144523</v>
      </c>
      <c r="AG12" s="356">
        <f>(AD12-Z12)*100</f>
        <v>1.4198890804929198</v>
      </c>
      <c r="AH12" s="219"/>
    </row>
    <row r="13" spans="1:37" ht="13" customHeight="1">
      <c r="A13" s="211"/>
      <c r="AH13" s="219"/>
    </row>
    <row r="14" spans="1:37" ht="13" customHeight="1">
      <c r="B14" s="3" t="s">
        <v>851</v>
      </c>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row>
    <row r="15" spans="1:37" ht="13" customHeight="1">
      <c r="B15" s="271" t="s">
        <v>466</v>
      </c>
      <c r="C15" s="289">
        <f>C16</f>
        <v>256717</v>
      </c>
      <c r="D15" s="289">
        <f t="shared" ref="D15:I15" si="12">D16</f>
        <v>184335</v>
      </c>
      <c r="E15" s="289">
        <f t="shared" si="12"/>
        <v>543242</v>
      </c>
      <c r="F15" s="289">
        <f t="shared" si="12"/>
        <v>1972850</v>
      </c>
      <c r="G15" s="289">
        <f t="shared" si="12"/>
        <v>2887573</v>
      </c>
      <c r="H15" s="289">
        <f t="shared" si="12"/>
        <v>3311638.4190579997</v>
      </c>
      <c r="I15" s="289">
        <f t="shared" si="12"/>
        <v>5977127</v>
      </c>
      <c r="J15" s="226"/>
      <c r="K15" s="289">
        <f>K16*4</f>
        <v>262236</v>
      </c>
      <c r="L15" s="289">
        <f t="shared" ref="L15:AD15" si="13">L16*4</f>
        <v>345044</v>
      </c>
      <c r="M15" s="289">
        <f t="shared" si="13"/>
        <v>554348</v>
      </c>
      <c r="N15" s="289">
        <f t="shared" si="13"/>
        <v>1011340</v>
      </c>
      <c r="O15" s="289">
        <f t="shared" si="13"/>
        <v>1347084</v>
      </c>
      <c r="P15" s="289">
        <f t="shared" si="13"/>
        <v>1860164</v>
      </c>
      <c r="Q15" s="289">
        <f t="shared" si="13"/>
        <v>2318712</v>
      </c>
      <c r="R15" s="289">
        <f t="shared" si="13"/>
        <v>2365440</v>
      </c>
      <c r="S15" s="289">
        <f t="shared" si="13"/>
        <v>2691084</v>
      </c>
      <c r="T15" s="289">
        <f t="shared" si="13"/>
        <v>2768824</v>
      </c>
      <c r="U15" s="289">
        <f t="shared" si="13"/>
        <v>3081592</v>
      </c>
      <c r="V15" s="289">
        <f t="shared" si="13"/>
        <v>3008792.0200000005</v>
      </c>
      <c r="W15" s="289">
        <f t="shared" si="13"/>
        <v>3048987.5612000003</v>
      </c>
      <c r="X15" s="289">
        <f t="shared" si="13"/>
        <v>3090570.4360000002</v>
      </c>
      <c r="Y15" s="289">
        <f t="shared" si="13"/>
        <v>3342466.872</v>
      </c>
      <c r="Z15" s="289">
        <f t="shared" si="13"/>
        <v>3764528.8070319993</v>
      </c>
      <c r="AA15" s="289">
        <f t="shared" si="13"/>
        <v>4716080</v>
      </c>
      <c r="AB15" s="289">
        <f t="shared" si="13"/>
        <v>5695832</v>
      </c>
      <c r="AC15" s="289">
        <f t="shared" si="13"/>
        <v>6615036</v>
      </c>
      <c r="AD15" s="289">
        <f t="shared" si="13"/>
        <v>6881560</v>
      </c>
      <c r="AE15" s="226"/>
      <c r="AF15" s="348">
        <f t="shared" ref="AF15:AF20" si="14">AD15/AC15-1</f>
        <v>4.029063485066442E-2</v>
      </c>
      <c r="AG15" s="348">
        <f t="shared" ref="AG15:AG20" si="15">AD15/Z15-1</f>
        <v>0.82800035615227663</v>
      </c>
      <c r="AI15" s="149"/>
    </row>
    <row r="16" spans="1:37" ht="13" customHeight="1">
      <c r="A16" s="211"/>
      <c r="B16" s="110" t="s">
        <v>111</v>
      </c>
      <c r="C16" s="179">
        <v>256717</v>
      </c>
      <c r="D16" s="179">
        <v>184335</v>
      </c>
      <c r="E16" s="179">
        <v>543242</v>
      </c>
      <c r="F16" s="179">
        <v>1972850</v>
      </c>
      <c r="G16" s="179">
        <v>2887573</v>
      </c>
      <c r="H16" s="179">
        <v>3311638.4190579997</v>
      </c>
      <c r="I16" s="179">
        <v>5977127</v>
      </c>
      <c r="J16" s="179"/>
      <c r="K16" s="179">
        <v>65559</v>
      </c>
      <c r="L16" s="179">
        <v>86261</v>
      </c>
      <c r="M16" s="179">
        <v>138587</v>
      </c>
      <c r="N16" s="179">
        <v>252835</v>
      </c>
      <c r="O16" s="179">
        <v>336771</v>
      </c>
      <c r="P16" s="179">
        <v>465041</v>
      </c>
      <c r="Q16" s="179">
        <v>579678</v>
      </c>
      <c r="R16" s="179">
        <v>591360</v>
      </c>
      <c r="S16" s="179">
        <v>672771</v>
      </c>
      <c r="T16" s="179">
        <v>692206</v>
      </c>
      <c r="U16" s="179">
        <v>770398</v>
      </c>
      <c r="V16" s="179">
        <v>752198.00500000012</v>
      </c>
      <c r="W16" s="179">
        <v>762246.89030000009</v>
      </c>
      <c r="X16" s="179">
        <v>772642.60900000005</v>
      </c>
      <c r="Y16" s="179">
        <v>835616.71799999999</v>
      </c>
      <c r="Z16" s="179">
        <v>941132.20175799984</v>
      </c>
      <c r="AA16" s="179">
        <v>1179020</v>
      </c>
      <c r="AB16" s="179">
        <v>1423958</v>
      </c>
      <c r="AC16" s="179">
        <v>1653759</v>
      </c>
      <c r="AD16" s="179">
        <v>1720390</v>
      </c>
      <c r="AE16" s="226"/>
      <c r="AF16" s="349">
        <f t="shared" si="14"/>
        <v>4.029063485066442E-2</v>
      </c>
      <c r="AG16" s="349">
        <f t="shared" si="15"/>
        <v>0.82800035615227663</v>
      </c>
      <c r="AH16" s="149"/>
      <c r="AI16" s="149"/>
      <c r="AJ16" s="208"/>
    </row>
    <row r="17" spans="1:34" ht="13" customHeight="1">
      <c r="A17" s="211"/>
      <c r="B17" s="53" t="s">
        <v>1135</v>
      </c>
      <c r="C17" s="699">
        <v>253</v>
      </c>
      <c r="D17" s="699">
        <v>251</v>
      </c>
      <c r="E17" s="699">
        <v>251</v>
      </c>
      <c r="F17" s="699">
        <v>251</v>
      </c>
      <c r="G17" s="699">
        <v>249</v>
      </c>
      <c r="H17" s="699">
        <v>253</v>
      </c>
      <c r="I17" s="699">
        <v>254</v>
      </c>
      <c r="J17" s="222"/>
      <c r="K17" s="699">
        <v>61</v>
      </c>
      <c r="L17" s="699">
        <v>62</v>
      </c>
      <c r="M17" s="699">
        <v>65</v>
      </c>
      <c r="N17" s="699">
        <v>63</v>
      </c>
      <c r="O17" s="699">
        <v>62</v>
      </c>
      <c r="P17" s="699">
        <v>62</v>
      </c>
      <c r="Q17" s="699">
        <v>65</v>
      </c>
      <c r="R17" s="699">
        <v>62</v>
      </c>
      <c r="S17" s="699">
        <v>63</v>
      </c>
      <c r="T17" s="699">
        <v>61</v>
      </c>
      <c r="U17" s="699">
        <v>64</v>
      </c>
      <c r="V17" s="699">
        <v>61</v>
      </c>
      <c r="W17" s="699">
        <v>61</v>
      </c>
      <c r="X17" s="699">
        <v>63</v>
      </c>
      <c r="Y17" s="699">
        <v>66</v>
      </c>
      <c r="Z17" s="699">
        <v>63</v>
      </c>
      <c r="AA17" s="699">
        <v>61</v>
      </c>
      <c r="AB17" s="699">
        <v>61</v>
      </c>
      <c r="AC17" s="699">
        <v>66</v>
      </c>
      <c r="AD17" s="699">
        <v>61</v>
      </c>
      <c r="AE17" s="222"/>
      <c r="AF17" s="354">
        <f t="shared" si="14"/>
        <v>-7.5757575757575801E-2</v>
      </c>
      <c r="AG17" s="354">
        <f t="shared" si="15"/>
        <v>-3.1746031746031744E-2</v>
      </c>
    </row>
    <row r="18" spans="1:34" ht="13" customHeight="1">
      <c r="A18" s="211"/>
      <c r="B18" s="697" t="s">
        <v>522</v>
      </c>
      <c r="C18" s="220">
        <f t="shared" ref="C18:G18" si="16">AVERAGE(C19:C20)</f>
        <v>6974552</v>
      </c>
      <c r="D18" s="220">
        <f t="shared" si="16"/>
        <v>10635449.5</v>
      </c>
      <c r="E18" s="220">
        <f t="shared" si="16"/>
        <v>18670032</v>
      </c>
      <c r="F18" s="220">
        <f t="shared" si="16"/>
        <v>27780267.5</v>
      </c>
      <c r="G18" s="220">
        <f t="shared" si="16"/>
        <v>38014925</v>
      </c>
      <c r="H18" s="220">
        <f t="shared" ref="H18:I18" si="17">AVERAGE(H19:H20)</f>
        <v>49289164.19822</v>
      </c>
      <c r="I18" s="220">
        <f t="shared" si="17"/>
        <v>63992451.19822</v>
      </c>
      <c r="K18" s="220">
        <f t="shared" ref="K18:R18" si="18">AVERAGE(K19:K20)</f>
        <v>14818087.006689999</v>
      </c>
      <c r="L18" s="220">
        <f t="shared" si="18"/>
        <v>16731200.244014997</v>
      </c>
      <c r="M18" s="220">
        <f t="shared" si="18"/>
        <v>19641228.496824998</v>
      </c>
      <c r="N18" s="220">
        <f t="shared" si="18"/>
        <v>22101800.259500001</v>
      </c>
      <c r="O18" s="220">
        <f t="shared" si="18"/>
        <v>23894688</v>
      </c>
      <c r="P18" s="220">
        <f t="shared" si="18"/>
        <v>26211898</v>
      </c>
      <c r="Q18" s="220">
        <f t="shared" si="18"/>
        <v>29183363</v>
      </c>
      <c r="R18" s="220">
        <f t="shared" si="18"/>
        <v>31602703.5</v>
      </c>
      <c r="S18" s="220">
        <f t="shared" ref="S18:AC18" si="19">AVERAGE(S19:S20)</f>
        <v>33024751.5</v>
      </c>
      <c r="T18" s="220">
        <f t="shared" si="19"/>
        <v>34598886.020369999</v>
      </c>
      <c r="U18" s="220">
        <f t="shared" si="19"/>
        <v>37618356.800609998</v>
      </c>
      <c r="V18" s="220">
        <f t="shared" si="19"/>
        <v>41542329.280239999</v>
      </c>
      <c r="W18" s="220">
        <f t="shared" si="19"/>
        <v>43648306.502857968</v>
      </c>
      <c r="X18" s="220">
        <f t="shared" si="19"/>
        <v>45771591.04785797</v>
      </c>
      <c r="Y18" s="220">
        <f t="shared" si="19"/>
        <v>49013724.09087</v>
      </c>
      <c r="Z18" s="220">
        <f t="shared" si="19"/>
        <v>52666571.744089998</v>
      </c>
      <c r="AA18" s="220">
        <f t="shared" si="19"/>
        <v>57069702.19822</v>
      </c>
      <c r="AB18" s="220">
        <f t="shared" si="19"/>
        <v>60657909</v>
      </c>
      <c r="AC18" s="220">
        <f t="shared" si="19"/>
        <v>65095187</v>
      </c>
      <c r="AD18" s="220">
        <f t="shared" ref="AD18" si="20">AVERAGE(AD19:AD20)</f>
        <v>70434135</v>
      </c>
      <c r="AF18" s="353">
        <f t="shared" si="14"/>
        <v>8.2017553770910911E-2</v>
      </c>
      <c r="AG18" s="353">
        <f t="shared" si="15"/>
        <v>0.33735940403039044</v>
      </c>
      <c r="AH18" s="185"/>
    </row>
    <row r="19" spans="1:34" ht="13" customHeight="1">
      <c r="B19" s="111" t="s">
        <v>400</v>
      </c>
      <c r="C19" s="221">
        <f t="shared" ref="C19:G20" si="21">C8</f>
        <v>6974552</v>
      </c>
      <c r="D19" s="221">
        <f t="shared" si="21"/>
        <v>14296347</v>
      </c>
      <c r="E19" s="221">
        <f t="shared" si="21"/>
        <v>23043717</v>
      </c>
      <c r="F19" s="221">
        <f t="shared" si="21"/>
        <v>32516818</v>
      </c>
      <c r="G19" s="221">
        <f t="shared" si="21"/>
        <v>43513032</v>
      </c>
      <c r="H19" s="221">
        <f t="shared" ref="H19:I19" si="22">H8</f>
        <v>55065296.396439999</v>
      </c>
      <c r="I19" s="221">
        <f t="shared" si="22"/>
        <v>72919606</v>
      </c>
      <c r="K19" s="221">
        <f t="shared" ref="K19:R19" si="23">K8</f>
        <v>15339827.01338</v>
      </c>
      <c r="L19" s="221">
        <f t="shared" si="23"/>
        <v>18122573.474649996</v>
      </c>
      <c r="M19" s="221">
        <f t="shared" si="23"/>
        <v>21159883.519000001</v>
      </c>
      <c r="N19" s="221">
        <f t="shared" si="23"/>
        <v>23043717</v>
      </c>
      <c r="O19" s="221">
        <f t="shared" si="23"/>
        <v>24745659</v>
      </c>
      <c r="P19" s="221">
        <f t="shared" si="23"/>
        <v>27678137</v>
      </c>
      <c r="Q19" s="221">
        <f t="shared" si="23"/>
        <v>30688589</v>
      </c>
      <c r="R19" s="221">
        <f t="shared" si="23"/>
        <v>32516818</v>
      </c>
      <c r="S19" s="221">
        <f>S8</f>
        <v>33532685</v>
      </c>
      <c r="T19" s="221">
        <f t="shared" ref="T19:AC19" si="24">T8</f>
        <v>35665087.040739998</v>
      </c>
      <c r="U19" s="221">
        <f t="shared" si="24"/>
        <v>39571626.560479999</v>
      </c>
      <c r="V19" s="221">
        <f t="shared" si="24"/>
        <v>43513032</v>
      </c>
      <c r="W19" s="221">
        <f t="shared" si="24"/>
        <v>43783581.005715944</v>
      </c>
      <c r="X19" s="221">
        <f t="shared" si="24"/>
        <v>47759601.090000004</v>
      </c>
      <c r="Y19" s="221">
        <f t="shared" si="24"/>
        <v>50267847.091739997</v>
      </c>
      <c r="Z19" s="221">
        <f t="shared" si="24"/>
        <v>55065296.396439999</v>
      </c>
      <c r="AA19" s="221">
        <f t="shared" si="24"/>
        <v>59074108</v>
      </c>
      <c r="AB19" s="221">
        <f t="shared" si="24"/>
        <v>62241710</v>
      </c>
      <c r="AC19" s="221">
        <f t="shared" si="24"/>
        <v>67948664</v>
      </c>
      <c r="AD19" s="221">
        <f t="shared" ref="AD19" si="25">AD8</f>
        <v>72919606</v>
      </c>
      <c r="AF19" s="354">
        <f t="shared" si="14"/>
        <v>7.3157317706791014E-2</v>
      </c>
      <c r="AG19" s="354">
        <f t="shared" si="15"/>
        <v>0.3242388722475722</v>
      </c>
      <c r="AH19" s="185"/>
    </row>
    <row r="20" spans="1:34" ht="13" customHeight="1">
      <c r="B20" s="698" t="s">
        <v>568</v>
      </c>
      <c r="C20" s="220">
        <f t="shared" si="21"/>
        <v>6974552</v>
      </c>
      <c r="D20" s="220">
        <f t="shared" si="21"/>
        <v>6974552</v>
      </c>
      <c r="E20" s="220">
        <f t="shared" si="21"/>
        <v>14296347</v>
      </c>
      <c r="F20" s="220">
        <f t="shared" si="21"/>
        <v>23043717</v>
      </c>
      <c r="G20" s="220">
        <f t="shared" si="21"/>
        <v>32516818</v>
      </c>
      <c r="H20" s="220">
        <f t="shared" ref="H20:I20" si="26">H9</f>
        <v>43513032</v>
      </c>
      <c r="I20" s="220">
        <f t="shared" si="26"/>
        <v>55065296.396439999</v>
      </c>
      <c r="K20" s="220">
        <f t="shared" ref="K20:R20" si="27">K9</f>
        <v>14296347</v>
      </c>
      <c r="L20" s="220">
        <f t="shared" si="27"/>
        <v>15339827.01338</v>
      </c>
      <c r="M20" s="220">
        <f t="shared" si="27"/>
        <v>18122573.474649996</v>
      </c>
      <c r="N20" s="220">
        <f t="shared" si="27"/>
        <v>21159883.519000001</v>
      </c>
      <c r="O20" s="220">
        <f t="shared" si="27"/>
        <v>23043717</v>
      </c>
      <c r="P20" s="220">
        <f t="shared" si="27"/>
        <v>24745659</v>
      </c>
      <c r="Q20" s="220">
        <f t="shared" si="27"/>
        <v>27678137</v>
      </c>
      <c r="R20" s="220">
        <f t="shared" si="27"/>
        <v>30688589</v>
      </c>
      <c r="S20" s="220">
        <f>S9</f>
        <v>32516818</v>
      </c>
      <c r="T20" s="220">
        <f t="shared" ref="T20:AC20" si="28">T9</f>
        <v>33532685</v>
      </c>
      <c r="U20" s="220">
        <f t="shared" si="28"/>
        <v>35665087.040739998</v>
      </c>
      <c r="V20" s="220">
        <f t="shared" si="28"/>
        <v>39571626.560479999</v>
      </c>
      <c r="W20" s="220">
        <f t="shared" si="28"/>
        <v>43513032</v>
      </c>
      <c r="X20" s="220">
        <f t="shared" si="28"/>
        <v>43783581.005715944</v>
      </c>
      <c r="Y20" s="220">
        <f t="shared" si="28"/>
        <v>47759601.090000004</v>
      </c>
      <c r="Z20" s="220">
        <f t="shared" si="28"/>
        <v>50267847.091739997</v>
      </c>
      <c r="AA20" s="220">
        <f t="shared" si="28"/>
        <v>55065296.396439999</v>
      </c>
      <c r="AB20" s="220">
        <f t="shared" si="28"/>
        <v>59074108</v>
      </c>
      <c r="AC20" s="220">
        <f t="shared" si="28"/>
        <v>62241710</v>
      </c>
      <c r="AD20" s="220">
        <f t="shared" ref="AD20" si="29">AD9</f>
        <v>67948664</v>
      </c>
      <c r="AF20" s="353">
        <f t="shared" si="14"/>
        <v>9.1690186532471518E-2</v>
      </c>
      <c r="AG20" s="353">
        <f t="shared" si="15"/>
        <v>0.35173212960547318</v>
      </c>
    </row>
    <row r="21" spans="1:34" ht="13" customHeight="1">
      <c r="B21" s="112" t="s">
        <v>609</v>
      </c>
      <c r="C21" s="361">
        <f t="shared" ref="C21:H21" si="30">C11</f>
        <v>5.9375494071146499E-2</v>
      </c>
      <c r="D21" s="361">
        <f t="shared" si="30"/>
        <v>2.7735059760956016E-2</v>
      </c>
      <c r="E21" s="361">
        <f t="shared" si="30"/>
        <v>4.4600000000000001E-2</v>
      </c>
      <c r="F21" s="361">
        <f t="shared" si="30"/>
        <v>0.124527888446216</v>
      </c>
      <c r="G21" s="361">
        <f t="shared" si="30"/>
        <v>0.1320823293</v>
      </c>
      <c r="H21" s="361">
        <f t="shared" si="30"/>
        <v>0.10831818181818199</v>
      </c>
      <c r="I21" s="361">
        <f t="shared" ref="I21" si="31">I11</f>
        <v>0.14308811475409824</v>
      </c>
      <c r="K21" s="361">
        <f t="shared" ref="K21:R21" si="32">K11</f>
        <v>2.022950819672133E-2</v>
      </c>
      <c r="L21" s="361">
        <f t="shared" si="32"/>
        <v>3.2427419354838741E-2</v>
      </c>
      <c r="M21" s="361">
        <f t="shared" si="32"/>
        <v>4.8576923076923101E-2</v>
      </c>
      <c r="N21" s="361">
        <f t="shared" si="32"/>
        <v>7.6261904761904697E-2</v>
      </c>
      <c r="O21" s="361">
        <f t="shared" si="32"/>
        <v>0.10270967741935499</v>
      </c>
      <c r="P21" s="361">
        <f t="shared" si="32"/>
        <v>0.123758064516129</v>
      </c>
      <c r="Q21" s="361">
        <f t="shared" si="32"/>
        <v>0.13465384615384601</v>
      </c>
      <c r="R21" s="361">
        <f t="shared" si="32"/>
        <v>0.13650000000000001</v>
      </c>
      <c r="S21" s="361">
        <f>S11</f>
        <v>0.13650000000000001</v>
      </c>
      <c r="T21" s="361">
        <f t="shared" ref="T21:AC21" si="33">T11</f>
        <v>0.13650000000000001</v>
      </c>
      <c r="U21" s="361">
        <f t="shared" si="33"/>
        <v>0.13275000000000001</v>
      </c>
      <c r="V21" s="361">
        <f t="shared" si="33"/>
        <v>0.1224016393</v>
      </c>
      <c r="W21" s="361">
        <f t="shared" si="33"/>
        <v>0.11281147540983601</v>
      </c>
      <c r="X21" s="361">
        <f t="shared" si="33"/>
        <v>0.10507142857142864</v>
      </c>
      <c r="Y21" s="361">
        <f t="shared" si="33"/>
        <v>0.10430303030303033</v>
      </c>
      <c r="Z21" s="361">
        <f t="shared" si="33"/>
        <v>0.1114206349206348</v>
      </c>
      <c r="AA21" s="361">
        <f t="shared" si="33"/>
        <v>0.129532786885246</v>
      </c>
      <c r="AB21" s="361">
        <f t="shared" si="33"/>
        <v>0.14481967213114699</v>
      </c>
      <c r="AC21" s="361">
        <f t="shared" si="33"/>
        <v>0.14899999999999999</v>
      </c>
      <c r="AD21" s="361">
        <f t="shared" ref="AD21" si="34">AD11</f>
        <v>0.14899999999999999</v>
      </c>
      <c r="AF21" s="344">
        <f>(AD21-AC21)*100</f>
        <v>0</v>
      </c>
      <c r="AG21" s="344">
        <f>(AD21-Z21)*100</f>
        <v>3.7579365079365199</v>
      </c>
    </row>
    <row r="22" spans="1:34" ht="13" customHeight="1">
      <c r="A22" s="211"/>
      <c r="B22" s="287" t="s">
        <v>1136</v>
      </c>
      <c r="C22" s="297">
        <f>(C15/C17*252)/C18/C21</f>
        <v>0.61746322300602696</v>
      </c>
      <c r="D22" s="297">
        <f t="shared" ref="D22:H22" si="35">(D15/D17*252)/D18/D21</f>
        <v>0.62740744347434618</v>
      </c>
      <c r="E22" s="297">
        <f t="shared" si="35"/>
        <v>0.65499839787969305</v>
      </c>
      <c r="F22" s="297">
        <f t="shared" si="35"/>
        <v>0.57255582593534171</v>
      </c>
      <c r="G22" s="297">
        <f t="shared" si="35"/>
        <v>0.58201651590433767</v>
      </c>
      <c r="H22" s="297">
        <f t="shared" si="35"/>
        <v>0.61783159902045603</v>
      </c>
      <c r="I22" s="297">
        <f t="shared" ref="I22" si="36">(I15/I17*252)/I18/I21</f>
        <v>0.64763006256592182</v>
      </c>
      <c r="J22" s="324"/>
      <c r="K22" s="297">
        <f t="shared" ref="K22:R22" si="37">(K15/K17*63)/K18/K21</f>
        <v>0.90349459969335033</v>
      </c>
      <c r="L22" s="297">
        <f t="shared" si="37"/>
        <v>0.64622514822211452</v>
      </c>
      <c r="M22" s="297">
        <f t="shared" si="37"/>
        <v>0.56313306369482996</v>
      </c>
      <c r="N22" s="297">
        <f t="shared" si="37"/>
        <v>0.60001469460277557</v>
      </c>
      <c r="O22" s="297">
        <f t="shared" si="37"/>
        <v>0.55773873634392046</v>
      </c>
      <c r="P22" s="297">
        <f t="shared" si="37"/>
        <v>0.58267732413936646</v>
      </c>
      <c r="Q22" s="297">
        <f t="shared" si="37"/>
        <v>0.57189974440632441</v>
      </c>
      <c r="R22" s="297">
        <f t="shared" si="37"/>
        <v>0.55719076348373597</v>
      </c>
      <c r="S22" s="297">
        <f>(S15/S17*63)/S18/S21</f>
        <v>0.59697348816995932</v>
      </c>
      <c r="T22" s="297">
        <f t="shared" ref="T22:AA22" si="38">(T15/T17*63)/T18/T21</f>
        <v>0.60549602689065163</v>
      </c>
      <c r="U22" s="297">
        <f t="shared" si="38"/>
        <v>0.60743716842046347</v>
      </c>
      <c r="V22" s="297">
        <f t="shared" si="38"/>
        <v>0.61111761900358963</v>
      </c>
      <c r="W22" s="297">
        <f t="shared" si="38"/>
        <v>0.63950756976464163</v>
      </c>
      <c r="X22" s="297">
        <f t="shared" si="38"/>
        <v>0.64262556661987569</v>
      </c>
      <c r="Y22" s="297">
        <f t="shared" si="38"/>
        <v>0.62409269276990043</v>
      </c>
      <c r="Z22" s="297">
        <f t="shared" si="38"/>
        <v>0.64151962469828561</v>
      </c>
      <c r="AA22" s="297">
        <f t="shared" si="38"/>
        <v>0.65888035999645922</v>
      </c>
      <c r="AB22" s="297">
        <f t="shared" ref="AB22" si="39">(AB15/AB17*63)/AB18/AB21</f>
        <v>0.66965773638628801</v>
      </c>
      <c r="AC22" s="297">
        <f t="shared" ref="AC22:AD22" si="40">(AC15/AC17*63)/AC18/AC21</f>
        <v>0.65101902239025189</v>
      </c>
      <c r="AD22" s="297">
        <f t="shared" si="40"/>
        <v>0.67721748322463171</v>
      </c>
      <c r="AE22" s="324"/>
      <c r="AF22" s="356">
        <f>(AD22-AC22)*100</f>
        <v>2.6198460834379822</v>
      </c>
      <c r="AG22" s="356">
        <f>(AD22-Z22)*100</f>
        <v>3.5697858526346105</v>
      </c>
      <c r="AH22" s="219"/>
    </row>
  </sheetData>
  <sheetProtection algorithmName="SHA-512" hashValue="HTiwBsR0OeTa/g3r3pkBE9qD3Tm24b+XhqPuzT6y3tJ/SnMynNo/0uYVAIPXljfdbojrnGGetb4H11s+CsCYoA==" saltValue="lS/nTtnwyeYMBUKan8B0f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ignoredErrors>
    <ignoredError sqref="AF13:AG13 K18:AC22 J3:AC5 C18:H22 C2:H5 J2:AB2 C7:H10 J7:AC10 J6 J16 C12:H15 J12:AC15 J11" unlockedFormula="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F6CFC-0E74-4E4D-B57A-D30C5D0FD116}">
  <sheetPr codeName="Sheet20">
    <tabColor rgb="FFF7CAB0"/>
  </sheetPr>
  <dimension ref="A1:AK34"/>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94" customWidth="1"/>
    <col min="2" max="2" width="68.33203125" style="105" customWidth="1"/>
    <col min="3" max="9" width="10.83203125" style="195" customWidth="1"/>
    <col min="10" max="10" width="2.83203125" style="195" customWidth="1"/>
    <col min="11" max="30" width="10.83203125" style="195" customWidth="1"/>
    <col min="31" max="31" width="5.83203125" style="195" customWidth="1"/>
    <col min="32" max="33" width="10.83203125" style="195" customWidth="1"/>
    <col min="34" max="34" width="10.83203125" style="194" customWidth="1"/>
    <col min="35" max="16384" width="10.83203125" style="194"/>
  </cols>
  <sheetData>
    <row r="1" spans="1:37" ht="13" customHeight="1">
      <c r="AH1" s="195"/>
    </row>
    <row r="2" spans="1:37" s="10" customFormat="1" ht="13" customHeight="1">
      <c r="B2" s="267" t="str">
        <f>IF('Summary | Sumário'!D$6=Names!B$3,Names!CN1,Names!CO1)</f>
        <v>ROE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6"/>
      <c r="AF2" s="104" t="str">
        <f>IF('Summary | Sumário'!$D$6=Names!$B$3,Names!$I$24,Names!$J$24)</f>
        <v>QoQ Variation</v>
      </c>
      <c r="AG2" s="104" t="str">
        <f>IF('Summary | Sumário'!$D$6=Names!$B$3,Names!$I$25,Names!$J$25)</f>
        <v>YoY Variation</v>
      </c>
      <c r="AH2" s="11"/>
      <c r="AJ2" s="12"/>
      <c r="AK2" s="13"/>
    </row>
    <row r="3" spans="1:37" ht="13" customHeight="1">
      <c r="B3" s="10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7"/>
    </row>
    <row r="4" spans="1:37" s="199" customFormat="1" ht="13" customHeight="1">
      <c r="A4" s="198"/>
      <c r="B4" s="602" t="str">
        <f>IF('Summary | Sumário'!D$6=Names!B$3,Names!CN3,Names!CO3)</f>
        <v>ROE Including Minority Interest (%)</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row>
    <row r="5" spans="1:37" ht="13" customHeight="1">
      <c r="B5" s="288" t="str">
        <f>IF('Summary | Sumário'!D$6=Names!B$3,Names!CN4,Names!CO4)</f>
        <v>Annualized net income including minority interest</v>
      </c>
      <c r="C5" s="289">
        <f>C6</f>
        <v>30370</v>
      </c>
      <c r="D5" s="289">
        <f>D6</f>
        <v>30686</v>
      </c>
      <c r="E5" s="289">
        <f t="shared" ref="E5:I5" si="0">E6</f>
        <v>-55067</v>
      </c>
      <c r="F5" s="289">
        <f t="shared" si="0"/>
        <v>-14079</v>
      </c>
      <c r="G5" s="289">
        <f t="shared" si="0"/>
        <v>352260</v>
      </c>
      <c r="H5" s="289">
        <f t="shared" si="0"/>
        <v>972841</v>
      </c>
      <c r="I5" s="289">
        <f t="shared" si="0"/>
        <v>1397321</v>
      </c>
      <c r="J5" s="179"/>
      <c r="K5" s="289">
        <f>K6*4</f>
        <v>-10772</v>
      </c>
      <c r="L5" s="289">
        <f>L6*4</f>
        <v>-121992</v>
      </c>
      <c r="M5" s="289">
        <f t="shared" ref="M5:AD5" si="1">M6*4</f>
        <v>137390.97371999966</v>
      </c>
      <c r="N5" s="289">
        <f t="shared" si="1"/>
        <v>-224894.97371999966</v>
      </c>
      <c r="O5" s="289">
        <f t="shared" si="1"/>
        <v>-115288</v>
      </c>
      <c r="P5" s="289">
        <f t="shared" si="1"/>
        <v>62100</v>
      </c>
      <c r="Q5" s="289">
        <f t="shared" si="1"/>
        <v>-118380</v>
      </c>
      <c r="R5" s="289">
        <f t="shared" si="1"/>
        <v>115252</v>
      </c>
      <c r="S5" s="289">
        <f t="shared" si="1"/>
        <v>96860</v>
      </c>
      <c r="T5" s="289">
        <f t="shared" si="1"/>
        <v>256688</v>
      </c>
      <c r="U5" s="289">
        <f t="shared" si="1"/>
        <v>416644</v>
      </c>
      <c r="V5" s="289">
        <f t="shared" si="1"/>
        <v>638848</v>
      </c>
      <c r="W5" s="289">
        <f t="shared" si="1"/>
        <v>780880</v>
      </c>
      <c r="X5" s="289">
        <f t="shared" si="1"/>
        <v>890660</v>
      </c>
      <c r="Y5" s="289">
        <f t="shared" si="1"/>
        <v>1040044</v>
      </c>
      <c r="Z5" s="289">
        <f t="shared" si="1"/>
        <v>1179780</v>
      </c>
      <c r="AA5" s="289">
        <f t="shared" si="1"/>
        <v>1227151.6000000006</v>
      </c>
      <c r="AB5" s="289">
        <f t="shared" si="1"/>
        <v>1328668.7999999998</v>
      </c>
      <c r="AC5" s="289">
        <f t="shared" si="1"/>
        <v>1424021.6</v>
      </c>
      <c r="AD5" s="289">
        <f t="shared" si="1"/>
        <v>1609441.9999999991</v>
      </c>
      <c r="AE5" s="179"/>
      <c r="AF5" s="337">
        <f>AD5/AC5-1</f>
        <v>0.13020897997614567</v>
      </c>
      <c r="AG5" s="337">
        <f>AD5/Z5-1</f>
        <v>0.36418823848514048</v>
      </c>
    </row>
    <row r="6" spans="1:37" ht="13" customHeight="1">
      <c r="B6" s="55" t="str">
        <f>IF('Summary | Sumário'!D$6=Names!B$3,Names!CN5,Names!CO5)</f>
        <v>Net income including minority interest</v>
      </c>
      <c r="C6" s="179">
        <f>'3. IS | DRE'!C29-'3. IS | DRE'!C28</f>
        <v>30370</v>
      </c>
      <c r="D6" s="179">
        <f>'3. IS | DRE'!D29-'3. IS | DRE'!D28</f>
        <v>30686</v>
      </c>
      <c r="E6" s="179">
        <f>'3. IS | DRE'!E29-'3. IS | DRE'!E28</f>
        <v>-55067</v>
      </c>
      <c r="F6" s="179">
        <f>'3. IS | DRE'!F29-'3. IS | DRE'!F28</f>
        <v>-14079</v>
      </c>
      <c r="G6" s="179">
        <f>'3. IS | DRE'!G29-'3. IS | DRE'!G28</f>
        <v>352260</v>
      </c>
      <c r="H6" s="179">
        <f>'3. IS | DRE'!H29-'3. IS | DRE'!H28</f>
        <v>972841</v>
      </c>
      <c r="I6" s="179">
        <f>'3. IS | DRE'!I29-'3. IS | DRE'!I28</f>
        <v>1397321</v>
      </c>
      <c r="J6" s="179"/>
      <c r="K6" s="179">
        <f>'3. IS | DRE'!K29-'3. IS | DRE'!K28</f>
        <v>-2693</v>
      </c>
      <c r="L6" s="179">
        <f>'3. IS | DRE'!L29-'3. IS | DRE'!L28</f>
        <v>-30498</v>
      </c>
      <c r="M6" s="179">
        <f>'3. IS | DRE'!M29-'3. IS | DRE'!M28</f>
        <v>34347.743429999915</v>
      </c>
      <c r="N6" s="179">
        <f>'3. IS | DRE'!N29-'3. IS | DRE'!N28</f>
        <v>-56223.743429999915</v>
      </c>
      <c r="O6" s="179">
        <f>'3. IS | DRE'!O29-'3. IS | DRE'!O28</f>
        <v>-28822</v>
      </c>
      <c r="P6" s="179">
        <f>'3. IS | DRE'!P29-'3. IS | DRE'!P28</f>
        <v>15525</v>
      </c>
      <c r="Q6" s="179">
        <f>'3. IS | DRE'!Q29-'3. IS | DRE'!Q28</f>
        <v>-29595</v>
      </c>
      <c r="R6" s="179">
        <f>'3. IS | DRE'!R29-'3. IS | DRE'!R28</f>
        <v>28813</v>
      </c>
      <c r="S6" s="179">
        <f>'3. IS | DRE'!S29-'3. IS | DRE'!S28</f>
        <v>24215</v>
      </c>
      <c r="T6" s="179">
        <f>'3. IS | DRE'!T29-'3. IS | DRE'!T28</f>
        <v>64172</v>
      </c>
      <c r="U6" s="179">
        <f>'3. IS | DRE'!U29-'3. IS | DRE'!U28</f>
        <v>104161</v>
      </c>
      <c r="V6" s="179">
        <f>'3. IS | DRE'!V29-'3. IS | DRE'!V28</f>
        <v>159712</v>
      </c>
      <c r="W6" s="179">
        <f>'3. IS | DRE'!W29-'3. IS | DRE'!W28</f>
        <v>195220</v>
      </c>
      <c r="X6" s="179">
        <f>'3. IS | DRE'!X29-'3. IS | DRE'!X28</f>
        <v>222665</v>
      </c>
      <c r="Y6" s="179">
        <f>'3. IS | DRE'!Y29-'3. IS | DRE'!Y28</f>
        <v>260011</v>
      </c>
      <c r="Z6" s="179">
        <f>'3. IS | DRE'!Z29-'3. IS | DRE'!Z28</f>
        <v>294945</v>
      </c>
      <c r="AA6" s="179">
        <f>'3. IS | DRE'!AA29-'3. IS | DRE'!AA28</f>
        <v>306787.90000000014</v>
      </c>
      <c r="AB6" s="179">
        <f>'3. IS | DRE'!AB29-'3. IS | DRE'!AB28</f>
        <v>332167.19999999995</v>
      </c>
      <c r="AC6" s="179">
        <f>'3. IS | DRE'!AC29-'3. IS | DRE'!AC28</f>
        <v>356005.4</v>
      </c>
      <c r="AD6" s="179">
        <f>'3. IS | DRE'!AD29-'3. IS | DRE'!AD28</f>
        <v>402360.49999999977</v>
      </c>
      <c r="AE6" s="179"/>
      <c r="AF6" s="204">
        <f>AD6/AC6-1</f>
        <v>0.13020897997614567</v>
      </c>
      <c r="AG6" s="204">
        <f>AD6/Z6-1</f>
        <v>0.36418823848514048</v>
      </c>
    </row>
    <row r="7" spans="1:37" ht="13" customHeight="1">
      <c r="B7" s="53" t="str">
        <f>IF('Summary | Sumário'!D$6=Names!B$3,Names!CN6,Names!CO6)</f>
        <v xml:space="preserve"> (÷) Average total equity of the last two periods</v>
      </c>
      <c r="C7" s="174">
        <f>'2. BS | BP'!C38</f>
        <v>2161938</v>
      </c>
      <c r="D7" s="174">
        <f>AVERAGE(C8:D8)</f>
        <v>2743076.5</v>
      </c>
      <c r="E7" s="174">
        <f t="shared" ref="E7:I7" si="2">AVERAGE(D8:E8)</f>
        <v>5886999.2936204048</v>
      </c>
      <c r="F7" s="174">
        <f t="shared" si="2"/>
        <v>7769443.7936204048</v>
      </c>
      <c r="G7" s="174">
        <f t="shared" si="2"/>
        <v>7342897.5</v>
      </c>
      <c r="H7" s="174">
        <f t="shared" si="2"/>
        <v>8334499</v>
      </c>
      <c r="I7" s="174">
        <f t="shared" si="2"/>
        <v>9732634.5</v>
      </c>
      <c r="J7" s="179"/>
      <c r="K7" s="174">
        <f>AVERAGE(K8,D8)</f>
        <v>3287415.5</v>
      </c>
      <c r="L7" s="174">
        <f t="shared" ref="L7" si="3">AVERAGE(K8:L8)</f>
        <v>5971620.8960000006</v>
      </c>
      <c r="M7" s="174">
        <f t="shared" ref="M7" si="4">AVERAGE(L8:M8)</f>
        <v>8615476.4862966407</v>
      </c>
      <c r="N7" s="174">
        <f t="shared" ref="N7" si="5">AVERAGE(M8:N8)</f>
        <v>8494055.3839170448</v>
      </c>
      <c r="O7" s="174">
        <f t="shared" ref="O7" si="6">AVERAGE(N8:O8)</f>
        <v>8402074.7936204039</v>
      </c>
      <c r="P7" s="174">
        <f t="shared" ref="P7" si="7">AVERAGE(O8:P8)</f>
        <v>7734873.5</v>
      </c>
      <c r="Q7" s="174">
        <f t="shared" ref="Q7" si="8">AVERAGE(P8:Q8)</f>
        <v>7127888</v>
      </c>
      <c r="R7" s="174">
        <f t="shared" ref="R7" si="9">AVERAGE(Q8:R8)</f>
        <v>7114749.5</v>
      </c>
      <c r="S7" s="174">
        <f t="shared" ref="S7" si="10">AVERAGE(R8:S8)</f>
        <v>7114505</v>
      </c>
      <c r="T7" s="174">
        <f t="shared" ref="T7" si="11">AVERAGE(S8:T8)</f>
        <v>7228782</v>
      </c>
      <c r="U7" s="174">
        <f t="shared" ref="U7" si="12">AVERAGE(T8:U8)</f>
        <v>7342942.5</v>
      </c>
      <c r="V7" s="174">
        <f t="shared" ref="V7" si="13">AVERAGE(U8:V8)</f>
        <v>7482459</v>
      </c>
      <c r="W7" s="174">
        <f t="shared" ref="W7" si="14">AVERAGE(V8:W8)</f>
        <v>8067571.5004530167</v>
      </c>
      <c r="X7" s="174">
        <f t="shared" ref="X7" si="15">AVERAGE(W8:X8)</f>
        <v>8572993.7814530171</v>
      </c>
      <c r="Y7" s="174">
        <f t="shared" ref="Y7" si="16">AVERAGE(X8:Y8)</f>
        <v>8737436.7809999995</v>
      </c>
      <c r="Z7" s="174">
        <f t="shared" ref="Z7" si="17">AVERAGE(Y8:Z8)</f>
        <v>8969822.5</v>
      </c>
      <c r="AA7" s="174">
        <f t="shared" ref="AA7:AD7" si="18">AVERAGE(Z8:AA8)</f>
        <v>9042578.5</v>
      </c>
      <c r="AB7" s="174">
        <f t="shared" si="18"/>
        <v>9200341</v>
      </c>
      <c r="AC7" s="174">
        <f t="shared" si="18"/>
        <v>9597982</v>
      </c>
      <c r="AD7" s="174">
        <f t="shared" si="18"/>
        <v>10100547</v>
      </c>
      <c r="AE7" s="179"/>
      <c r="AF7" s="203">
        <f>AD7/AC7-1</f>
        <v>5.2361527662794227E-2</v>
      </c>
      <c r="AG7" s="203">
        <f>AD7/Z7-1</f>
        <v>0.1260587375056752</v>
      </c>
    </row>
    <row r="8" spans="1:37" ht="13" customHeight="1">
      <c r="B8" s="55" t="str">
        <f>IF('Summary | Sumário'!D$6=Names!B$3,Names!CN7,Names!CO7)</f>
        <v>Total equity</v>
      </c>
      <c r="C8" s="179">
        <f>'2. BS | BP'!C38</f>
        <v>2161938</v>
      </c>
      <c r="D8" s="179">
        <f>'2. BS | BP'!D38</f>
        <v>3324215</v>
      </c>
      <c r="E8" s="179">
        <f>'2. BS | BP'!E38</f>
        <v>8449783.5872408096</v>
      </c>
      <c r="F8" s="179">
        <f>'2. BS | BP'!F38</f>
        <v>7089104</v>
      </c>
      <c r="G8" s="179">
        <f>'2. BS | BP'!G38</f>
        <v>7596691</v>
      </c>
      <c r="H8" s="179">
        <f>'2. BS | BP'!H38</f>
        <v>9072307</v>
      </c>
      <c r="I8" s="179">
        <f>'2. BS | BP'!I38</f>
        <v>10392962</v>
      </c>
      <c r="J8" s="179"/>
      <c r="K8" s="179">
        <f>'2. BS | BP'!K38</f>
        <v>3250616</v>
      </c>
      <c r="L8" s="179">
        <f>'2. BS | BP'!L38</f>
        <v>8692625.7920000013</v>
      </c>
      <c r="M8" s="179">
        <f>'2. BS | BP'!M38</f>
        <v>8538327.1805932801</v>
      </c>
      <c r="N8" s="179">
        <f>'2. BS | BP'!N38</f>
        <v>8449783.5872408096</v>
      </c>
      <c r="O8" s="179">
        <f>'2. BS | BP'!O38</f>
        <v>8354366</v>
      </c>
      <c r="P8" s="179">
        <f>'2. BS | BP'!P38</f>
        <v>7115381</v>
      </c>
      <c r="Q8" s="179">
        <f>'2. BS | BP'!Q38</f>
        <v>7140395</v>
      </c>
      <c r="R8" s="179">
        <f>'2. BS | BP'!R38</f>
        <v>7089104</v>
      </c>
      <c r="S8" s="179">
        <f>'2. BS | BP'!S38</f>
        <v>7139906</v>
      </c>
      <c r="T8" s="179">
        <f>'2. BS | BP'!T38</f>
        <v>7317658</v>
      </c>
      <c r="U8" s="179">
        <f>'2. BS | BP'!U38</f>
        <v>7368227</v>
      </c>
      <c r="V8" s="179">
        <f>'2. BS | BP'!V38</f>
        <v>7596691</v>
      </c>
      <c r="W8" s="179">
        <f>'2. BS | BP'!W38</f>
        <v>8538452.0009060334</v>
      </c>
      <c r="X8" s="179">
        <f>'2. BS | BP'!X38</f>
        <v>8607535.5620000008</v>
      </c>
      <c r="Y8" s="179">
        <f>'2. BS | BP'!Y38</f>
        <v>8867338</v>
      </c>
      <c r="Z8" s="179">
        <f>'2. BS | BP'!Z38</f>
        <v>9072307</v>
      </c>
      <c r="AA8" s="179">
        <f>'2. BS | BP'!AA38</f>
        <v>9012850</v>
      </c>
      <c r="AB8" s="179">
        <f>'2. BS | BP'!AB38</f>
        <v>9387832</v>
      </c>
      <c r="AC8" s="179">
        <f>'2. BS | BP'!AC38</f>
        <v>9808132</v>
      </c>
      <c r="AD8" s="179">
        <f>'2. BS | BP'!AD38</f>
        <v>10392962</v>
      </c>
      <c r="AE8" s="179"/>
      <c r="AF8" s="204">
        <f>AD8/AC8-1</f>
        <v>5.9627052327599239E-2</v>
      </c>
      <c r="AG8" s="204">
        <f>AD8/Z8-1</f>
        <v>0.14556991953645304</v>
      </c>
      <c r="AH8" s="614"/>
    </row>
    <row r="9" spans="1:37" s="613" customFormat="1" ht="13" customHeight="1">
      <c r="B9" s="611" t="str">
        <f>IF('Summary | Sumário'!D$6=Names!B$3,Names!CN8,Names!CO8)</f>
        <v>ROE including minority interest (%)</v>
      </c>
      <c r="C9" s="612">
        <f t="shared" ref="C9:H9" si="19">C5/C7</f>
        <v>1.4047581382999882E-2</v>
      </c>
      <c r="D9" s="612">
        <f t="shared" si="19"/>
        <v>1.1186709521225529E-2</v>
      </c>
      <c r="E9" s="612">
        <f t="shared" si="19"/>
        <v>-9.3540014621158081E-3</v>
      </c>
      <c r="F9" s="612">
        <f t="shared" si="19"/>
        <v>-1.8120988289484065E-3</v>
      </c>
      <c r="G9" s="612">
        <f t="shared" si="19"/>
        <v>4.7972888086753221E-2</v>
      </c>
      <c r="H9" s="612">
        <f t="shared" si="19"/>
        <v>0.11672459256399215</v>
      </c>
      <c r="I9" s="612">
        <f t="shared" ref="I9" si="20">I5/I7</f>
        <v>0.14357068479248861</v>
      </c>
      <c r="J9" s="182"/>
      <c r="K9" s="612">
        <f t="shared" ref="K9:Z9" si="21">K5/K7</f>
        <v>-3.2767382157807556E-3</v>
      </c>
      <c r="L9" s="612">
        <f t="shared" si="21"/>
        <v>-2.0428624342465292E-2</v>
      </c>
      <c r="M9" s="612">
        <f t="shared" si="21"/>
        <v>1.594699654029897E-2</v>
      </c>
      <c r="N9" s="612">
        <f t="shared" si="21"/>
        <v>-2.6476749156336327E-2</v>
      </c>
      <c r="O9" s="612">
        <f t="shared" si="21"/>
        <v>-1.3721372736117133E-2</v>
      </c>
      <c r="P9" s="612">
        <f t="shared" si="21"/>
        <v>8.0285734472580576E-3</v>
      </c>
      <c r="Q9" s="612">
        <f t="shared" si="21"/>
        <v>-1.6608005064052633E-2</v>
      </c>
      <c r="R9" s="612">
        <f t="shared" si="21"/>
        <v>1.619902429453068E-2</v>
      </c>
      <c r="S9" s="612">
        <f t="shared" si="21"/>
        <v>1.3614439795881794E-2</v>
      </c>
      <c r="T9" s="612">
        <f t="shared" si="21"/>
        <v>3.5509163231094806E-2</v>
      </c>
      <c r="U9" s="612">
        <f t="shared" si="21"/>
        <v>5.6740741194691365E-2</v>
      </c>
      <c r="V9" s="612">
        <f t="shared" si="21"/>
        <v>8.5379418717830599E-2</v>
      </c>
      <c r="W9" s="612">
        <f t="shared" si="21"/>
        <v>9.6792448626721359E-2</v>
      </c>
      <c r="X9" s="612">
        <f t="shared" si="21"/>
        <v>0.10389136195652811</v>
      </c>
      <c r="Y9" s="612">
        <f t="shared" si="21"/>
        <v>0.1190330787012535</v>
      </c>
      <c r="Z9" s="612">
        <f t="shared" si="21"/>
        <v>0.13152768630594419</v>
      </c>
      <c r="AA9" s="612">
        <f>AA5/AA7</f>
        <v>0.13570815005918949</v>
      </c>
      <c r="AB9" s="612">
        <f>AB5/AB7</f>
        <v>0.14441516895949832</v>
      </c>
      <c r="AC9" s="612">
        <f>AC5/AC7</f>
        <v>0.14836677126504302</v>
      </c>
      <c r="AD9" s="612">
        <f>AD5/AD7</f>
        <v>0.15934206335557857</v>
      </c>
      <c r="AE9" s="183"/>
      <c r="AF9" s="355">
        <f>(AD9-AC9)*100</f>
        <v>1.0975292090535549</v>
      </c>
      <c r="AG9" s="355">
        <f>(AD9-Z9)*100</f>
        <v>2.7814377049634382</v>
      </c>
    </row>
    <row r="10" spans="1:37" ht="13" customHeight="1">
      <c r="B10" s="54"/>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204"/>
      <c r="AG10" s="204"/>
    </row>
    <row r="11" spans="1:37" s="199" customFormat="1" ht="13" customHeight="1">
      <c r="A11" s="198"/>
      <c r="B11" s="602" t="str">
        <f>IF('Summary | Sumário'!D$6=Names!B$3,Names!CN10,Names!CO10)</f>
        <v>ROE (%)</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row>
    <row r="12" spans="1:37" ht="13" customHeight="1">
      <c r="B12" s="288" t="str">
        <f>IF('Summary | Sumário'!D$6=Names!B$3,Names!CN11,Names!CO11)</f>
        <v>Annualized net income</v>
      </c>
      <c r="C12" s="289">
        <f>C13</f>
        <v>27683</v>
      </c>
      <c r="D12" s="289">
        <f t="shared" ref="D12:I12" si="22">D13</f>
        <v>17911</v>
      </c>
      <c r="E12" s="289">
        <f t="shared" si="22"/>
        <v>-72664</v>
      </c>
      <c r="F12" s="289">
        <f t="shared" si="22"/>
        <v>-11090</v>
      </c>
      <c r="G12" s="289">
        <f t="shared" si="22"/>
        <v>302343</v>
      </c>
      <c r="H12" s="289">
        <f t="shared" si="22"/>
        <v>907132</v>
      </c>
      <c r="I12" s="289">
        <f t="shared" si="22"/>
        <v>1312390</v>
      </c>
      <c r="J12" s="179"/>
      <c r="K12" s="289">
        <f>K13*4</f>
        <v>-34636</v>
      </c>
      <c r="L12" s="289">
        <f t="shared" ref="L12:AD12" si="23">L13*4</f>
        <v>-48116</v>
      </c>
      <c r="M12" s="289">
        <f t="shared" si="23"/>
        <v>12595.833239999987</v>
      </c>
      <c r="N12" s="289">
        <f t="shared" si="23"/>
        <v>-220499.83324000001</v>
      </c>
      <c r="O12" s="289">
        <f t="shared" si="23"/>
        <v>13088</v>
      </c>
      <c r="P12" s="289">
        <f t="shared" si="23"/>
        <v>-66360</v>
      </c>
      <c r="Q12" s="289">
        <f t="shared" si="23"/>
        <v>-120032</v>
      </c>
      <c r="R12" s="289">
        <f t="shared" si="23"/>
        <v>128944</v>
      </c>
      <c r="S12" s="289">
        <f t="shared" si="23"/>
        <v>45620</v>
      </c>
      <c r="T12" s="289">
        <f t="shared" si="23"/>
        <v>194984</v>
      </c>
      <c r="U12" s="289">
        <f t="shared" si="23"/>
        <v>365164</v>
      </c>
      <c r="V12" s="289">
        <f t="shared" si="23"/>
        <v>603604</v>
      </c>
      <c r="W12" s="289">
        <f t="shared" si="23"/>
        <v>731172</v>
      </c>
      <c r="X12" s="289">
        <f t="shared" si="23"/>
        <v>825916</v>
      </c>
      <c r="Y12" s="289">
        <f t="shared" si="23"/>
        <v>970684</v>
      </c>
      <c r="Z12" s="289">
        <f t="shared" si="23"/>
        <v>1100756</v>
      </c>
      <c r="AA12" s="289">
        <f t="shared" si="23"/>
        <v>1146088</v>
      </c>
      <c r="AB12" s="289">
        <f t="shared" si="23"/>
        <v>1260523.2</v>
      </c>
      <c r="AC12" s="289">
        <f t="shared" si="23"/>
        <v>1345380.8</v>
      </c>
      <c r="AD12" s="289">
        <f t="shared" si="23"/>
        <v>1497568</v>
      </c>
      <c r="AE12" s="179"/>
      <c r="AF12" s="337">
        <f>AD12/AC12-1</f>
        <v>0.1131183082142988</v>
      </c>
      <c r="AG12" s="337">
        <f>AD12/Z12-1</f>
        <v>0.36049042657955077</v>
      </c>
    </row>
    <row r="13" spans="1:37" ht="13" customHeight="1">
      <c r="B13" s="55" t="str">
        <f>IF('Summary | Sumário'!D$6=Names!B$3,Names!CN12,Names!CO12)</f>
        <v>Net income excluding minority interest</v>
      </c>
      <c r="C13" s="202">
        <f>'3. IS | DRE'!C29</f>
        <v>27683</v>
      </c>
      <c r="D13" s="202">
        <f>'3. IS | DRE'!D29</f>
        <v>17911</v>
      </c>
      <c r="E13" s="202">
        <f>'3. IS | DRE'!E29</f>
        <v>-72664</v>
      </c>
      <c r="F13" s="202">
        <f>'3. IS | DRE'!F29</f>
        <v>-11090</v>
      </c>
      <c r="G13" s="202">
        <f>'3. IS | DRE'!G29</f>
        <v>302343</v>
      </c>
      <c r="H13" s="202">
        <f>'3. IS | DRE'!H29</f>
        <v>907132</v>
      </c>
      <c r="I13" s="202">
        <f>'3. IS | DRE'!I29</f>
        <v>1312390</v>
      </c>
      <c r="J13" s="202"/>
      <c r="K13" s="202">
        <f>'3. IS | DRE'!K29</f>
        <v>-8659</v>
      </c>
      <c r="L13" s="202">
        <f>'3. IS | DRE'!L29</f>
        <v>-12029</v>
      </c>
      <c r="M13" s="202">
        <f>'3. IS | DRE'!M29</f>
        <v>3148.9583099999968</v>
      </c>
      <c r="N13" s="202">
        <f>'3. IS | DRE'!N29</f>
        <v>-55124.958310000002</v>
      </c>
      <c r="O13" s="202">
        <f>'3. IS | DRE'!O29</f>
        <v>3272</v>
      </c>
      <c r="P13" s="202">
        <f>'3. IS | DRE'!P29</f>
        <v>-16590</v>
      </c>
      <c r="Q13" s="202">
        <f>'3. IS | DRE'!Q29</f>
        <v>-30008</v>
      </c>
      <c r="R13" s="202">
        <f>'3. IS | DRE'!R29</f>
        <v>32236</v>
      </c>
      <c r="S13" s="202">
        <f>'3. IS | DRE'!S29</f>
        <v>11405</v>
      </c>
      <c r="T13" s="202">
        <f>'3. IS | DRE'!T29</f>
        <v>48746</v>
      </c>
      <c r="U13" s="202">
        <f>'3. IS | DRE'!U29</f>
        <v>91291</v>
      </c>
      <c r="V13" s="202">
        <f>'3. IS | DRE'!V29</f>
        <v>150901</v>
      </c>
      <c r="W13" s="202">
        <f>'3. IS | DRE'!W29</f>
        <v>182793</v>
      </c>
      <c r="X13" s="202">
        <f>'3. IS | DRE'!X29</f>
        <v>206479</v>
      </c>
      <c r="Y13" s="202">
        <f>'3. IS | DRE'!Y29</f>
        <v>242671</v>
      </c>
      <c r="Z13" s="202">
        <f>'3. IS | DRE'!Z29</f>
        <v>275189</v>
      </c>
      <c r="AA13" s="202">
        <f>'3. IS | DRE'!AA29</f>
        <v>286522</v>
      </c>
      <c r="AB13" s="202">
        <f>'3. IS | DRE'!AB29</f>
        <v>315130.8</v>
      </c>
      <c r="AC13" s="202">
        <f>'3. IS | DRE'!AC29</f>
        <v>336345.2</v>
      </c>
      <c r="AD13" s="202">
        <f>'3. IS | DRE'!AD29</f>
        <v>374392</v>
      </c>
      <c r="AE13" s="179"/>
      <c r="AF13" s="204">
        <f>AD13/AC13-1</f>
        <v>0.1131183082142988</v>
      </c>
      <c r="AG13" s="204">
        <f>AD13/Z13-1</f>
        <v>0.36049042657955077</v>
      </c>
    </row>
    <row r="14" spans="1:37" ht="13" customHeight="1">
      <c r="B14" s="53" t="str">
        <f>IF('Summary | Sumário'!D$6=Names!B$3,Names!CN13,Names!CO13)</f>
        <v xml:space="preserve"> (÷) Average equity attributable to owners of the Company of the last two periods</v>
      </c>
      <c r="C14" s="174">
        <f>C15</f>
        <v>2157761</v>
      </c>
      <c r="D14" s="174">
        <f>AVERAGE(C15:D15)</f>
        <v>2716697.5</v>
      </c>
      <c r="E14" s="174">
        <f t="shared" ref="E14" si="24">AVERAGE(D15:E15)</f>
        <v>2965879.4270890998</v>
      </c>
      <c r="F14" s="174">
        <f t="shared" ref="F14" si="25">AVERAGE(E15:F15)</f>
        <v>4824253.4270890998</v>
      </c>
      <c r="G14" s="174">
        <f t="shared" ref="G14" si="26">AVERAGE(F15:G15)</f>
        <v>7232096</v>
      </c>
      <c r="H14" s="174">
        <f t="shared" ref="H14:I14" si="27">AVERAGE(G15:H15)</f>
        <v>8183492.5</v>
      </c>
      <c r="I14" s="174">
        <f t="shared" si="27"/>
        <v>9532382</v>
      </c>
      <c r="J14" s="179"/>
      <c r="K14" s="174">
        <f>AVERAGE(K15,D15)</f>
        <v>3238302.5</v>
      </c>
      <c r="L14" s="174">
        <f t="shared" ref="L14" si="28">AVERAGE(K15:L15)</f>
        <v>2963276.5</v>
      </c>
      <c r="M14" s="174">
        <f t="shared" ref="M14" si="29">AVERAGE(L15:M15)</f>
        <v>2705015.8902966403</v>
      </c>
      <c r="N14" s="174">
        <f t="shared" ref="N14" si="30">AVERAGE(M15:N15)</f>
        <v>2670287.3173857401</v>
      </c>
      <c r="O14" s="174">
        <f t="shared" ref="O14" si="31">AVERAGE(N15:O15)</f>
        <v>2635980.0466781999</v>
      </c>
      <c r="P14" s="174">
        <f t="shared" ref="P14" si="32">AVERAGE(O15:P15)</f>
        <v>4824947.1195890997</v>
      </c>
      <c r="Q14" s="174">
        <f t="shared" ref="Q14" si="33">AVERAGE(P15:Q15)</f>
        <v>7039234.5</v>
      </c>
      <c r="R14" s="174">
        <f t="shared" ref="R14" si="34">AVERAGE(Q15:R15)</f>
        <v>7018396</v>
      </c>
      <c r="S14" s="174">
        <f t="shared" ref="S14" si="35">AVERAGE(R15:S15)</f>
        <v>7011674</v>
      </c>
      <c r="T14" s="174">
        <f t="shared" ref="T14" si="36">AVERAGE(S15:T15)</f>
        <v>7117461.5</v>
      </c>
      <c r="U14" s="174">
        <f t="shared" ref="U14" si="37">AVERAGE(T15:U15)</f>
        <v>7232162.5</v>
      </c>
      <c r="V14" s="174">
        <f t="shared" ref="V14" si="38">AVERAGE(U15:V15)</f>
        <v>7366089</v>
      </c>
      <c r="W14" s="174">
        <f t="shared" ref="W14" si="39">AVERAGE(V15:W15)</f>
        <v>7932142.0004530167</v>
      </c>
      <c r="X14" s="174">
        <f t="shared" ref="X14" si="40">AVERAGE(W15:X15)</f>
        <v>8427232.4739530161</v>
      </c>
      <c r="Y14" s="174">
        <f t="shared" ref="Y14" si="41">AVERAGE(X15:Y15)</f>
        <v>8584620.9735000003</v>
      </c>
      <c r="Z14" s="174">
        <f t="shared" ref="Z14" si="42">AVERAGE(Y15:Z15)</f>
        <v>8801213</v>
      </c>
      <c r="AA14" s="174">
        <f t="shared" ref="AA14:AD14" si="43">AVERAGE(Z15:AA15)</f>
        <v>8897865.5</v>
      </c>
      <c r="AB14" s="174">
        <f t="shared" si="43"/>
        <v>9095082</v>
      </c>
      <c r="AC14" s="174">
        <f t="shared" si="43"/>
        <v>9484711.5</v>
      </c>
      <c r="AD14" s="174">
        <f t="shared" si="43"/>
        <v>9924702</v>
      </c>
      <c r="AE14" s="179"/>
      <c r="AF14" s="203">
        <f>AD14/AC14-1</f>
        <v>4.6389444739568519E-2</v>
      </c>
      <c r="AG14" s="203">
        <f>AD14/Z14-1</f>
        <v>0.12765160893163241</v>
      </c>
    </row>
    <row r="15" spans="1:37" ht="13" customHeight="1">
      <c r="B15" s="55" t="str">
        <f>IF('Summary | Sumário'!D$6=Names!B$3,Names!CN14,Names!CO14)</f>
        <v>Equity attributable to owners of the Company</v>
      </c>
      <c r="C15" s="179">
        <f>'2. BS | BP'!C32</f>
        <v>2157761</v>
      </c>
      <c r="D15" s="179">
        <f>'2. BS | BP'!D32</f>
        <v>3275634</v>
      </c>
      <c r="E15" s="179">
        <f>'2. BS | BP'!E32</f>
        <v>2656124.8541782</v>
      </c>
      <c r="F15" s="179">
        <f>'2. BS | BP'!F32</f>
        <v>6992382</v>
      </c>
      <c r="G15" s="179">
        <f>'2. BS | BP'!G32</f>
        <v>7471810</v>
      </c>
      <c r="H15" s="179">
        <f>'2. BS | BP'!H32</f>
        <v>8895175</v>
      </c>
      <c r="I15" s="179">
        <f>'2. BS | BP'!I32</f>
        <v>10169589</v>
      </c>
      <c r="J15" s="179"/>
      <c r="K15" s="179">
        <f>'2. BS | BP'!K32</f>
        <v>3200971</v>
      </c>
      <c r="L15" s="179">
        <f>'2. BS | BP'!L32</f>
        <v>2725582.0000000005</v>
      </c>
      <c r="M15" s="179">
        <f>'2. BS | BP'!M32</f>
        <v>2684449.7805932802</v>
      </c>
      <c r="N15" s="179">
        <f>'2. BS | BP'!N32</f>
        <v>2656124.8541782</v>
      </c>
      <c r="O15" s="179">
        <f>'2. BS | BP'!O32</f>
        <v>2615835.2391781998</v>
      </c>
      <c r="P15" s="179">
        <f>'2. BS | BP'!P32</f>
        <v>7034059</v>
      </c>
      <c r="Q15" s="179">
        <f>'2. BS | BP'!Q32</f>
        <v>7044410</v>
      </c>
      <c r="R15" s="179">
        <f>'2. BS | BP'!R32</f>
        <v>6992382</v>
      </c>
      <c r="S15" s="179">
        <f>'2. BS | BP'!S32</f>
        <v>7030966</v>
      </c>
      <c r="T15" s="179">
        <f>'2. BS | BP'!T32</f>
        <v>7203957</v>
      </c>
      <c r="U15" s="179">
        <f>'2. BS | BP'!U32</f>
        <v>7260368</v>
      </c>
      <c r="V15" s="179">
        <f>'2. BS | BP'!V32</f>
        <v>7471810</v>
      </c>
      <c r="W15" s="179">
        <f>'2. BS | BP'!W32</f>
        <v>8392474.0009060334</v>
      </c>
      <c r="X15" s="179">
        <f>'2. BS | BP'!X32</f>
        <v>8461990.9470000006</v>
      </c>
      <c r="Y15" s="179">
        <f>'2. BS | BP'!Y32</f>
        <v>8707251</v>
      </c>
      <c r="Z15" s="179">
        <f>'2. BS | BP'!Z32</f>
        <v>8895175</v>
      </c>
      <c r="AA15" s="179">
        <f>'2. BS | BP'!AA32</f>
        <v>8900556</v>
      </c>
      <c r="AB15" s="179">
        <f>'2. BS | BP'!AB32</f>
        <v>9289608</v>
      </c>
      <c r="AC15" s="179">
        <f>'2. BS | BP'!AC32</f>
        <v>9679815</v>
      </c>
      <c r="AD15" s="179">
        <f>'2. BS | BP'!AD32</f>
        <v>10169589</v>
      </c>
      <c r="AE15" s="179"/>
      <c r="AF15" s="204">
        <f>AD15/AC15-1</f>
        <v>5.0597454600113778E-2</v>
      </c>
      <c r="AG15" s="204">
        <f>AD15/Z15-1</f>
        <v>0.14327025606578858</v>
      </c>
      <c r="AH15" s="614"/>
    </row>
    <row r="16" spans="1:37" s="613" customFormat="1" ht="13" customHeight="1">
      <c r="B16" s="611" t="str">
        <f>IF('Summary | Sumário'!D$6=Names!B$3,Names!CN15,Names!CO15)</f>
        <v>ROE (%)</v>
      </c>
      <c r="C16" s="612">
        <f t="shared" ref="C16:G16" si="44">C12/C14</f>
        <v>1.2829502433309343E-2</v>
      </c>
      <c r="D16" s="612">
        <f t="shared" si="44"/>
        <v>6.5929313072213601E-3</v>
      </c>
      <c r="E16" s="612">
        <f t="shared" si="44"/>
        <v>-2.4499984502511288E-2</v>
      </c>
      <c r="F16" s="612">
        <f t="shared" si="44"/>
        <v>-2.2988012896933527E-3</v>
      </c>
      <c r="G16" s="612">
        <f t="shared" si="44"/>
        <v>4.180572271164542E-2</v>
      </c>
      <c r="H16" s="612">
        <f>H12/H14</f>
        <v>0.11084900487169751</v>
      </c>
      <c r="I16" s="612">
        <f>I12/I14</f>
        <v>0.1376770255325479</v>
      </c>
      <c r="J16" s="182"/>
      <c r="K16" s="612">
        <f t="shared" ref="K16:Z16" si="45">K12/K14</f>
        <v>-1.0695727159522619E-2</v>
      </c>
      <c r="L16" s="612">
        <f t="shared" si="45"/>
        <v>-1.623743177526633E-2</v>
      </c>
      <c r="M16" s="612">
        <f t="shared" si="45"/>
        <v>4.6564729195060989E-3</v>
      </c>
      <c r="N16" s="612">
        <f t="shared" si="45"/>
        <v>-8.2575321316311887E-2</v>
      </c>
      <c r="O16" s="612">
        <f t="shared" si="45"/>
        <v>4.9651362181186423E-3</v>
      </c>
      <c r="P16" s="612">
        <f t="shared" si="45"/>
        <v>-1.375351860968195E-2</v>
      </c>
      <c r="Q16" s="612">
        <f t="shared" si="45"/>
        <v>-1.7051854146924641E-2</v>
      </c>
      <c r="R16" s="612">
        <f t="shared" si="45"/>
        <v>1.8372289052940301E-2</v>
      </c>
      <c r="S16" s="612">
        <f t="shared" si="45"/>
        <v>6.506292220659432E-3</v>
      </c>
      <c r="T16" s="612">
        <f t="shared" si="45"/>
        <v>2.7395160479617629E-2</v>
      </c>
      <c r="U16" s="612">
        <f t="shared" si="45"/>
        <v>5.0491675207795732E-2</v>
      </c>
      <c r="V16" s="612">
        <f t="shared" si="45"/>
        <v>8.194362028479428E-2</v>
      </c>
      <c r="W16" s="612">
        <f t="shared" si="45"/>
        <v>9.2178380059035961E-2</v>
      </c>
      <c r="X16" s="612">
        <f t="shared" si="45"/>
        <v>9.8005602972595141E-2</v>
      </c>
      <c r="Y16" s="612">
        <f t="shared" si="45"/>
        <v>0.1130724353464666</v>
      </c>
      <c r="Z16" s="612">
        <f t="shared" si="45"/>
        <v>0.12506866951180479</v>
      </c>
      <c r="AA16" s="612">
        <f>AA12/AA14</f>
        <v>0.12880482403335947</v>
      </c>
      <c r="AB16" s="612">
        <f>AB12/AB14</f>
        <v>0.13859393461213435</v>
      </c>
      <c r="AC16" s="612">
        <f>AC12/AC14</f>
        <v>0.1418473086925206</v>
      </c>
      <c r="AD16" s="612">
        <f>AD12/AD14</f>
        <v>0.15089299406672363</v>
      </c>
      <c r="AE16" s="183"/>
      <c r="AF16" s="355">
        <f>(AD16-AC16)*100</f>
        <v>0.90456853742030274</v>
      </c>
      <c r="AG16" s="355">
        <f>(AD16-Z16)*100</f>
        <v>2.582432455491884</v>
      </c>
    </row>
    <row r="17" spans="2:33" ht="13" customHeight="1">
      <c r="B17" s="51"/>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row>
    <row r="18" spans="2:33" ht="13" customHeight="1">
      <c r="B18" s="55"/>
      <c r="C18" s="179"/>
      <c r="D18" s="179"/>
      <c r="E18" s="179"/>
      <c r="F18" s="179"/>
      <c r="G18" s="179"/>
      <c r="H18" s="179"/>
      <c r="I18" s="179"/>
      <c r="J18" s="179"/>
      <c r="K18" s="202"/>
      <c r="L18" s="202"/>
      <c r="M18" s="202"/>
      <c r="N18" s="202"/>
      <c r="O18" s="179"/>
      <c r="P18" s="179"/>
      <c r="Q18" s="179"/>
      <c r="R18" s="179"/>
      <c r="S18" s="179"/>
      <c r="T18" s="179"/>
      <c r="U18" s="179"/>
      <c r="V18" s="179"/>
      <c r="W18" s="179"/>
      <c r="X18" s="179"/>
      <c r="Y18" s="179"/>
      <c r="Z18" s="179"/>
      <c r="AA18" s="179"/>
      <c r="AB18" s="179"/>
      <c r="AC18" s="179"/>
      <c r="AD18" s="179"/>
      <c r="AE18" s="179"/>
      <c r="AF18" s="204"/>
      <c r="AG18" s="204"/>
    </row>
    <row r="19" spans="2:33" ht="13" customHeight="1">
      <c r="B19" s="55"/>
      <c r="C19" s="179"/>
      <c r="D19" s="179"/>
      <c r="E19" s="179"/>
      <c r="F19" s="179"/>
      <c r="G19" s="179"/>
      <c r="H19" s="179"/>
      <c r="I19" s="179"/>
      <c r="J19" s="179"/>
      <c r="K19" s="202"/>
      <c r="L19" s="202"/>
      <c r="M19" s="202"/>
      <c r="N19" s="202"/>
      <c r="O19" s="179"/>
      <c r="P19" s="179"/>
      <c r="Q19" s="179"/>
      <c r="R19" s="179"/>
      <c r="S19" s="179"/>
      <c r="T19" s="179"/>
      <c r="U19" s="179"/>
      <c r="V19" s="179"/>
      <c r="W19" s="179"/>
      <c r="X19" s="179"/>
      <c r="Y19" s="179"/>
      <c r="Z19" s="179"/>
      <c r="AA19" s="179"/>
      <c r="AB19" s="179"/>
      <c r="AC19" s="179"/>
      <c r="AD19" s="179"/>
      <c r="AE19" s="179"/>
      <c r="AF19" s="204"/>
      <c r="AG19" s="204"/>
    </row>
    <row r="20" spans="2:33" ht="13" customHeight="1">
      <c r="B20" s="51"/>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366"/>
      <c r="AG20" s="366"/>
    </row>
    <row r="21" spans="2:33" ht="13" customHeight="1">
      <c r="B21" s="51"/>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366"/>
      <c r="AG21" s="366"/>
    </row>
    <row r="22" spans="2:33" ht="13" customHeight="1">
      <c r="B22" s="51"/>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366"/>
      <c r="AG22" s="366"/>
    </row>
    <row r="23" spans="2:33" ht="13" customHeight="1">
      <c r="B23" s="107"/>
      <c r="C23" s="205"/>
      <c r="D23" s="205"/>
      <c r="E23" s="205"/>
      <c r="F23" s="205"/>
      <c r="G23" s="205"/>
      <c r="H23" s="205"/>
      <c r="I23" s="205"/>
      <c r="J23" s="205"/>
      <c r="K23" s="205"/>
      <c r="L23" s="205"/>
      <c r="M23" s="205"/>
      <c r="N23" s="205"/>
      <c r="O23" s="205"/>
      <c r="P23" s="205"/>
      <c r="Q23" s="205"/>
      <c r="R23" s="205"/>
      <c r="S23" s="205"/>
      <c r="T23" s="205"/>
      <c r="U23" s="311"/>
      <c r="V23" s="311"/>
      <c r="W23" s="311"/>
      <c r="X23" s="311"/>
      <c r="Y23" s="311"/>
      <c r="Z23" s="311"/>
      <c r="AA23" s="205"/>
      <c r="AB23" s="205"/>
      <c r="AC23" s="205"/>
      <c r="AD23" s="205"/>
      <c r="AE23" s="205"/>
      <c r="AF23" s="205"/>
      <c r="AG23" s="205"/>
    </row>
    <row r="24" spans="2:33" ht="13" customHeight="1">
      <c r="B24" s="107"/>
      <c r="C24" s="205"/>
      <c r="D24" s="205"/>
      <c r="E24" s="205"/>
      <c r="F24" s="205"/>
      <c r="G24" s="205"/>
      <c r="H24" s="205"/>
      <c r="I24" s="205"/>
      <c r="J24" s="206"/>
      <c r="K24" s="205"/>
      <c r="L24" s="205"/>
      <c r="M24" s="205"/>
      <c r="N24" s="205"/>
      <c r="O24" s="205"/>
      <c r="P24" s="205"/>
      <c r="Q24" s="205"/>
      <c r="R24" s="205"/>
      <c r="S24" s="205"/>
      <c r="T24" s="205"/>
      <c r="U24" s="205"/>
      <c r="V24" s="205"/>
      <c r="W24" s="205"/>
      <c r="X24" s="205"/>
      <c r="Y24" s="205"/>
      <c r="Z24" s="205"/>
      <c r="AA24" s="206"/>
      <c r="AB24" s="206"/>
      <c r="AC24" s="206"/>
      <c r="AD24" s="206"/>
      <c r="AE24" s="206"/>
      <c r="AF24" s="206"/>
      <c r="AG24" s="206"/>
    </row>
    <row r="25" spans="2:33" ht="13" customHeight="1">
      <c r="B25" s="107"/>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row>
    <row r="26" spans="2:33" ht="13" customHeight="1">
      <c r="B26" s="107"/>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row>
    <row r="27" spans="2:33" ht="13" customHeight="1">
      <c r="B27" s="107"/>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row>
    <row r="28" spans="2:33" ht="13" customHeight="1">
      <c r="B28" s="107"/>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row>
    <row r="29" spans="2:33" ht="13" customHeight="1">
      <c r="B29" s="107"/>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row>
    <row r="30" spans="2:33" ht="13" customHeight="1">
      <c r="B30" s="107"/>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row>
    <row r="31" spans="2:33" ht="13" customHeight="1">
      <c r="B31" s="107"/>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row>
    <row r="32" spans="2:33" ht="13" customHeight="1">
      <c r="B32" s="108"/>
      <c r="R32" s="312"/>
      <c r="U32" s="312"/>
      <c r="V32" s="312"/>
      <c r="W32" s="312"/>
      <c r="X32" s="312"/>
      <c r="Y32" s="312"/>
      <c r="Z32" s="312"/>
    </row>
    <row r="33" spans="1:26" s="195" customFormat="1" ht="13" customHeight="1">
      <c r="A33" s="194"/>
      <c r="B33" s="109"/>
    </row>
    <row r="34" spans="1:26" s="195" customFormat="1" ht="13" customHeight="1">
      <c r="A34" s="194"/>
      <c r="B34" s="105"/>
      <c r="R34" s="312"/>
      <c r="U34" s="312"/>
      <c r="V34" s="312"/>
      <c r="W34" s="312"/>
      <c r="X34" s="312"/>
      <c r="Y34" s="312"/>
      <c r="Z34" s="312"/>
    </row>
  </sheetData>
  <sheetProtection algorithmName="SHA-512" hashValue="A5nTHADEZHro4xlEqCtPy6A13lw7tqo8sv5jS3+jo6dLjJIDA8Xb6/syzE3fkm5mZDNBVhAtd440a9VlVDV4SQ==" saltValue="567ncmv0lGhjfJhhQGDxJ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1E1AB-9968-7C46-B023-60A7EC5A8032}">
  <sheetPr codeName="Sheet1">
    <tabColor rgb="FFFFFFFF"/>
  </sheetPr>
  <dimension ref="A1:L47"/>
  <sheetViews>
    <sheetView showGridLines="0" tabSelected="1" zoomScaleNormal="100" workbookViewId="0">
      <selection activeCell="D6" sqref="D6"/>
    </sheetView>
  </sheetViews>
  <sheetFormatPr baseColWidth="10" defaultColWidth="10.83203125" defaultRowHeight="22" customHeight="1"/>
  <cols>
    <col min="1" max="2" width="3.33203125" style="8" customWidth="1"/>
    <col min="3" max="3" width="3.6640625" style="8" customWidth="1"/>
    <col min="4" max="4" width="41.1640625" style="8" bestFit="1" customWidth="1"/>
    <col min="5" max="5" width="17.33203125" style="8" customWidth="1"/>
    <col min="6" max="6" width="4.83203125" style="8" bestFit="1" customWidth="1"/>
    <col min="7" max="7" width="5" style="8" customWidth="1"/>
    <col min="8" max="8" width="45.33203125" style="8" customWidth="1"/>
    <col min="9" max="9" width="3.83203125" style="89" customWidth="1"/>
    <col min="10" max="10" width="1.1640625" style="8" customWidth="1"/>
    <col min="11" max="11" width="48" style="8" customWidth="1"/>
    <col min="12" max="12" width="4.83203125" style="8" customWidth="1"/>
    <col min="13" max="16384" width="10.83203125" style="8"/>
  </cols>
  <sheetData>
    <row r="1" spans="1:12" ht="10" customHeight="1">
      <c r="A1" s="88"/>
      <c r="B1" s="88"/>
      <c r="C1" s="88"/>
      <c r="D1" s="88"/>
      <c r="E1" s="88"/>
      <c r="F1" s="591"/>
      <c r="G1" s="591"/>
      <c r="H1" s="88"/>
      <c r="I1" s="592"/>
      <c r="J1" s="591"/>
    </row>
    <row r="2" spans="1:12" ht="11" customHeight="1">
      <c r="A2" s="88"/>
      <c r="B2" s="622"/>
      <c r="C2" s="623"/>
      <c r="D2" s="623"/>
      <c r="E2" s="623"/>
      <c r="F2" s="623"/>
      <c r="G2" s="623"/>
      <c r="H2" s="623"/>
      <c r="I2" s="624"/>
      <c r="J2" s="623"/>
      <c r="K2" s="623"/>
      <c r="L2" s="625"/>
    </row>
    <row r="3" spans="1:12" ht="22" customHeight="1">
      <c r="A3" s="88"/>
      <c r="B3" s="626"/>
      <c r="C3" s="574"/>
      <c r="D3" s="576"/>
      <c r="E3" s="577"/>
      <c r="F3" s="574"/>
      <c r="G3" s="575"/>
      <c r="H3" s="574"/>
      <c r="I3" s="578"/>
      <c r="J3" s="577"/>
      <c r="K3" s="577"/>
      <c r="L3" s="627"/>
    </row>
    <row r="4" spans="1:12" ht="24" customHeight="1">
      <c r="A4" s="88"/>
      <c r="B4" s="626"/>
      <c r="C4" s="574"/>
      <c r="D4" s="590" t="s">
        <v>1026</v>
      </c>
      <c r="E4" s="574"/>
      <c r="F4" s="579"/>
      <c r="G4" s="579"/>
      <c r="H4" s="579"/>
      <c r="I4" s="580"/>
      <c r="J4" s="579"/>
      <c r="K4" s="579"/>
      <c r="L4" s="627"/>
    </row>
    <row r="5" spans="1:12" ht="9" customHeight="1">
      <c r="A5" s="88"/>
      <c r="B5" s="626"/>
      <c r="C5" s="574"/>
      <c r="D5" s="577"/>
      <c r="E5" s="574"/>
      <c r="F5" s="579"/>
      <c r="G5" s="579"/>
      <c r="H5" s="579"/>
      <c r="I5" s="580"/>
      <c r="J5" s="579"/>
      <c r="K5" s="579"/>
      <c r="L5" s="627"/>
    </row>
    <row r="6" spans="1:12" ht="25" customHeight="1">
      <c r="A6" s="88"/>
      <c r="B6" s="626"/>
      <c r="C6" s="574"/>
      <c r="D6" s="589" t="s">
        <v>103</v>
      </c>
      <c r="E6" s="574"/>
      <c r="F6" s="760" t="str">
        <f>IF('Summary | Sumário'!D6=Names!B3,Names!BL1,Names!BM1)</f>
        <v>4Q25 Historical Data</v>
      </c>
      <c r="G6" s="760"/>
      <c r="H6" s="760"/>
      <c r="I6" s="760"/>
      <c r="J6" s="760"/>
      <c r="K6" s="760"/>
      <c r="L6" s="627"/>
    </row>
    <row r="7" spans="1:12" ht="18" customHeight="1">
      <c r="A7" s="88"/>
      <c r="B7" s="626"/>
      <c r="C7" s="574"/>
      <c r="D7" s="574"/>
      <c r="E7" s="570"/>
      <c r="F7" s="760"/>
      <c r="G7" s="760"/>
      <c r="H7" s="760"/>
      <c r="I7" s="760"/>
      <c r="J7" s="760"/>
      <c r="K7" s="760"/>
      <c r="L7" s="628"/>
    </row>
    <row r="8" spans="1:12" ht="47">
      <c r="A8" s="88"/>
      <c r="B8" s="626"/>
      <c r="C8" s="574"/>
      <c r="D8" s="574"/>
      <c r="E8" s="570"/>
      <c r="F8" s="571"/>
      <c r="G8" s="571"/>
      <c r="H8" s="581"/>
      <c r="I8" s="582"/>
      <c r="J8" s="571"/>
      <c r="K8" s="581"/>
      <c r="L8" s="628"/>
    </row>
    <row r="9" spans="1:12" ht="13" customHeight="1">
      <c r="A9" s="88"/>
      <c r="B9" s="626"/>
      <c r="C9" s="574"/>
      <c r="D9" s="574"/>
      <c r="E9" s="570"/>
      <c r="F9" s="583"/>
      <c r="G9" s="583"/>
      <c r="H9" s="570"/>
      <c r="I9" s="572"/>
      <c r="J9" s="583"/>
      <c r="K9" s="570"/>
      <c r="L9" s="629"/>
    </row>
    <row r="10" spans="1:12" ht="22" customHeight="1">
      <c r="A10" s="88"/>
      <c r="B10" s="626"/>
      <c r="C10" s="574"/>
      <c r="D10" s="574"/>
      <c r="E10" s="573"/>
      <c r="F10" s="593" t="s">
        <v>1027</v>
      </c>
      <c r="G10" s="600"/>
      <c r="H10" s="630" t="str">
        <f>IF('Summary | Sumário'!D6=Names!B3,Names!I30,Names!J30)</f>
        <v>Highlights</v>
      </c>
      <c r="I10" s="593" t="s">
        <v>1027</v>
      </c>
      <c r="J10" s="594"/>
      <c r="K10" s="630" t="str">
        <f>IF('Summary | Sumário'!D6=Names!B3,Names!I13,Names!J13)</f>
        <v>Inter Invest</v>
      </c>
      <c r="L10" s="627"/>
    </row>
    <row r="11" spans="1:12" ht="10" customHeight="1">
      <c r="A11" s="88"/>
      <c r="B11" s="626"/>
      <c r="C11" s="574"/>
      <c r="D11" s="574"/>
      <c r="E11" s="573"/>
      <c r="F11" s="600"/>
      <c r="G11" s="600"/>
      <c r="H11" s="630"/>
      <c r="I11" s="593"/>
      <c r="J11" s="594"/>
      <c r="K11" s="630"/>
      <c r="L11" s="627"/>
    </row>
    <row r="12" spans="1:12" ht="22" customHeight="1">
      <c r="A12" s="88"/>
      <c r="B12" s="626"/>
      <c r="C12" s="574"/>
      <c r="D12" s="574"/>
      <c r="E12" s="573"/>
      <c r="F12" s="593" t="s">
        <v>1028</v>
      </c>
      <c r="G12" s="594"/>
      <c r="H12" s="630" t="str">
        <f>IF('Summary | Sumário'!D6=Names!B3,Names!I31,Names!J31)</f>
        <v>Balance Sheet</v>
      </c>
      <c r="I12" s="593" t="s">
        <v>1028</v>
      </c>
      <c r="J12" s="594"/>
      <c r="K12" s="630" t="str">
        <f>IF('Summary | Sumário'!D6=Names!B3,Names!I14,Names!J14)</f>
        <v>Inter Seguros</v>
      </c>
      <c r="L12" s="627"/>
    </row>
    <row r="13" spans="1:12" ht="10" customHeight="1">
      <c r="A13" s="88"/>
      <c r="B13" s="626"/>
      <c r="C13" s="574"/>
      <c r="D13" s="574"/>
      <c r="E13" s="573"/>
      <c r="F13" s="593"/>
      <c r="G13" s="594"/>
      <c r="H13" s="630"/>
      <c r="I13" s="593"/>
      <c r="J13" s="594"/>
      <c r="K13" s="630"/>
      <c r="L13" s="627"/>
    </row>
    <row r="14" spans="1:12" ht="22" customHeight="1">
      <c r="A14" s="88"/>
      <c r="B14" s="626"/>
      <c r="C14" s="574"/>
      <c r="D14" s="574"/>
      <c r="E14" s="573"/>
      <c r="F14" s="593" t="s">
        <v>1029</v>
      </c>
      <c r="G14" s="594"/>
      <c r="H14" s="630" t="str">
        <f>IF('Summary | Sumário'!D6=Names!B3,Names!I32,Names!J32)</f>
        <v>Income Statement</v>
      </c>
      <c r="I14" s="593" t="s">
        <v>1029</v>
      </c>
      <c r="J14" s="594"/>
      <c r="K14" s="630" t="str">
        <f>IF('Summary | Sumário'!D6=Names!B3,Names!I15,Names!J15)</f>
        <v>Inter Shop</v>
      </c>
      <c r="L14" s="627"/>
    </row>
    <row r="15" spans="1:12" ht="10" customHeight="1">
      <c r="A15" s="88"/>
      <c r="B15" s="626"/>
      <c r="C15" s="574"/>
      <c r="D15" s="574"/>
      <c r="E15" s="573"/>
      <c r="F15" s="593"/>
      <c r="G15" s="594"/>
      <c r="H15" s="630"/>
      <c r="I15" s="593"/>
      <c r="J15" s="594"/>
      <c r="K15" s="630"/>
      <c r="L15" s="631"/>
    </row>
    <row r="16" spans="1:12" ht="22" customHeight="1">
      <c r="A16" s="88"/>
      <c r="B16" s="626"/>
      <c r="C16" s="574"/>
      <c r="D16" s="574"/>
      <c r="E16" s="573"/>
      <c r="F16" s="593" t="s">
        <v>1030</v>
      </c>
      <c r="G16" s="594"/>
      <c r="H16" s="630" t="str">
        <f>IF('Summary | Sumário'!D6=Names!B3,Names!I33,Names!J33)</f>
        <v>Funding</v>
      </c>
      <c r="I16" s="593" t="s">
        <v>1030</v>
      </c>
      <c r="J16" s="594"/>
      <c r="K16" s="630" t="str">
        <f>IF('Summary | Sumário'!D6=Names!B3,Names!I16,Names!J16)</f>
        <v>Digital Account</v>
      </c>
      <c r="L16" s="631"/>
    </row>
    <row r="17" spans="1:12" ht="10" customHeight="1">
      <c r="A17" s="88"/>
      <c r="B17" s="626"/>
      <c r="C17" s="574"/>
      <c r="D17" s="574"/>
      <c r="E17" s="573"/>
      <c r="F17" s="593"/>
      <c r="G17" s="594"/>
      <c r="H17" s="630"/>
      <c r="I17" s="593"/>
      <c r="J17" s="594"/>
      <c r="K17" s="630"/>
      <c r="L17" s="631"/>
    </row>
    <row r="18" spans="1:12" ht="22" customHeight="1">
      <c r="A18" s="88"/>
      <c r="B18" s="626"/>
      <c r="C18" s="574"/>
      <c r="D18" s="574"/>
      <c r="E18" s="573"/>
      <c r="F18" s="593" t="s">
        <v>1031</v>
      </c>
      <c r="G18" s="594"/>
      <c r="H18" s="630" t="str">
        <f>IF('Summary | Sumário'!D6=Names!B3,Names!I34,Names!J34)</f>
        <v>Interest Earning Portfolio</v>
      </c>
      <c r="I18" s="593" t="s">
        <v>1031</v>
      </c>
      <c r="J18" s="594"/>
      <c r="K18" s="630" t="str">
        <f>IF('Summary | Sumário'!D6=Names!B3,Names!I17,Names!J17)</f>
        <v>Operational KPIs</v>
      </c>
      <c r="L18" s="631"/>
    </row>
    <row r="19" spans="1:12" ht="10" customHeight="1">
      <c r="B19" s="632"/>
      <c r="C19" s="584"/>
      <c r="D19" s="584"/>
      <c r="E19" s="585"/>
      <c r="F19" s="593"/>
      <c r="G19" s="594"/>
      <c r="H19" s="630"/>
      <c r="I19" s="596"/>
      <c r="J19" s="594"/>
      <c r="K19" s="630"/>
      <c r="L19" s="631"/>
    </row>
    <row r="20" spans="1:12" ht="22" customHeight="1">
      <c r="B20" s="632"/>
      <c r="C20" s="586"/>
      <c r="D20" s="586"/>
      <c r="E20" s="587"/>
      <c r="F20" s="593" t="s">
        <v>1032</v>
      </c>
      <c r="G20" s="594"/>
      <c r="H20" s="630" t="str">
        <f>IF('Summary | Sumário'!D6=Names!B3,Names!I35,Names!J35)</f>
        <v>Net Interest Income</v>
      </c>
      <c r="I20" s="596"/>
      <c r="J20" s="594"/>
      <c r="K20" s="630"/>
      <c r="L20" s="631"/>
    </row>
    <row r="21" spans="1:12" ht="10" customHeight="1">
      <c r="B21" s="632"/>
      <c r="C21" s="586"/>
      <c r="D21" s="586"/>
      <c r="E21" s="587"/>
      <c r="F21" s="593"/>
      <c r="G21" s="594"/>
      <c r="H21" s="630"/>
      <c r="I21" s="596"/>
      <c r="J21" s="597"/>
      <c r="K21" s="630"/>
      <c r="L21" s="631"/>
    </row>
    <row r="22" spans="1:12" ht="22" customHeight="1">
      <c r="B22" s="632"/>
      <c r="C22" s="584"/>
      <c r="D22" s="584"/>
      <c r="E22" s="585"/>
      <c r="F22" s="593" t="s">
        <v>1033</v>
      </c>
      <c r="G22" s="594"/>
      <c r="H22" s="630" t="str">
        <f>IF('Summary | Sumário'!D6=Names!B3,Names!I36,Names!J36)</f>
        <v>Fee Revenue</v>
      </c>
      <c r="I22" s="596"/>
      <c r="J22" s="597"/>
      <c r="K22" s="630"/>
      <c r="L22" s="631"/>
    </row>
    <row r="23" spans="1:12" ht="10" customHeight="1">
      <c r="B23" s="632"/>
      <c r="C23" s="584"/>
      <c r="D23" s="584"/>
      <c r="E23" s="585"/>
      <c r="F23" s="597"/>
      <c r="G23" s="597"/>
      <c r="H23" s="630"/>
      <c r="I23" s="596"/>
      <c r="J23" s="597"/>
      <c r="K23" s="630"/>
      <c r="L23" s="631"/>
    </row>
    <row r="24" spans="1:12" ht="22" customHeight="1">
      <c r="B24" s="632"/>
      <c r="C24" s="574"/>
      <c r="D24" s="574"/>
      <c r="E24" s="588"/>
      <c r="F24" s="593" t="s">
        <v>1034</v>
      </c>
      <c r="G24" s="597"/>
      <c r="H24" s="630" t="str">
        <f>IF('Summary | Sumário'!D6=Names!B3,Names!I37,Names!J37)</f>
        <v>Expenses</v>
      </c>
      <c r="I24" s="593" t="s">
        <v>1027</v>
      </c>
      <c r="J24" s="597"/>
      <c r="K24" s="630" t="str">
        <f>IF('Summary | Sumário'!D6=Names!B3,Names!I27,Names!J27)</f>
        <v>Market Data</v>
      </c>
      <c r="L24" s="631"/>
    </row>
    <row r="25" spans="1:12" ht="10" customHeight="1">
      <c r="B25" s="632"/>
      <c r="C25" s="574"/>
      <c r="D25" s="574"/>
      <c r="E25" s="588"/>
      <c r="F25" s="597"/>
      <c r="G25" s="597"/>
      <c r="H25" s="630"/>
      <c r="I25" s="596"/>
      <c r="J25" s="597"/>
      <c r="K25" s="630"/>
      <c r="L25" s="631"/>
    </row>
    <row r="26" spans="1:12" ht="22" customHeight="1">
      <c r="B26" s="632"/>
      <c r="C26" s="574"/>
      <c r="D26" s="574"/>
      <c r="E26" s="588"/>
      <c r="F26" s="593" t="s">
        <v>1035</v>
      </c>
      <c r="G26" s="597"/>
      <c r="H26" s="630" t="str">
        <f>IF('Summary | Sumário'!D6=Names!B3,Names!I38,Names!J38)</f>
        <v>Financial KPIs</v>
      </c>
      <c r="I26" s="593" t="s">
        <v>1028</v>
      </c>
      <c r="J26" s="597"/>
      <c r="K26" s="630" t="str">
        <f>IF('Summary | Sumário'!D6=Names!B3,Names!I20,Names!J20)</f>
        <v>Disclaimer</v>
      </c>
      <c r="L26" s="631"/>
    </row>
    <row r="27" spans="1:12" ht="10" customHeight="1">
      <c r="B27" s="632"/>
      <c r="C27" s="574"/>
      <c r="D27" s="574"/>
      <c r="E27" s="588"/>
      <c r="F27" s="597"/>
      <c r="G27" s="597"/>
      <c r="H27" s="630"/>
      <c r="I27" s="596"/>
      <c r="J27" s="597"/>
      <c r="K27" s="630"/>
      <c r="L27" s="631"/>
    </row>
    <row r="28" spans="1:12" ht="22" customHeight="1">
      <c r="B28" s="632"/>
      <c r="C28" s="574"/>
      <c r="D28" s="574"/>
      <c r="E28" s="588"/>
      <c r="F28" s="597" t="s">
        <v>1035</v>
      </c>
      <c r="G28" s="597" t="s">
        <v>1036</v>
      </c>
      <c r="H28" s="630" t="str">
        <f>IF('Summary | Sumário'!D6=Names!B3,Names!I39,Names!J39)</f>
        <v>Asset Quality</v>
      </c>
      <c r="I28" s="593" t="s">
        <v>1029</v>
      </c>
      <c r="J28" s="597"/>
      <c r="K28" s="630" t="str">
        <f>IF('Summary | Sumário'!D6=Names!B3,Names!I21,Names!J21)</f>
        <v>Glossary</v>
      </c>
      <c r="L28" s="631"/>
    </row>
    <row r="29" spans="1:12" ht="10" customHeight="1">
      <c r="B29" s="632"/>
      <c r="C29" s="574"/>
      <c r="D29" s="574"/>
      <c r="E29" s="588"/>
      <c r="F29" s="597"/>
      <c r="G29" s="597"/>
      <c r="H29" s="630"/>
      <c r="I29" s="596"/>
      <c r="J29" s="597"/>
      <c r="K29" s="630"/>
      <c r="L29" s="631"/>
    </row>
    <row r="30" spans="1:12" ht="22" customHeight="1">
      <c r="B30" s="632"/>
      <c r="C30" s="574"/>
      <c r="D30" s="574"/>
      <c r="E30" s="588"/>
      <c r="F30" s="597" t="s">
        <v>1035</v>
      </c>
      <c r="G30" s="597" t="s">
        <v>1037</v>
      </c>
      <c r="H30" s="630" t="str">
        <f>IF('Summary | Sumário'!D6=Names!B3,Names!I40,Names!J40)</f>
        <v>NIM &amp; Yields</v>
      </c>
      <c r="I30" s="593"/>
      <c r="J30" s="597"/>
      <c r="K30" s="598"/>
      <c r="L30" s="631"/>
    </row>
    <row r="31" spans="1:12" ht="10" customHeight="1">
      <c r="B31" s="632"/>
      <c r="C31" s="574"/>
      <c r="D31" s="574"/>
      <c r="E31" s="588"/>
      <c r="F31" s="597"/>
      <c r="G31" s="597"/>
      <c r="H31" s="630"/>
      <c r="I31" s="596"/>
      <c r="J31" s="597"/>
      <c r="K31" s="598"/>
      <c r="L31" s="631"/>
    </row>
    <row r="32" spans="1:12" ht="22" customHeight="1">
      <c r="B32" s="632"/>
      <c r="C32" s="574"/>
      <c r="D32" s="574"/>
      <c r="E32" s="588"/>
      <c r="F32" s="597" t="s">
        <v>1035</v>
      </c>
      <c r="G32" s="597" t="s">
        <v>1038</v>
      </c>
      <c r="H32" s="630" t="str">
        <f>IF('Summary | Sumário'!D6=Names!B3,Names!I41,Names!J41)</f>
        <v>Fee Income Ratio</v>
      </c>
      <c r="I32" s="596"/>
      <c r="J32" s="597"/>
      <c r="K32" s="598"/>
      <c r="L32" s="631"/>
    </row>
    <row r="33" spans="2:12" ht="10" customHeight="1">
      <c r="B33" s="632"/>
      <c r="C33" s="574"/>
      <c r="D33" s="574"/>
      <c r="E33" s="574"/>
      <c r="F33" s="597"/>
      <c r="G33" s="597"/>
      <c r="H33" s="630"/>
      <c r="I33" s="596"/>
      <c r="J33" s="598"/>
      <c r="K33" s="595"/>
      <c r="L33" s="631"/>
    </row>
    <row r="34" spans="2:12" ht="22" customHeight="1">
      <c r="B34" s="632"/>
      <c r="C34" s="577"/>
      <c r="D34" s="577"/>
      <c r="E34" s="577"/>
      <c r="F34" s="597" t="s">
        <v>1035</v>
      </c>
      <c r="G34" s="597" t="s">
        <v>1039</v>
      </c>
      <c r="H34" s="630" t="str">
        <f>IF('Summary | Sumário'!D6=Names!B3,Names!I42,Names!J42)</f>
        <v>Efficiency Ratio</v>
      </c>
      <c r="I34" s="596"/>
      <c r="J34" s="595"/>
      <c r="K34" s="595"/>
      <c r="L34" s="631"/>
    </row>
    <row r="35" spans="2:12" ht="10" customHeight="1">
      <c r="B35" s="632"/>
      <c r="C35" s="577"/>
      <c r="D35" s="577"/>
      <c r="E35" s="577"/>
      <c r="F35" s="601"/>
      <c r="G35" s="597"/>
      <c r="H35" s="630"/>
      <c r="I35" s="578"/>
      <c r="J35" s="577"/>
      <c r="K35" s="577"/>
      <c r="L35" s="631"/>
    </row>
    <row r="36" spans="2:12" ht="22" customHeight="1">
      <c r="B36" s="632"/>
      <c r="C36" s="577"/>
      <c r="D36" s="577"/>
      <c r="E36" s="577"/>
      <c r="F36" s="597" t="s">
        <v>1035</v>
      </c>
      <c r="G36" s="597" t="s">
        <v>1040</v>
      </c>
      <c r="H36" s="630" t="str">
        <f>IF('Summary | Sumário'!D6=Names!B3,Names!I43,Names!J43)</f>
        <v>Cost-to-Serve</v>
      </c>
      <c r="I36" s="578"/>
      <c r="J36" s="577"/>
      <c r="K36" s="577"/>
      <c r="L36" s="631"/>
    </row>
    <row r="37" spans="2:12" ht="10" customHeight="1">
      <c r="B37" s="632"/>
      <c r="C37" s="577"/>
      <c r="D37" s="577"/>
      <c r="E37" s="577"/>
      <c r="F37" s="601"/>
      <c r="G37" s="597"/>
      <c r="H37" s="630"/>
      <c r="I37" s="578"/>
      <c r="J37" s="577"/>
      <c r="K37" s="577"/>
      <c r="L37" s="631"/>
    </row>
    <row r="38" spans="2:12" ht="22" customHeight="1">
      <c r="B38" s="632"/>
      <c r="C38" s="577"/>
      <c r="D38" s="577"/>
      <c r="E38" s="577"/>
      <c r="F38" s="597" t="s">
        <v>1035</v>
      </c>
      <c r="G38" s="597" t="s">
        <v>1041</v>
      </c>
      <c r="H38" s="630" t="str">
        <f>IF('Summary | Sumário'!D6=Names!B3,Names!I44,Names!J44)</f>
        <v>ARPAC</v>
      </c>
      <c r="I38" s="578"/>
      <c r="J38" s="577"/>
      <c r="K38" s="577"/>
      <c r="L38" s="631"/>
    </row>
    <row r="39" spans="2:12" ht="10" customHeight="1">
      <c r="B39" s="632"/>
      <c r="C39" s="577"/>
      <c r="D39" s="577"/>
      <c r="E39" s="577"/>
      <c r="F39" s="601"/>
      <c r="G39" s="597"/>
      <c r="H39" s="630"/>
      <c r="I39" s="578"/>
      <c r="J39" s="577"/>
      <c r="K39" s="577"/>
      <c r="L39" s="631"/>
    </row>
    <row r="40" spans="2:12" ht="22" customHeight="1">
      <c r="B40" s="632"/>
      <c r="C40" s="577"/>
      <c r="D40" s="577"/>
      <c r="E40" s="577"/>
      <c r="F40" s="597" t="s">
        <v>1035</v>
      </c>
      <c r="G40" s="597" t="s">
        <v>1042</v>
      </c>
      <c r="H40" s="630" t="str">
        <f>IF('Summary | Sumário'!D6=Names!B3,Names!I45,Names!J45)</f>
        <v>Cost of Funding</v>
      </c>
      <c r="I40" s="578"/>
      <c r="J40" s="577"/>
      <c r="K40" s="577"/>
      <c r="L40" s="631"/>
    </row>
    <row r="41" spans="2:12" ht="10" customHeight="1">
      <c r="B41" s="632"/>
      <c r="C41" s="577"/>
      <c r="D41" s="577"/>
      <c r="E41" s="577"/>
      <c r="F41" s="601"/>
      <c r="G41" s="597"/>
      <c r="H41" s="630"/>
      <c r="I41" s="578"/>
      <c r="J41" s="577"/>
      <c r="K41" s="577"/>
      <c r="L41" s="631"/>
    </row>
    <row r="42" spans="2:12" ht="23" customHeight="1">
      <c r="B42" s="632"/>
      <c r="C42" s="577"/>
      <c r="D42" s="577"/>
      <c r="E42" s="577"/>
      <c r="F42" s="597" t="s">
        <v>1035</v>
      </c>
      <c r="G42" s="597" t="s">
        <v>1043</v>
      </c>
      <c r="H42" s="630" t="s">
        <v>1044</v>
      </c>
      <c r="I42" s="578"/>
      <c r="J42" s="577"/>
      <c r="K42" s="577"/>
      <c r="L42" s="631"/>
    </row>
    <row r="43" spans="2:12" ht="10" customHeight="1">
      <c r="B43" s="632"/>
      <c r="C43" s="577"/>
      <c r="D43" s="577"/>
      <c r="E43" s="577"/>
      <c r="F43" s="601"/>
      <c r="G43" s="597"/>
      <c r="H43" s="630"/>
      <c r="I43" s="578"/>
      <c r="J43" s="577"/>
      <c r="K43" s="577"/>
      <c r="L43" s="631"/>
    </row>
    <row r="44" spans="2:12" ht="22" customHeight="1">
      <c r="B44" s="632"/>
      <c r="C44" s="577"/>
      <c r="D44" s="577"/>
      <c r="E44" s="577"/>
      <c r="F44" s="597" t="s">
        <v>1035</v>
      </c>
      <c r="G44" s="597" t="s">
        <v>1045</v>
      </c>
      <c r="H44" s="630" t="str">
        <f>IF('Summary | Sumário'!D6=Names!B3,Names!I46,Names!J46)</f>
        <v>Capital</v>
      </c>
      <c r="I44" s="578"/>
      <c r="J44" s="577"/>
      <c r="K44" s="577"/>
      <c r="L44" s="631"/>
    </row>
    <row r="45" spans="2:12" ht="10" customHeight="1">
      <c r="B45" s="632"/>
      <c r="C45" s="577"/>
      <c r="D45" s="577"/>
      <c r="E45" s="577"/>
      <c r="F45" s="601"/>
      <c r="G45" s="597"/>
      <c r="H45" s="630"/>
      <c r="I45" s="578"/>
      <c r="J45" s="577"/>
      <c r="K45" s="577"/>
      <c r="L45" s="631"/>
    </row>
    <row r="46" spans="2:12" ht="22" customHeight="1">
      <c r="B46" s="632"/>
      <c r="C46" s="577"/>
      <c r="D46" s="577"/>
      <c r="E46" s="577"/>
      <c r="F46" s="597" t="s">
        <v>1035</v>
      </c>
      <c r="G46" s="597" t="s">
        <v>1120</v>
      </c>
      <c r="H46" s="630" t="str">
        <f>IF('Summary | Sumário'!D6=Names!B3,Names!BF84,Names!BG84)</f>
        <v>Effective Tax Rate</v>
      </c>
      <c r="I46" s="578"/>
      <c r="J46" s="577"/>
      <c r="K46" s="577"/>
      <c r="L46" s="631"/>
    </row>
    <row r="47" spans="2:12" ht="22" customHeight="1">
      <c r="B47" s="633"/>
      <c r="C47" s="634"/>
      <c r="D47" s="634"/>
      <c r="E47" s="634"/>
      <c r="F47" s="635"/>
      <c r="G47" s="635"/>
      <c r="H47" s="636"/>
      <c r="I47" s="637"/>
      <c r="J47" s="634"/>
      <c r="K47" s="634"/>
      <c r="L47" s="638"/>
    </row>
  </sheetData>
  <sheetProtection algorithmName="SHA-512" hashValue="r3OUfpZX9t2VQXl4f307a5xgKVi11EwLkpmclSz8mVc0whX6p8lTDJSZ91nKpPZDcYVqXfNXt8Sq0PQcAODqaQ==" saltValue="JOkCkgkIvV/hrlNv48kCCg==" spinCount="100000" sheet="1" formatCells="0" formatColumns="0" formatRows="0" insertColumns="0" insertRows="0" insertHyperlinks="0" deleteColumns="0" deleteRows="0" sort="0" autoFilter="0" pivotTables="0"/>
  <mergeCells count="1">
    <mergeCell ref="F6:K7"/>
  </mergeCells>
  <hyperlinks>
    <hyperlink ref="H10" location="'1. Highlights'!A1" display="'1. Highlights'!A1" xr:uid="{FACC69DB-CBF5-A34F-B97A-124C19E74A49}"/>
    <hyperlink ref="H12" location="'2. BS | BP'!A1" display="'2. BS | BP'!A1" xr:uid="{209443F7-93AA-2247-B726-2F80A26880B2}"/>
    <hyperlink ref="H14" location="'3. IS | DRE'!A1" display="'3. IS | DRE'!A1" xr:uid="{B38745B5-3202-B349-89A3-72CC686D8833}"/>
    <hyperlink ref="H16" location="'4. Funding'!A1" display="'4. Funding'!A1" xr:uid="{78546F37-5C08-AB45-9845-4282B0C68A13}"/>
    <hyperlink ref="H18" location="'5. IEP'!A1" display="'5. IEP'!A1" xr:uid="{110A099D-5445-694A-8074-7774874617A0}"/>
    <hyperlink ref="H20" location="'6. NII'!A1" display="'6. NII'!A1" xr:uid="{8EAA7680-06EE-F44F-BFB4-EBB9CE65037D}"/>
    <hyperlink ref="H22" location="'7. Fee Revenue | R. de Serv '!A1" display="'7. Fee Revenue | R. de Serv '!A1" xr:uid="{43F13BAF-D3DB-9343-A013-0F7B6BF440DF}"/>
    <hyperlink ref="H24" location="'8. Expenses'!A1" display="'8. Expenses'!A1" xr:uid="{73DD4A3A-62EE-1E43-9813-160E560D7A96}"/>
    <hyperlink ref="H26" location="'9. Financial KPIs | KPIs Fin.'!A1" display="'9. Financial KPIs | KPIs Fin.'!A1" xr:uid="{414A726D-EDFF-8A49-B000-DC168828338A}"/>
    <hyperlink ref="H28" location="'9.1 Asset Quality'!A1" display="'9.1 Asset Quality'!A1" xr:uid="{08F2EAED-F7A2-EA43-9ECA-19EDE1A91168}"/>
    <hyperlink ref="H30" location="'9.2 NIM &amp; Yields'!A1" display="'9.2 NIM &amp; Yields'!A1" xr:uid="{FC9B6088-835F-2E44-AAB1-2DA4E09B87FC}"/>
    <hyperlink ref="H32" location="'9.3 Fee Income Ratio'!A1" display="'9.3 Fee Income Ratio'!A1" xr:uid="{48DEF271-5967-B54C-8261-CB3DF1099F3C}"/>
    <hyperlink ref="H34" location="'9.4 Efficiency | Eficiência'!A1" display="'9.4 Efficiency | Eficiência'!A1" xr:uid="{AEB00480-D740-EC40-AF19-8798B800FD9C}"/>
    <hyperlink ref="H36" location="'9.5 CTS | Custo de servir '!A1" display="'9.5 CTS | Custo de servir '!A1" xr:uid="{EEBAABF5-9A08-E848-806E-CE9C6EB20710}"/>
    <hyperlink ref="H38" location="'9.6 ARPAC'!A1" display="'9.6 ARPAC'!A1" xr:uid="{476617FD-5F80-E34E-8725-C5E22EC5026C}"/>
    <hyperlink ref="H40" location="'9.7 Cost of Funding'!A1" display="'9.7 Cost of Funding'!A1" xr:uid="{0F95E136-BD2C-8549-9A40-2CB91D20F424}"/>
    <hyperlink ref="K10" location="'1. Inter Invest'!A1" display="'1. Inter Invest'!A1" xr:uid="{7F7E0A68-72ED-3340-A4FD-8B19C26620BD}"/>
    <hyperlink ref="K12" location="'2. Inter Seguros'!A1" display="'2. Inter Seguros'!A1" xr:uid="{814C70A0-1725-0441-A362-7BB113C87D68}"/>
    <hyperlink ref="K14" location="'3. Inter Shop'!A1" display="'3. Inter Shop'!A1" xr:uid="{95981D1D-0760-2642-9505-BE5408BEEF9F}"/>
    <hyperlink ref="K16" location="'4. Digital Acou. | Conta Di'!A1" display="'4. Digital Acou. | Conta Di'!A1" xr:uid="{D3FF2661-0A63-D541-B3D3-E95A0ED67126}"/>
    <hyperlink ref="K18" location="'5. Oper. KPIs | KPIs Oper.'!A1" display="'5. Oper. KPIs | KPIs Oper.'!A1" xr:uid="{E1FE6317-8C70-C44A-8144-0B6271B1CE18}"/>
    <hyperlink ref="K24" location="'1. Market Data | Dado de Mer.'!A1" display="'1. Market Data | Dado de Mer.'!A1" xr:uid="{80276634-E00D-6641-94ED-2DF1DAB8497E}"/>
    <hyperlink ref="K26" location="'3. Disclaimer'!A1" display="'3. Disclaimer'!A1" xr:uid="{CF27AB98-099D-314F-9137-E851052151A7}"/>
    <hyperlink ref="K28" location="'4. Glossary | Glossário'!A1" display="'4. Glossary | Glossário'!A1" xr:uid="{562D68B8-F964-DE4B-84B3-D889A86C566F}"/>
    <hyperlink ref="H44" location="'9.9 Capital | Basileia'!A1" display="'9.9 Capital | Basileia'!A1" xr:uid="{49BD3F82-03A2-2E48-B7B4-BE88A7B74E8C}"/>
    <hyperlink ref="H42" location="'9.8 ROE'!A1" display="ROE" xr:uid="{71723839-09C2-F048-B147-9887FAADF456}"/>
  </hyperlinks>
  <pageMargins left="0.511811024" right="0.511811024" top="0.78740157499999996" bottom="0.78740157499999996" header="0.31496062000000002" footer="0.31496062000000002"/>
  <pageSetup paperSize="9" orientation="portrait" horizontalDpi="0" verticalDpi="0"/>
  <ignoredErrors>
    <ignoredError sqref="I10:I18 I24:I28 F10:F22 F24:H41 F42:G42 F44:H44" numberStoredAsText="1"/>
  </ignoredError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E1FC904-540E-3A45-9E98-258CEE4A444F}">
          <x14:formula1>
            <xm:f>Names!$B$2:$B$3</xm:f>
          </x14:formula1>
          <xm:sqref>D6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43826-A11D-4D47-A4CA-CD6B44ECF723}">
  <sheetPr codeName="Sheet21">
    <tabColor rgb="FFF7CAB0"/>
  </sheetPr>
  <dimension ref="A1:AK35"/>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94" customWidth="1"/>
    <col min="2" max="2" width="68.33203125" style="105" customWidth="1"/>
    <col min="3" max="9" width="10.83203125" style="195" customWidth="1"/>
    <col min="10" max="10" width="2.83203125" style="195" customWidth="1"/>
    <col min="11" max="30" width="10.83203125" style="195" customWidth="1"/>
    <col min="31" max="31" width="5.83203125" style="195" customWidth="1"/>
    <col min="32" max="33" width="10.83203125" style="195" customWidth="1"/>
    <col min="34" max="34" width="10.83203125" style="194" customWidth="1"/>
    <col min="35" max="16384" width="10.83203125" style="194"/>
  </cols>
  <sheetData>
    <row r="1" spans="1:37" ht="13" customHeight="1">
      <c r="AH1" s="195"/>
    </row>
    <row r="2" spans="1:37" s="10" customFormat="1" ht="13" customHeight="1">
      <c r="B2" s="267" t="str">
        <f>IF('Summary | Sumário'!D$6=Names!B$3,Names!AH1,Names!AI1)</f>
        <v>Capital Ratio (Banco Inter S.A.,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6"/>
      <c r="AF2" s="104" t="str">
        <f>IF('Summary | Sumário'!$D$6=Names!$B$3,Names!$I$24,Names!$J$24)</f>
        <v>QoQ Variation</v>
      </c>
      <c r="AG2" s="104" t="str">
        <f>IF('Summary | Sumário'!$D$6=Names!$B$3,Names!$I$25,Names!$J$25)</f>
        <v>YoY Variation</v>
      </c>
      <c r="AH2" s="11"/>
      <c r="AJ2" s="12"/>
      <c r="AK2" s="13"/>
    </row>
    <row r="3" spans="1:37" ht="13" customHeight="1">
      <c r="B3" s="10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7"/>
    </row>
    <row r="4" spans="1:37" s="199" customFormat="1" ht="13" customHeight="1">
      <c r="A4" s="198"/>
      <c r="B4" s="3" t="str">
        <f>IF('Summary | Sumário'!D$6=Names!B$3,Names!AH3,Names!AI3)</f>
        <v>Capital ratio</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row>
    <row r="5" spans="1:37" ht="13" customHeight="1">
      <c r="B5" s="288" t="str">
        <f>IF('Summary | Sumário'!D$6=Names!B$3,Names!AH4,Names!AI4)</f>
        <v>Referential equity (RE)</v>
      </c>
      <c r="C5" s="289">
        <v>2123127</v>
      </c>
      <c r="D5" s="289">
        <v>3077952</v>
      </c>
      <c r="E5" s="289">
        <f>N5</f>
        <v>7955237.9140799996</v>
      </c>
      <c r="F5" s="289">
        <f>R5</f>
        <v>5913329</v>
      </c>
      <c r="G5" s="289">
        <f>V5</f>
        <v>6138173.4993100008</v>
      </c>
      <c r="H5" s="289">
        <f>Z5</f>
        <v>5262320.5900600003</v>
      </c>
      <c r="I5" s="289">
        <f>AD5</f>
        <v>6442705.4338700008</v>
      </c>
      <c r="J5" s="179"/>
      <c r="K5" s="289">
        <v>2815602.88809</v>
      </c>
      <c r="L5" s="289">
        <v>2682250.3591399998</v>
      </c>
      <c r="M5" s="289">
        <v>7955022.5986299999</v>
      </c>
      <c r="N5" s="289">
        <v>7955237.9140799996</v>
      </c>
      <c r="O5" s="289">
        <v>7042015</v>
      </c>
      <c r="P5" s="289">
        <v>7080872</v>
      </c>
      <c r="Q5" s="289">
        <v>7162093</v>
      </c>
      <c r="R5" s="289">
        <v>5913329</v>
      </c>
      <c r="S5" s="289">
        <v>5829384</v>
      </c>
      <c r="T5" s="289">
        <v>5959738</v>
      </c>
      <c r="U5" s="289">
        <v>5964109</v>
      </c>
      <c r="V5" s="289">
        <v>6138173.4993100008</v>
      </c>
      <c r="W5" s="289">
        <v>5852972.8847599998</v>
      </c>
      <c r="X5" s="289">
        <v>5895210.8120200001</v>
      </c>
      <c r="Y5" s="289">
        <v>5557930.4372699996</v>
      </c>
      <c r="Z5" s="289">
        <v>5262320.5900600003</v>
      </c>
      <c r="AA5" s="289">
        <v>5523344</v>
      </c>
      <c r="AB5" s="289">
        <v>6034565.0908400007</v>
      </c>
      <c r="AC5" s="289">
        <v>6030082.4842800004</v>
      </c>
      <c r="AD5" s="289">
        <v>6442705.4338700008</v>
      </c>
      <c r="AE5" s="179"/>
      <c r="AF5" s="337">
        <f>AD5/AC5-1</f>
        <v>6.8427413831515516E-2</v>
      </c>
      <c r="AG5" s="337">
        <f>AD5/Z5-1</f>
        <v>0.22430880513810392</v>
      </c>
    </row>
    <row r="6" spans="1:37" ht="13" customHeight="1">
      <c r="B6" s="51" t="str">
        <f>IF('Summary | Sumário'!D$6=Names!B$3,Names!AH5,Names!AI5)</f>
        <v>Tier I referential equity</v>
      </c>
      <c r="C6" s="179">
        <v>2123127</v>
      </c>
      <c r="D6" s="179">
        <v>3077952</v>
      </c>
      <c r="E6" s="179">
        <f t="shared" ref="E6:E23" si="0">N6</f>
        <v>7955237.9140799996</v>
      </c>
      <c r="F6" s="179">
        <f t="shared" ref="F6:F7" si="1">R6</f>
        <v>5913329</v>
      </c>
      <c r="G6" s="179">
        <f t="shared" ref="G6:G12" si="2">V6</f>
        <v>6138173.4993100008</v>
      </c>
      <c r="H6" s="179">
        <f t="shared" ref="H6:H13" si="3">Z6</f>
        <v>5262320.5900600003</v>
      </c>
      <c r="I6" s="179">
        <f>AD6</f>
        <v>5636019.3743000003</v>
      </c>
      <c r="J6" s="179"/>
      <c r="K6" s="179">
        <v>2815602.88809</v>
      </c>
      <c r="L6" s="179">
        <v>2682250.3591399998</v>
      </c>
      <c r="M6" s="179">
        <v>7955022.5986299999</v>
      </c>
      <c r="N6" s="179">
        <v>7955237.9140799996</v>
      </c>
      <c r="O6" s="179">
        <v>7042015</v>
      </c>
      <c r="P6" s="179">
        <v>7080872</v>
      </c>
      <c r="Q6" s="179">
        <v>7162093</v>
      </c>
      <c r="R6" s="179">
        <v>5913329</v>
      </c>
      <c r="S6" s="179">
        <v>5829384</v>
      </c>
      <c r="T6" s="179">
        <v>5959738</v>
      </c>
      <c r="U6" s="179">
        <v>5964109</v>
      </c>
      <c r="V6" s="179">
        <v>6138173.4993100008</v>
      </c>
      <c r="W6" s="179">
        <v>5852972.8847599998</v>
      </c>
      <c r="X6" s="179">
        <v>5895210.8120200001</v>
      </c>
      <c r="Y6" s="179">
        <v>5557930.4372699996</v>
      </c>
      <c r="Z6" s="179">
        <v>5262320.5900600003</v>
      </c>
      <c r="AA6" s="179">
        <v>5523344</v>
      </c>
      <c r="AB6" s="179">
        <v>5521911.2675400004</v>
      </c>
      <c r="AC6" s="179">
        <v>5496220.2442800002</v>
      </c>
      <c r="AD6" s="179">
        <v>5636019.3743000003</v>
      </c>
      <c r="AE6" s="179"/>
      <c r="AF6" s="204">
        <f>AD6/AC6-1</f>
        <v>2.5435503638248758E-2</v>
      </c>
      <c r="AG6" s="204">
        <f>AD6/Z6-1</f>
        <v>7.1014066483497729E-2</v>
      </c>
    </row>
    <row r="7" spans="1:37" ht="13" customHeight="1">
      <c r="B7" s="53" t="str">
        <f>IF('Summary | Sumário'!D$6=Names!B$3,Names!AH6,Names!AI6)</f>
        <v>Core capital (CC)</v>
      </c>
      <c r="C7" s="174">
        <v>2123127</v>
      </c>
      <c r="D7" s="174">
        <v>3077952</v>
      </c>
      <c r="E7" s="174">
        <f t="shared" si="0"/>
        <v>7955237.9140799996</v>
      </c>
      <c r="F7" s="174">
        <f t="shared" si="1"/>
        <v>5913329</v>
      </c>
      <c r="G7" s="174">
        <f t="shared" si="2"/>
        <v>6138173.4993100008</v>
      </c>
      <c r="H7" s="174">
        <f t="shared" si="3"/>
        <v>5262320.5900600003</v>
      </c>
      <c r="I7" s="174">
        <f>AD7</f>
        <v>5384555.7023200002</v>
      </c>
      <c r="J7" s="179"/>
      <c r="K7" s="174">
        <v>2815602.88809</v>
      </c>
      <c r="L7" s="174">
        <v>2682250.3591399998</v>
      </c>
      <c r="M7" s="174">
        <v>7955022.5986299999</v>
      </c>
      <c r="N7" s="174">
        <v>7955237.9140799996</v>
      </c>
      <c r="O7" s="174">
        <v>7042015</v>
      </c>
      <c r="P7" s="174">
        <v>7080872</v>
      </c>
      <c r="Q7" s="174">
        <v>7162093</v>
      </c>
      <c r="R7" s="174">
        <v>5913329</v>
      </c>
      <c r="S7" s="174">
        <v>5829384</v>
      </c>
      <c r="T7" s="174">
        <v>5959738</v>
      </c>
      <c r="U7" s="174">
        <v>5964109</v>
      </c>
      <c r="V7" s="174">
        <v>6138173.4993100008</v>
      </c>
      <c r="W7" s="174">
        <v>5852972.8847599998</v>
      </c>
      <c r="X7" s="174">
        <v>5895210.8120200001</v>
      </c>
      <c r="Y7" s="174">
        <v>5557930.4372699996</v>
      </c>
      <c r="Z7" s="174">
        <v>5262320.5900600003</v>
      </c>
      <c r="AA7" s="174">
        <v>5523344</v>
      </c>
      <c r="AB7" s="174">
        <v>5521911.2675400004</v>
      </c>
      <c r="AC7" s="174">
        <v>5496220.2442800002</v>
      </c>
      <c r="AD7" s="174">
        <v>5384555.7023200002</v>
      </c>
      <c r="AE7" s="179"/>
      <c r="AF7" s="203">
        <f>AD7/AC7-1</f>
        <v>-2.0316606139685001E-2</v>
      </c>
      <c r="AG7" s="203">
        <f>AD7/Z7-1</f>
        <v>2.3228366681210977E-2</v>
      </c>
    </row>
    <row r="8" spans="1:37" ht="13" customHeight="1">
      <c r="B8" s="51" t="str">
        <f>IF('Summary | Sumário'!D$6=Names!B$3,Names!AH22,Names!AI22)</f>
        <v>Tier II referential equity</v>
      </c>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v>512653.82329999999</v>
      </c>
      <c r="AC8" s="179">
        <v>533862.24</v>
      </c>
      <c r="AD8" s="179">
        <v>806686.05957000004</v>
      </c>
      <c r="AE8" s="179"/>
      <c r="AF8" s="204" t="s">
        <v>1079</v>
      </c>
      <c r="AG8" s="204" t="s">
        <v>1079</v>
      </c>
    </row>
    <row r="9" spans="1:37" ht="13" customHeight="1">
      <c r="B9" s="53" t="str">
        <f>IF('Summary | Sumário'!D$6=Names!B$3,Names!AH7,Names!AI7)</f>
        <v>Risk weighted assets - RWA</v>
      </c>
      <c r="C9" s="174">
        <v>5388262</v>
      </c>
      <c r="D9" s="174">
        <v>9643109</v>
      </c>
      <c r="E9" s="174">
        <f t="shared" si="0"/>
        <v>17953262.630789999</v>
      </c>
      <c r="F9" s="174">
        <v>24950460</v>
      </c>
      <c r="G9" s="174">
        <f t="shared" si="2"/>
        <v>26745734.312450003</v>
      </c>
      <c r="H9" s="174">
        <f t="shared" si="3"/>
        <v>34653740.143590003</v>
      </c>
      <c r="I9" s="174">
        <f>AD9</f>
        <v>44797753.489600003</v>
      </c>
      <c r="J9" s="179"/>
      <c r="K9" s="174">
        <v>11661845.75979</v>
      </c>
      <c r="L9" s="174">
        <v>13664902.02272</v>
      </c>
      <c r="M9" s="174">
        <v>15993381.634679999</v>
      </c>
      <c r="N9" s="174">
        <v>17953262.630789999</v>
      </c>
      <c r="O9" s="174">
        <v>19739307</v>
      </c>
      <c r="P9" s="174">
        <v>21531298</v>
      </c>
      <c r="Q9" s="174">
        <v>24039291</v>
      </c>
      <c r="R9" s="174">
        <v>24550461</v>
      </c>
      <c r="S9" s="174">
        <v>25344975</v>
      </c>
      <c r="T9" s="174">
        <v>26110963</v>
      </c>
      <c r="U9" s="174">
        <v>25122491</v>
      </c>
      <c r="V9" s="174">
        <v>26745734.312450003</v>
      </c>
      <c r="W9" s="174">
        <v>28865752.132199999</v>
      </c>
      <c r="X9" s="174">
        <v>30562162.857720003</v>
      </c>
      <c r="Y9" s="174">
        <v>32685685.686000001</v>
      </c>
      <c r="Z9" s="174">
        <v>34653740.143590003</v>
      </c>
      <c r="AA9" s="174">
        <v>37584487</v>
      </c>
      <c r="AB9" s="174">
        <v>38411293.717469998</v>
      </c>
      <c r="AC9" s="174">
        <v>41210623.556189999</v>
      </c>
      <c r="AD9" s="174">
        <v>44797753.489600003</v>
      </c>
      <c r="AE9" s="179"/>
      <c r="AF9" s="203">
        <f>AD9/AC9-1</f>
        <v>8.7043815983978368E-2</v>
      </c>
      <c r="AG9" s="203">
        <f>AD9/Z9-1</f>
        <v>0.29272492100355185</v>
      </c>
      <c r="AH9" s="200"/>
    </row>
    <row r="10" spans="1:37" ht="13" customHeight="1">
      <c r="B10" s="54" t="str">
        <f>IF('Summary | Sumário'!D$6=Names!B$3,Names!AH8,Names!AI8)</f>
        <v>RWA for credit risk by standardized approach - RWACPAD</v>
      </c>
      <c r="C10" s="179">
        <v>4102332</v>
      </c>
      <c r="D10" s="179">
        <v>8064303</v>
      </c>
      <c r="E10" s="179">
        <v>16198394</v>
      </c>
      <c r="F10" s="179">
        <v>21963629</v>
      </c>
      <c r="G10" s="179">
        <f t="shared" si="2"/>
        <v>22367940.18866</v>
      </c>
      <c r="H10" s="179">
        <f t="shared" si="3"/>
        <v>27053372.237530001</v>
      </c>
      <c r="I10" s="179">
        <f>AD10</f>
        <v>37251333.94122</v>
      </c>
      <c r="J10" s="179"/>
      <c r="K10" s="179">
        <v>9477754</v>
      </c>
      <c r="L10" s="179">
        <v>11657733</v>
      </c>
      <c r="M10" s="179">
        <v>14128834</v>
      </c>
      <c r="N10" s="179">
        <v>16198394</v>
      </c>
      <c r="O10" s="179">
        <v>17444892</v>
      </c>
      <c r="P10" s="179">
        <v>19128150</v>
      </c>
      <c r="Q10" s="179">
        <v>20914461</v>
      </c>
      <c r="R10" s="179">
        <v>20380664</v>
      </c>
      <c r="S10" s="179">
        <v>21964715</v>
      </c>
      <c r="T10" s="179">
        <v>22597089</v>
      </c>
      <c r="U10" s="179">
        <v>20745143</v>
      </c>
      <c r="V10" s="179">
        <v>22367940.18866</v>
      </c>
      <c r="W10" s="179">
        <v>23115890.775979999</v>
      </c>
      <c r="X10" s="179">
        <v>24972742.652060002</v>
      </c>
      <c r="Y10" s="179">
        <v>25007291.648669999</v>
      </c>
      <c r="Z10" s="179">
        <v>27053372.237530001</v>
      </c>
      <c r="AA10" s="179">
        <v>30392108</v>
      </c>
      <c r="AB10" s="179">
        <v>31401035.994439997</v>
      </c>
      <c r="AC10" s="179">
        <v>33725395.272970006</v>
      </c>
      <c r="AD10" s="179">
        <v>37251333.94122</v>
      </c>
      <c r="AE10" s="179"/>
      <c r="AF10" s="204">
        <f>AD10/AC10-1</f>
        <v>0.10454847570240156</v>
      </c>
      <c r="AG10" s="204">
        <f>AD10/Z10-1</f>
        <v>0.37695713547839338</v>
      </c>
    </row>
    <row r="11" spans="1:37" ht="13" customHeight="1">
      <c r="B11" s="59" t="str">
        <f>IF('Summary | Sumário'!D$6=Names!B$3,Names!AH9,Names!AI9)</f>
        <v>RWA for market risk - RWAMPAD</v>
      </c>
      <c r="C11" s="174">
        <v>565751</v>
      </c>
      <c r="D11" s="174">
        <v>476759</v>
      </c>
      <c r="E11" s="174">
        <v>323581</v>
      </c>
      <c r="F11" s="174">
        <v>480765</v>
      </c>
      <c r="G11" s="174">
        <f t="shared" si="2"/>
        <v>342159.71365999995</v>
      </c>
      <c r="H11" s="174">
        <f t="shared" si="3"/>
        <v>1262296.1807200001</v>
      </c>
      <c r="I11" s="174">
        <f>AD11</f>
        <v>1210033.56791</v>
      </c>
      <c r="J11" s="179"/>
      <c r="K11" s="174">
        <v>1043214</v>
      </c>
      <c r="L11" s="174">
        <v>866292</v>
      </c>
      <c r="M11" s="174">
        <v>433261</v>
      </c>
      <c r="N11" s="174">
        <v>323581</v>
      </c>
      <c r="O11" s="174">
        <v>356818</v>
      </c>
      <c r="P11" s="174">
        <v>465550</v>
      </c>
      <c r="Q11" s="174">
        <v>618763</v>
      </c>
      <c r="R11" s="174">
        <v>480765</v>
      </c>
      <c r="S11" s="174">
        <v>216277</v>
      </c>
      <c r="T11" s="174">
        <v>349892</v>
      </c>
      <c r="U11" s="174">
        <v>341714</v>
      </c>
      <c r="V11" s="174">
        <v>342159.71365999995</v>
      </c>
      <c r="W11" s="174">
        <v>754382.50448</v>
      </c>
      <c r="X11" s="174">
        <v>593941.35390999995</v>
      </c>
      <c r="Y11" s="174">
        <v>1328691.41713</v>
      </c>
      <c r="Z11" s="174">
        <v>1262296.1807200001</v>
      </c>
      <c r="AA11" s="174">
        <v>1249238</v>
      </c>
      <c r="AB11" s="174">
        <v>1106293.4736300001</v>
      </c>
      <c r="AC11" s="174">
        <v>1151727.00373</v>
      </c>
      <c r="AD11" s="174">
        <v>1210033.56791</v>
      </c>
      <c r="AE11" s="179"/>
      <c r="AF11" s="203">
        <f>AD11/AC11-1</f>
        <v>5.0625333947339479E-2</v>
      </c>
      <c r="AG11" s="203">
        <f>AD11/Z11-1</f>
        <v>-4.1402813070534727E-2</v>
      </c>
    </row>
    <row r="12" spans="1:37" ht="13" customHeight="1">
      <c r="B12" s="54" t="str">
        <f>IF('Summary | Sumário'!D$6=Names!B$3,Names!AH10,Names!AI10)</f>
        <v>RWA for operating risk by standard approach - RWAOPAD</v>
      </c>
      <c r="C12" s="179">
        <v>720179</v>
      </c>
      <c r="D12" s="179">
        <v>1102047</v>
      </c>
      <c r="E12" s="179">
        <v>1431287</v>
      </c>
      <c r="F12" s="179">
        <v>2506066</v>
      </c>
      <c r="G12" s="179">
        <f t="shared" si="2"/>
        <v>4035634.4101300002</v>
      </c>
      <c r="H12" s="179">
        <f t="shared" si="3"/>
        <v>5939055.1325000003</v>
      </c>
      <c r="I12" s="179">
        <f>AD12</f>
        <v>5996394.7797900001</v>
      </c>
      <c r="J12" s="179"/>
      <c r="K12" s="179">
        <v>1140877</v>
      </c>
      <c r="L12" s="179">
        <v>1140877</v>
      </c>
      <c r="M12" s="179">
        <v>1431287</v>
      </c>
      <c r="N12" s="179">
        <v>1431287</v>
      </c>
      <c r="O12" s="179">
        <v>1937597</v>
      </c>
      <c r="P12" s="179">
        <v>1937597</v>
      </c>
      <c r="Q12" s="179">
        <v>2506066</v>
      </c>
      <c r="R12" s="179">
        <v>2506066</v>
      </c>
      <c r="S12" s="179">
        <v>3163982</v>
      </c>
      <c r="T12" s="179">
        <v>3163982</v>
      </c>
      <c r="U12" s="179">
        <v>4035634</v>
      </c>
      <c r="V12" s="179">
        <v>4035634.4101300002</v>
      </c>
      <c r="W12" s="179">
        <v>4995478.8517500004</v>
      </c>
      <c r="X12" s="179">
        <v>4995478.8517500004</v>
      </c>
      <c r="Y12" s="179">
        <v>5939055.1324999994</v>
      </c>
      <c r="Z12" s="179">
        <v>5939055.1325000003</v>
      </c>
      <c r="AA12" s="179">
        <v>5547874</v>
      </c>
      <c r="AB12" s="179">
        <v>5547874.1171700004</v>
      </c>
      <c r="AC12" s="179">
        <v>5996394.7797900001</v>
      </c>
      <c r="AD12" s="179">
        <v>5996394.7797900001</v>
      </c>
      <c r="AE12" s="179"/>
      <c r="AF12" s="204">
        <f>AD12/AC12-1</f>
        <v>0</v>
      </c>
      <c r="AG12" s="204">
        <f>AD12/Z12-1</f>
        <v>9.6546750300772199E-3</v>
      </c>
    </row>
    <row r="13" spans="1:37" ht="13" customHeight="1">
      <c r="B13" s="59" t="str">
        <f>IF('Summary | Sumário'!D$6=Names!B$3,Names!AH21,Names!AI21)</f>
        <v>RWA for payments services - RWASP</v>
      </c>
      <c r="C13" s="174"/>
      <c r="D13" s="174"/>
      <c r="E13" s="174"/>
      <c r="F13" s="174"/>
      <c r="G13" s="174"/>
      <c r="H13" s="174">
        <f t="shared" si="3"/>
        <v>399016.59284</v>
      </c>
      <c r="I13" s="174">
        <f>AD13</f>
        <v>339991.20068000001</v>
      </c>
      <c r="J13" s="179"/>
      <c r="K13" s="174"/>
      <c r="L13" s="174"/>
      <c r="M13" s="174"/>
      <c r="N13" s="174"/>
      <c r="O13" s="174"/>
      <c r="P13" s="174"/>
      <c r="Q13" s="174"/>
      <c r="R13" s="174"/>
      <c r="S13" s="174"/>
      <c r="T13" s="174"/>
      <c r="U13" s="174"/>
      <c r="V13" s="174"/>
      <c r="W13" s="174"/>
      <c r="X13" s="174"/>
      <c r="Y13" s="174">
        <v>410647.4877</v>
      </c>
      <c r="Z13" s="174">
        <v>399016.59284</v>
      </c>
      <c r="AA13" s="174">
        <v>395266</v>
      </c>
      <c r="AB13" s="174">
        <v>356090.13222999999</v>
      </c>
      <c r="AC13" s="174">
        <v>337106.49969999999</v>
      </c>
      <c r="AD13" s="174">
        <v>339991.20068000001</v>
      </c>
      <c r="AE13" s="179"/>
      <c r="AF13" s="203">
        <f>AD13/AC13-1</f>
        <v>8.5572392776975814E-3</v>
      </c>
      <c r="AG13" s="203">
        <f>AD13/Z13-1</f>
        <v>-0.14792716197561318</v>
      </c>
    </row>
    <row r="14" spans="1:37" ht="13" customHeight="1">
      <c r="B14" s="51" t="str">
        <f>IF('Summary | Sumário'!D$6=Names!B$3,Names!AH11,Names!AI11)</f>
        <v>Capital requirement</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row>
    <row r="15" spans="1:37" ht="13" customHeight="1">
      <c r="B15" s="59" t="str">
        <f>IF('Summary | Sumário'!D$6=Names!B$3,Names!AH12,Names!AI12)</f>
        <v>Minimum principal capital required for RWA</v>
      </c>
      <c r="C15" s="174">
        <v>242472</v>
      </c>
      <c r="D15" s="174">
        <v>433940</v>
      </c>
      <c r="E15" s="174">
        <v>807897</v>
      </c>
      <c r="F15" s="174">
        <v>1104771</v>
      </c>
      <c r="G15" s="174">
        <f t="shared" ref="G15:G17" si="4">V15</f>
        <v>1203558.04406025</v>
      </c>
      <c r="H15" s="174">
        <f t="shared" ref="H15:H23" si="5">Z15</f>
        <v>1559418.3064615501</v>
      </c>
      <c r="I15" s="174">
        <f>AD15</f>
        <v>2015898.9070320001</v>
      </c>
      <c r="J15" s="179"/>
      <c r="K15" s="174">
        <v>524783</v>
      </c>
      <c r="L15" s="174">
        <v>614921</v>
      </c>
      <c r="M15" s="174">
        <v>719702</v>
      </c>
      <c r="N15" s="174">
        <v>807897</v>
      </c>
      <c r="O15" s="174">
        <v>888269</v>
      </c>
      <c r="P15" s="174">
        <v>968908</v>
      </c>
      <c r="Q15" s="174">
        <v>1081768</v>
      </c>
      <c r="R15" s="174">
        <v>1104771</v>
      </c>
      <c r="S15" s="174">
        <v>1140524</v>
      </c>
      <c r="T15" s="174">
        <v>1174993</v>
      </c>
      <c r="U15" s="174">
        <v>1130512</v>
      </c>
      <c r="V15" s="174">
        <v>1203558.04406025</v>
      </c>
      <c r="W15" s="174">
        <v>1298958.845949</v>
      </c>
      <c r="X15" s="174">
        <v>1375297.3285974001</v>
      </c>
      <c r="Y15" s="174">
        <v>1470855.8558700001</v>
      </c>
      <c r="Z15" s="174">
        <v>1559418.3064615501</v>
      </c>
      <c r="AA15" s="174">
        <v>1691302</v>
      </c>
      <c r="AB15" s="174">
        <v>1728508.2172861497</v>
      </c>
      <c r="AC15" s="174">
        <v>1854478.0600300001</v>
      </c>
      <c r="AD15" s="174">
        <v>2015898.9070320001</v>
      </c>
      <c r="AE15" s="179"/>
      <c r="AF15" s="203">
        <f>AD15/AC15-1</f>
        <v>8.7043815983128381E-2</v>
      </c>
      <c r="AG15" s="203">
        <f>AD15/Z15-1</f>
        <v>0.29272492100355207</v>
      </c>
    </row>
    <row r="16" spans="1:37" ht="13" customHeight="1">
      <c r="B16" s="54" t="str">
        <f>IF('Summary | Sumário'!D$6=Names!B$3,Names!AH13,Names!AI13)</f>
        <v>Tier I minimum reference equity required to RWA</v>
      </c>
      <c r="C16" s="179">
        <v>323296</v>
      </c>
      <c r="D16" s="179">
        <v>578587</v>
      </c>
      <c r="E16" s="179">
        <v>1077196</v>
      </c>
      <c r="F16" s="179">
        <v>1473028</v>
      </c>
      <c r="G16" s="179">
        <f t="shared" si="4"/>
        <v>1604744.0587470001</v>
      </c>
      <c r="H16" s="179">
        <f t="shared" si="5"/>
        <v>2079224.4086154001</v>
      </c>
      <c r="I16" s="179">
        <f>AD16</f>
        <v>2687865.2093759999</v>
      </c>
      <c r="J16" s="179"/>
      <c r="K16" s="179">
        <v>699711</v>
      </c>
      <c r="L16" s="179">
        <v>819894</v>
      </c>
      <c r="M16" s="179">
        <v>959603</v>
      </c>
      <c r="N16" s="179">
        <v>1077196</v>
      </c>
      <c r="O16" s="179">
        <v>1184358</v>
      </c>
      <c r="P16" s="179">
        <v>1291878</v>
      </c>
      <c r="Q16" s="179">
        <v>1442357</v>
      </c>
      <c r="R16" s="179">
        <v>1473028</v>
      </c>
      <c r="S16" s="179">
        <v>1520699</v>
      </c>
      <c r="T16" s="179">
        <v>1566658</v>
      </c>
      <c r="U16" s="179">
        <v>1507349</v>
      </c>
      <c r="V16" s="179">
        <v>1604744.0587470001</v>
      </c>
      <c r="W16" s="179">
        <v>1731945.127932</v>
      </c>
      <c r="X16" s="179">
        <v>1833729.7714632</v>
      </c>
      <c r="Y16" s="179">
        <v>1961141.1411599999</v>
      </c>
      <c r="Z16" s="179">
        <v>2079224.4086154001</v>
      </c>
      <c r="AA16" s="179">
        <v>2255069</v>
      </c>
      <c r="AB16" s="179">
        <v>2304677.6230481998</v>
      </c>
      <c r="AC16" s="179">
        <v>2472637.4133700002</v>
      </c>
      <c r="AD16" s="179">
        <v>2687865.2093759999</v>
      </c>
      <c r="AE16" s="179"/>
      <c r="AF16" s="204">
        <f>AD16/AC16-1</f>
        <v>8.7043815984593653E-2</v>
      </c>
      <c r="AG16" s="204">
        <f>AD16/Z16-1</f>
        <v>0.29272492100355185</v>
      </c>
    </row>
    <row r="17" spans="2:33" ht="13" customHeight="1">
      <c r="B17" s="59" t="str">
        <f>IF('Summary | Sumário'!D$6=Names!B$3,Names!AH14,Names!AI14)</f>
        <v>Minimum Reference Equity required to RWA</v>
      </c>
      <c r="C17" s="174">
        <v>431061</v>
      </c>
      <c r="D17" s="174">
        <v>771449</v>
      </c>
      <c r="E17" s="174">
        <v>1435261</v>
      </c>
      <c r="F17" s="174">
        <v>1964037</v>
      </c>
      <c r="G17" s="174">
        <f t="shared" si="4"/>
        <v>2139658.7449960001</v>
      </c>
      <c r="H17" s="174">
        <f t="shared" si="5"/>
        <v>2772299.2114872001</v>
      </c>
      <c r="I17" s="174">
        <f>AD17</f>
        <v>3583820.2791680004</v>
      </c>
      <c r="J17" s="179"/>
      <c r="K17" s="174">
        <v>932948</v>
      </c>
      <c r="L17" s="174">
        <v>1093192</v>
      </c>
      <c r="M17" s="174">
        <v>1279471</v>
      </c>
      <c r="N17" s="174">
        <v>1436261</v>
      </c>
      <c r="O17" s="174">
        <v>1579145</v>
      </c>
      <c r="P17" s="174">
        <v>1722504</v>
      </c>
      <c r="Q17" s="174">
        <v>1923143</v>
      </c>
      <c r="R17" s="174">
        <v>1964037</v>
      </c>
      <c r="S17" s="174">
        <v>2027598</v>
      </c>
      <c r="T17" s="174">
        <v>2088877</v>
      </c>
      <c r="U17" s="174">
        <v>2009799</v>
      </c>
      <c r="V17" s="174">
        <v>2139658.7449960001</v>
      </c>
      <c r="W17" s="174">
        <v>2309260.1705760001</v>
      </c>
      <c r="X17" s="174">
        <v>2444973.0286176004</v>
      </c>
      <c r="Y17" s="174">
        <v>2614854.85488</v>
      </c>
      <c r="Z17" s="174">
        <v>2772299.2114872001</v>
      </c>
      <c r="AA17" s="174">
        <v>3006759</v>
      </c>
      <c r="AB17" s="174">
        <v>3072903.4973975997</v>
      </c>
      <c r="AC17" s="174">
        <v>3296849.8844900001</v>
      </c>
      <c r="AD17" s="174">
        <v>3583820.2791680004</v>
      </c>
      <c r="AE17" s="179"/>
      <c r="AF17" s="203">
        <f>AD17/AC17-1</f>
        <v>8.7043815985692774E-2</v>
      </c>
      <c r="AG17" s="203">
        <f>AD17/Z17-1</f>
        <v>0.29272492100355207</v>
      </c>
    </row>
    <row r="18" spans="2:33" ht="13" customHeight="1">
      <c r="B18" s="51" t="str">
        <f>IF('Summary | Sumário'!D$6=Names!B$3,Names!AH15,Names!AI15)</f>
        <v>Margin on capital requirements</v>
      </c>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row>
    <row r="19" spans="2:33" ht="13" customHeight="1">
      <c r="B19" s="60" t="str">
        <f>IF('Summary | Sumário'!D$6=Names!B$3,Names!AH16,Names!AI16)</f>
        <v>Margin on required principal capital</v>
      </c>
      <c r="C19" s="174">
        <v>1880665</v>
      </c>
      <c r="D19" s="174">
        <v>2644013</v>
      </c>
      <c r="E19" s="174">
        <v>7147341</v>
      </c>
      <c r="F19" s="174">
        <v>4808558</v>
      </c>
      <c r="G19" s="174">
        <f t="shared" ref="G19:G23" si="6">V19</f>
        <v>4934615.455249751</v>
      </c>
      <c r="H19" s="174">
        <f t="shared" si="5"/>
        <v>3702902.28359845</v>
      </c>
      <c r="I19" s="174">
        <f>AD19</f>
        <v>3368656.7952880003</v>
      </c>
      <c r="J19" s="179"/>
      <c r="K19" s="201">
        <v>2290820</v>
      </c>
      <c r="L19" s="201">
        <v>2067330</v>
      </c>
      <c r="M19" s="201">
        <v>7235320</v>
      </c>
      <c r="N19" s="201" t="s">
        <v>1049</v>
      </c>
      <c r="O19" s="174">
        <v>6153746</v>
      </c>
      <c r="P19" s="174">
        <v>6111964</v>
      </c>
      <c r="Q19" s="174">
        <v>6080324</v>
      </c>
      <c r="R19" s="174">
        <v>4808558</v>
      </c>
      <c r="S19" s="174">
        <v>4688860</v>
      </c>
      <c r="T19" s="174">
        <v>4784744</v>
      </c>
      <c r="U19" s="174">
        <v>4833597</v>
      </c>
      <c r="V19" s="174">
        <v>4934615.455249751</v>
      </c>
      <c r="W19" s="174">
        <v>4554014.0388110001</v>
      </c>
      <c r="X19" s="174">
        <v>4519913.4834225997</v>
      </c>
      <c r="Y19" s="174">
        <v>4087074.5813999996</v>
      </c>
      <c r="Z19" s="174">
        <v>3702902.28359845</v>
      </c>
      <c r="AA19" s="174">
        <v>3832042</v>
      </c>
      <c r="AB19" s="174">
        <v>3793403.0502538504</v>
      </c>
      <c r="AC19" s="174">
        <v>3641742.1842499999</v>
      </c>
      <c r="AD19" s="174">
        <v>3368656.7952880003</v>
      </c>
      <c r="AE19" s="179"/>
      <c r="AF19" s="203">
        <f>AD19/AC19-1</f>
        <v>-7.4987567802864752E-2</v>
      </c>
      <c r="AG19" s="203">
        <f>AD19/Z19-1</f>
        <v>-9.0265813870095579E-2</v>
      </c>
    </row>
    <row r="20" spans="2:33" ht="13" customHeight="1">
      <c r="B20" s="55" t="str">
        <f>IF('Summary | Sumário'!D$6=Names!B$3,Names!AH17,Names!AI17)</f>
        <v>Margin on the tier I required reference equity</v>
      </c>
      <c r="C20" s="179">
        <v>1799831</v>
      </c>
      <c r="D20" s="179">
        <v>2499366</v>
      </c>
      <c r="E20" s="179">
        <v>6878042</v>
      </c>
      <c r="F20" s="179">
        <v>4440301</v>
      </c>
      <c r="G20" s="179">
        <f t="shared" si="6"/>
        <v>4533429.4405630007</v>
      </c>
      <c r="H20" s="179">
        <f t="shared" si="5"/>
        <v>3183096.1814446002</v>
      </c>
      <c r="I20" s="179">
        <f>AD20</f>
        <v>2948154.1649240004</v>
      </c>
      <c r="J20" s="179"/>
      <c r="K20" s="202">
        <v>2115982</v>
      </c>
      <c r="L20" s="202">
        <v>1862356</v>
      </c>
      <c r="M20" s="202">
        <v>6995420</v>
      </c>
      <c r="N20" s="202">
        <v>6878042</v>
      </c>
      <c r="O20" s="179">
        <v>5857656</v>
      </c>
      <c r="P20" s="179">
        <v>5788994</v>
      </c>
      <c r="Q20" s="179">
        <v>5719735</v>
      </c>
      <c r="R20" s="179">
        <v>4440301</v>
      </c>
      <c r="S20" s="179">
        <v>4308685</v>
      </c>
      <c r="T20" s="179">
        <v>4393080</v>
      </c>
      <c r="U20" s="179">
        <v>4456759</v>
      </c>
      <c r="V20" s="179">
        <v>4533429.4405630007</v>
      </c>
      <c r="W20" s="179">
        <v>4121027.7568279998</v>
      </c>
      <c r="X20" s="179">
        <v>4061481.0405568001</v>
      </c>
      <c r="Y20" s="179">
        <v>3596789.2961099995</v>
      </c>
      <c r="Z20" s="179">
        <v>3183096.1814446002</v>
      </c>
      <c r="AA20" s="179">
        <v>3268275</v>
      </c>
      <c r="AB20" s="179">
        <v>3217233.6444918006</v>
      </c>
      <c r="AC20" s="179">
        <v>3023582.83091</v>
      </c>
      <c r="AD20" s="179">
        <v>2948154.1649240004</v>
      </c>
      <c r="AE20" s="179"/>
      <c r="AF20" s="204">
        <f>AD20/AC20-1</f>
        <v>-2.4946783403746897E-2</v>
      </c>
      <c r="AG20" s="204">
        <f>AD20/Z20-1</f>
        <v>-7.3809273464672698E-2</v>
      </c>
    </row>
    <row r="21" spans="2:33" ht="13" customHeight="1">
      <c r="B21" s="53" t="str">
        <f>IF('Summary | Sumário'!D$6=Names!B$3,Names!AH18,Names!AI18)</f>
        <v>Core capital ratio (CC/RWA)</v>
      </c>
      <c r="C21" s="203">
        <v>0.39400000000000002</v>
      </c>
      <c r="D21" s="203">
        <v>0.31900000000000001</v>
      </c>
      <c r="E21" s="203">
        <f t="shared" si="0"/>
        <v>0.44310820142722684</v>
      </c>
      <c r="F21" s="203">
        <f>R21</f>
        <v>0.24099999999999999</v>
      </c>
      <c r="G21" s="203">
        <f t="shared" si="6"/>
        <v>0.229501027251763</v>
      </c>
      <c r="H21" s="203">
        <f t="shared" si="5"/>
        <v>0.15185433284416736</v>
      </c>
      <c r="I21" s="203">
        <f>AD21</f>
        <v>0.12019700281555522</v>
      </c>
      <c r="J21" s="204"/>
      <c r="K21" s="203">
        <v>0.24143715721212744</v>
      </c>
      <c r="L21" s="203">
        <v>0.19628756610770765</v>
      </c>
      <c r="M21" s="203">
        <v>0.4973946586368172</v>
      </c>
      <c r="N21" s="203">
        <v>0.44310820142722684</v>
      </c>
      <c r="O21" s="203">
        <v>0.35699999999999998</v>
      </c>
      <c r="P21" s="203">
        <v>0.32900000000000001</v>
      </c>
      <c r="Q21" s="203">
        <v>0.29799999999999999</v>
      </c>
      <c r="R21" s="203">
        <v>0.24099999999999999</v>
      </c>
      <c r="S21" s="203">
        <v>0.23</v>
      </c>
      <c r="T21" s="203">
        <v>0.22800000000000001</v>
      </c>
      <c r="U21" s="203">
        <v>0.2374</v>
      </c>
      <c r="V21" s="203">
        <v>0.229501027251763</v>
      </c>
      <c r="W21" s="203">
        <v>0.20276529979036845</v>
      </c>
      <c r="X21" s="203">
        <v>0.19289246116070838</v>
      </c>
      <c r="Y21" s="203">
        <v>0.17004172684835503</v>
      </c>
      <c r="Z21" s="203">
        <v>0.15185433284416736</v>
      </c>
      <c r="AA21" s="203">
        <v>0.14699999999999999</v>
      </c>
      <c r="AB21" s="203">
        <v>0.14375749247489045</v>
      </c>
      <c r="AC21" s="203">
        <v>0.133369020725324</v>
      </c>
      <c r="AD21" s="203">
        <v>0.12019700281555522</v>
      </c>
      <c r="AE21" s="204"/>
      <c r="AF21" s="365">
        <f>(AD21-AC21)*100</f>
        <v>-1.3172017909768783</v>
      </c>
      <c r="AG21" s="365">
        <f>(AD21-Z21)*100</f>
        <v>-3.1657330028612138</v>
      </c>
    </row>
    <row r="22" spans="2:33" ht="13" customHeight="1">
      <c r="B22" s="51" t="str">
        <f>IF('Summary | Sumário'!D$6=Names!B$3,Names!AH19,Names!AI19)</f>
        <v>Tier I capital ratio (tier I /RWA)</v>
      </c>
      <c r="C22" s="204">
        <v>0.39400000000000002</v>
      </c>
      <c r="D22" s="204">
        <v>0.31900000000000001</v>
      </c>
      <c r="E22" s="204">
        <f t="shared" si="0"/>
        <v>0.44310820142722684</v>
      </c>
      <c r="F22" s="204">
        <f t="shared" ref="F22:F23" si="7">R22</f>
        <v>0.24099999999999999</v>
      </c>
      <c r="G22" s="204">
        <f t="shared" si="6"/>
        <v>0.229501027251763</v>
      </c>
      <c r="H22" s="204">
        <f t="shared" si="5"/>
        <v>0.15185433284416736</v>
      </c>
      <c r="I22" s="204">
        <f>AD22</f>
        <v>0.12581031268919382</v>
      </c>
      <c r="J22" s="204"/>
      <c r="K22" s="204">
        <v>0.24143715721212744</v>
      </c>
      <c r="L22" s="204">
        <v>0.19628756610770765</v>
      </c>
      <c r="M22" s="204">
        <v>0.4973946586368172</v>
      </c>
      <c r="N22" s="204">
        <v>0.44310820142722684</v>
      </c>
      <c r="O22" s="204">
        <v>0.35699999999999998</v>
      </c>
      <c r="P22" s="204">
        <v>0.32900000000000001</v>
      </c>
      <c r="Q22" s="204">
        <v>0.29799999999999999</v>
      </c>
      <c r="R22" s="204">
        <v>0.24099999999999999</v>
      </c>
      <c r="S22" s="204">
        <v>0.23</v>
      </c>
      <c r="T22" s="204">
        <v>0.22800000000000001</v>
      </c>
      <c r="U22" s="204">
        <v>0.2374</v>
      </c>
      <c r="V22" s="204">
        <v>0.229501027251763</v>
      </c>
      <c r="W22" s="204">
        <v>0.20276529979036845</v>
      </c>
      <c r="X22" s="204">
        <v>0.19289246116070838</v>
      </c>
      <c r="Y22" s="204">
        <v>0.17004172684835503</v>
      </c>
      <c r="Z22" s="204">
        <v>0.15185433284416736</v>
      </c>
      <c r="AA22" s="204">
        <v>0.14699999999999999</v>
      </c>
      <c r="AB22" s="204">
        <v>0.14375749247489045</v>
      </c>
      <c r="AC22" s="204">
        <v>0.133369020725324</v>
      </c>
      <c r="AD22" s="204">
        <v>0.12581031268919382</v>
      </c>
      <c r="AE22" s="204"/>
      <c r="AF22" s="366">
        <f>(AD22-AC22)*100</f>
        <v>-0.75587080361301795</v>
      </c>
      <c r="AG22" s="366">
        <f>(AD22-Z22)*100</f>
        <v>-2.6044020154973535</v>
      </c>
    </row>
    <row r="23" spans="2:33" ht="13" customHeight="1">
      <c r="B23" s="53" t="str">
        <f>IF('Summary | Sumário'!D$6=Names!B$3,Names!AH20,Names!AI20)</f>
        <v>Basel ratio (RE/RWA)</v>
      </c>
      <c r="C23" s="203">
        <v>0.39400000000000002</v>
      </c>
      <c r="D23" s="203">
        <v>0.31900000000000001</v>
      </c>
      <c r="E23" s="203">
        <f t="shared" si="0"/>
        <v>0.44310820142722684</v>
      </c>
      <c r="F23" s="203">
        <f t="shared" si="7"/>
        <v>0.24099999999999999</v>
      </c>
      <c r="G23" s="203">
        <f t="shared" si="6"/>
        <v>0.229501027251763</v>
      </c>
      <c r="H23" s="203">
        <f t="shared" si="5"/>
        <v>0.15185433284416736</v>
      </c>
      <c r="I23" s="203">
        <f>AD23</f>
        <v>0.1438176009287096</v>
      </c>
      <c r="J23" s="204"/>
      <c r="K23" s="203">
        <v>0.24143715721212744</v>
      </c>
      <c r="L23" s="203">
        <v>0.19628756610770765</v>
      </c>
      <c r="M23" s="203">
        <v>0.4973946586368172</v>
      </c>
      <c r="N23" s="203">
        <v>0.44310820142722684</v>
      </c>
      <c r="O23" s="203">
        <v>0.35699999999999998</v>
      </c>
      <c r="P23" s="203">
        <v>0.32900000000000001</v>
      </c>
      <c r="Q23" s="203">
        <v>0.29799999999999999</v>
      </c>
      <c r="R23" s="203">
        <v>0.24099999999999999</v>
      </c>
      <c r="S23" s="203">
        <v>0.23</v>
      </c>
      <c r="T23" s="203">
        <v>0.22800000000000001</v>
      </c>
      <c r="U23" s="203">
        <v>0.2374</v>
      </c>
      <c r="V23" s="203">
        <v>0.229501027251763</v>
      </c>
      <c r="W23" s="203">
        <v>0.20276529979036845</v>
      </c>
      <c r="X23" s="203">
        <v>0.19289246116070838</v>
      </c>
      <c r="Y23" s="203">
        <v>0.17004172684835503</v>
      </c>
      <c r="Z23" s="203">
        <v>0.15185433284416736</v>
      </c>
      <c r="AA23" s="203">
        <v>0.14699999999999999</v>
      </c>
      <c r="AB23" s="203">
        <v>0.15710392717377794</v>
      </c>
      <c r="AC23" s="203">
        <v>0.14632349535048683</v>
      </c>
      <c r="AD23" s="203">
        <v>0.1438176009287096</v>
      </c>
      <c r="AE23" s="204"/>
      <c r="AF23" s="365">
        <f>(AD23-AC23)*100</f>
        <v>-0.25058944217772328</v>
      </c>
      <c r="AG23" s="365">
        <f>(AD23-Z23)*100</f>
        <v>-0.80367319154577566</v>
      </c>
    </row>
    <row r="24" spans="2:33" ht="13" customHeight="1">
      <c r="B24" s="107"/>
      <c r="C24" s="205"/>
      <c r="D24" s="205"/>
      <c r="E24" s="205"/>
      <c r="F24" s="205"/>
      <c r="G24" s="205"/>
      <c r="H24" s="205"/>
      <c r="I24" s="205"/>
      <c r="J24" s="205"/>
      <c r="K24" s="205"/>
      <c r="L24" s="205"/>
      <c r="M24" s="205"/>
      <c r="N24" s="205"/>
      <c r="O24" s="205"/>
      <c r="P24" s="205"/>
      <c r="Q24" s="205"/>
      <c r="R24" s="205"/>
      <c r="S24" s="205"/>
      <c r="T24" s="205"/>
      <c r="U24" s="311"/>
      <c r="V24" s="311"/>
      <c r="W24" s="311"/>
      <c r="X24" s="311"/>
      <c r="Y24" s="311"/>
      <c r="Z24" s="311"/>
      <c r="AA24" s="205"/>
      <c r="AB24" s="205"/>
      <c r="AC24" s="205"/>
      <c r="AD24" s="205"/>
      <c r="AE24" s="205"/>
      <c r="AF24" s="205"/>
      <c r="AG24" s="205"/>
    </row>
    <row r="25" spans="2:33" ht="13" customHeight="1">
      <c r="B25" s="107"/>
      <c r="C25" s="205"/>
      <c r="D25" s="205"/>
      <c r="E25" s="205"/>
      <c r="F25" s="205"/>
      <c r="G25" s="205"/>
      <c r="H25" s="205"/>
      <c r="I25" s="205"/>
      <c r="J25" s="206"/>
      <c r="K25" s="205"/>
      <c r="L25" s="205"/>
      <c r="M25" s="205"/>
      <c r="N25" s="205"/>
      <c r="O25" s="205"/>
      <c r="P25" s="205"/>
      <c r="Q25" s="205"/>
      <c r="R25" s="205"/>
      <c r="S25" s="205"/>
      <c r="T25" s="205"/>
      <c r="U25" s="205"/>
      <c r="V25" s="205"/>
      <c r="W25" s="205"/>
      <c r="X25" s="205"/>
      <c r="Y25" s="205"/>
      <c r="Z25" s="205"/>
      <c r="AA25" s="206"/>
      <c r="AB25" s="206"/>
      <c r="AC25" s="206"/>
      <c r="AD25" s="206"/>
      <c r="AE25" s="206"/>
      <c r="AF25" s="206"/>
      <c r="AG25" s="206"/>
    </row>
    <row r="26" spans="2:33" ht="13" customHeight="1">
      <c r="B26" s="107"/>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row>
    <row r="27" spans="2:33" ht="13" customHeight="1">
      <c r="B27" s="107"/>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row>
    <row r="28" spans="2:33" ht="13" customHeight="1">
      <c r="B28" s="116"/>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row>
    <row r="29" spans="2:33" ht="13" customHeight="1">
      <c r="B29" s="116"/>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row>
    <row r="30" spans="2:33" ht="13" customHeight="1">
      <c r="B30" s="116"/>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row>
    <row r="31" spans="2:33" ht="13" customHeight="1">
      <c r="B31" s="116"/>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row>
    <row r="32" spans="2:33" ht="13" customHeight="1">
      <c r="B32" s="116"/>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row>
    <row r="33" spans="2:26" ht="13" customHeight="1">
      <c r="B33" s="116"/>
      <c r="R33" s="312"/>
      <c r="U33" s="312"/>
      <c r="V33" s="312"/>
      <c r="W33" s="312"/>
      <c r="X33" s="312"/>
      <c r="Y33" s="312"/>
      <c r="Z33" s="312"/>
    </row>
    <row r="34" spans="2:26" ht="13" customHeight="1">
      <c r="B34" s="116"/>
    </row>
    <row r="35" spans="2:26" ht="13" customHeight="1">
      <c r="R35" s="312"/>
      <c r="U35" s="312"/>
      <c r="V35" s="312"/>
      <c r="W35" s="312"/>
      <c r="X35" s="312"/>
      <c r="Y35" s="312"/>
      <c r="Z35" s="312"/>
    </row>
  </sheetData>
  <sheetProtection algorithmName="SHA-512" hashValue="QZekeryHTAkIQ4NKBwEE9z72Gi5M8rkf/nJYXPcTXOH8kfZ2ydha5dt7GzHtWgcBHXa68OS6wqbStF2/bQ1b+g==" saltValue="TfxJLwc0e74p5LBTJXLHn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5DB-978F-8F40-90AA-48D8BA98015E}">
  <sheetPr codeName="Sheet22">
    <tabColor rgb="FFF7CAB0"/>
  </sheetPr>
  <dimension ref="A1:AK17"/>
  <sheetViews>
    <sheetView showGridLines="0" zoomScale="111"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94" customWidth="1"/>
    <col min="2" max="2" width="68.33203125" style="105" customWidth="1"/>
    <col min="3" max="9" width="10.83203125" style="195" customWidth="1"/>
    <col min="10" max="10" width="2.83203125" style="195" customWidth="1"/>
    <col min="11" max="30" width="10.83203125" style="195" customWidth="1"/>
    <col min="31" max="31" width="5.83203125" style="195" customWidth="1"/>
    <col min="32" max="33" width="10.83203125" style="195" customWidth="1"/>
    <col min="34" max="34" width="10.83203125" style="194" customWidth="1"/>
    <col min="35" max="16384" width="10.83203125" style="194"/>
  </cols>
  <sheetData>
    <row r="1" spans="1:37" ht="13" customHeight="1">
      <c r="AH1" s="195"/>
    </row>
    <row r="2" spans="1:37" s="10" customFormat="1" ht="13" customHeight="1">
      <c r="B2" s="267" t="str">
        <f>IF('Summary | Sumário'!D$6=Names!B$3,Names!BF72,Names!BG72)</f>
        <v>Effective Tax Rate (%)</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6"/>
      <c r="AF2" s="104" t="str">
        <f>IF('Summary | Sumário'!$D$6=Names!$B$3,Names!$I$24,Names!$J$24)</f>
        <v>QoQ Variation</v>
      </c>
      <c r="AG2" s="104" t="str">
        <f>IF('Summary | Sumário'!$D$6=Names!$B$3,Names!$I$25,Names!$J$25)</f>
        <v>YoY Variation</v>
      </c>
      <c r="AH2" s="11"/>
      <c r="AJ2" s="12"/>
      <c r="AK2" s="13"/>
    </row>
    <row r="3" spans="1:37" ht="13" customHeight="1">
      <c r="B3" s="10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7"/>
    </row>
    <row r="4" spans="1:37" s="199" customFormat="1" ht="13" customHeight="1">
      <c r="A4" s="198"/>
      <c r="B4" s="3" t="str">
        <f>IF('Summary | Sumário'!D$6=Names!B$3,Names!BF81,Names!BG81)</f>
        <v>Effective tax rate - IOC adjusted (%)</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row>
    <row r="5" spans="1:37" ht="13" customHeight="1">
      <c r="B5" s="288" t="str">
        <f>IF('Summary | Sumário'!D$6=Names!B$3,Names!BF66,Names!BG66)</f>
        <v>Income tax and social contribution + tax expenses from interest on own capital (IOC)</v>
      </c>
      <c r="C5" s="289">
        <f>C6+C7</f>
        <v>29686</v>
      </c>
      <c r="D5" s="289">
        <f t="shared" ref="D5:K5" si="0">D6+D7</f>
        <v>37709</v>
      </c>
      <c r="E5" s="289">
        <f t="shared" si="0"/>
        <v>175993</v>
      </c>
      <c r="F5" s="289">
        <f t="shared" si="0"/>
        <v>164494</v>
      </c>
      <c r="G5" s="289">
        <f t="shared" si="0"/>
        <v>-103550</v>
      </c>
      <c r="H5" s="289">
        <f t="shared" si="0"/>
        <v>-317478.78587989899</v>
      </c>
      <c r="I5" s="289">
        <f t="shared" ref="I5" si="1">I6+I7</f>
        <v>-379336</v>
      </c>
      <c r="J5" s="179"/>
      <c r="K5" s="289">
        <f t="shared" si="0"/>
        <v>34867</v>
      </c>
      <c r="L5" s="289">
        <f t="shared" ref="L5" si="2">L6+L7</f>
        <v>87154</v>
      </c>
      <c r="M5" s="289">
        <f t="shared" ref="M5" si="3">M6+M7</f>
        <v>-568.73549999999886</v>
      </c>
      <c r="N5" s="289">
        <f t="shared" ref="N5" si="4">N6+N7</f>
        <v>54540.735499999995</v>
      </c>
      <c r="O5" s="289">
        <f t="shared" ref="O5" si="5">O6+O7</f>
        <v>71272</v>
      </c>
      <c r="P5" s="289">
        <f t="shared" ref="P5" si="6">P6+P7</f>
        <v>3654</v>
      </c>
      <c r="Q5" s="289">
        <f t="shared" ref="Q5" si="7">Q6+Q7</f>
        <v>40448</v>
      </c>
      <c r="R5" s="289">
        <f t="shared" ref="R5" si="8">R6+R7</f>
        <v>49120</v>
      </c>
      <c r="S5" s="289">
        <f t="shared" ref="S5" si="9">S6+S7</f>
        <v>18319</v>
      </c>
      <c r="T5" s="289">
        <f t="shared" ref="T5" si="10">T6+T7</f>
        <v>-16127</v>
      </c>
      <c r="U5" s="289">
        <f t="shared" ref="U5" si="11">U6+U7</f>
        <v>-57163</v>
      </c>
      <c r="V5" s="289">
        <f t="shared" ref="V5" si="12">V6+V7</f>
        <v>-48579</v>
      </c>
      <c r="W5" s="289">
        <f t="shared" ref="W5" si="13">W6+W7</f>
        <v>-78512</v>
      </c>
      <c r="X5" s="289">
        <f t="shared" ref="X5" si="14">X6+X7</f>
        <v>-83530.733999999997</v>
      </c>
      <c r="Y5" s="289">
        <f t="shared" ref="Y5" si="15">Y6+Y7</f>
        <v>-49057</v>
      </c>
      <c r="Z5" s="289">
        <f t="shared" ref="Z5" si="16">Z6+Z7</f>
        <v>-106379.05187989899</v>
      </c>
      <c r="AA5" s="289">
        <f t="shared" ref="AA5" si="17">AA6+AA7</f>
        <v>-69165</v>
      </c>
      <c r="AB5" s="289">
        <f t="shared" ref="AB5:AC5" si="18">AB6+AB7</f>
        <v>-77682</v>
      </c>
      <c r="AC5" s="289">
        <f t="shared" si="18"/>
        <v>-111474</v>
      </c>
      <c r="AD5" s="289">
        <f t="shared" ref="AD5" si="19">AD6+AD7</f>
        <v>-121015</v>
      </c>
      <c r="AE5" s="179"/>
      <c r="AF5" s="337">
        <f t="shared" ref="AF5:AF10" si="20">AD5/AC5-1</f>
        <v>8.5589464807937388E-2</v>
      </c>
      <c r="AG5" s="337">
        <f t="shared" ref="AG5:AG10" si="21">AD5/Z5-1</f>
        <v>0.1375829908375652</v>
      </c>
    </row>
    <row r="6" spans="1:37" ht="13" customHeight="1">
      <c r="B6" s="55" t="str">
        <f>'3. IS | DRE'!B25</f>
        <v>Income tax</v>
      </c>
      <c r="C6" s="179">
        <f>'3. IS | DRE'!C25</f>
        <v>29686</v>
      </c>
      <c r="D6" s="179">
        <f>'3. IS | DRE'!D25</f>
        <v>37709</v>
      </c>
      <c r="E6" s="179">
        <f>'3. IS | DRE'!E25</f>
        <v>175993</v>
      </c>
      <c r="F6" s="179">
        <f>'3. IS | DRE'!F25</f>
        <v>164494</v>
      </c>
      <c r="G6" s="179">
        <f>'3. IS | DRE'!G25</f>
        <v>-87581</v>
      </c>
      <c r="H6" s="179">
        <f>'3. IS | DRE'!H25</f>
        <v>-232708.78587989899</v>
      </c>
      <c r="I6" s="179">
        <f>'3. IS | DRE'!I25</f>
        <v>-226866</v>
      </c>
      <c r="J6" s="205"/>
      <c r="K6" s="179">
        <f>'3. IS | DRE'!K25</f>
        <v>34867</v>
      </c>
      <c r="L6" s="179">
        <f>'3. IS | DRE'!L25</f>
        <v>87154</v>
      </c>
      <c r="M6" s="179">
        <f>'3. IS | DRE'!M25</f>
        <v>-568.73549999999886</v>
      </c>
      <c r="N6" s="179">
        <f>'3. IS | DRE'!N25</f>
        <v>54540.735499999995</v>
      </c>
      <c r="O6" s="179">
        <f>'3. IS | DRE'!O25</f>
        <v>71272</v>
      </c>
      <c r="P6" s="179">
        <f>'3. IS | DRE'!P25</f>
        <v>3654</v>
      </c>
      <c r="Q6" s="179">
        <f>'3. IS | DRE'!Q25</f>
        <v>40448</v>
      </c>
      <c r="R6" s="179">
        <f>'3. IS | DRE'!R25</f>
        <v>49120</v>
      </c>
      <c r="S6" s="179">
        <f>'3. IS | DRE'!S25</f>
        <v>18319</v>
      </c>
      <c r="T6" s="179">
        <f>'3. IS | DRE'!T25</f>
        <v>-16127</v>
      </c>
      <c r="U6" s="179">
        <f>'3. IS | DRE'!U25</f>
        <v>-41194</v>
      </c>
      <c r="V6" s="179">
        <f>'3. IS | DRE'!V25</f>
        <v>-48579</v>
      </c>
      <c r="W6" s="179">
        <f>'3. IS | DRE'!W25</f>
        <v>-78512</v>
      </c>
      <c r="X6" s="179">
        <f>'3. IS | DRE'!X25</f>
        <v>-74943.733999999997</v>
      </c>
      <c r="Y6" s="179">
        <f>'3. IS | DRE'!Y25</f>
        <v>-33942</v>
      </c>
      <c r="Z6" s="179">
        <f>'3. IS | DRE'!Z25</f>
        <v>-45311.051879898987</v>
      </c>
      <c r="AA6" s="179">
        <f>'3. IS | DRE'!AA25</f>
        <v>-50759</v>
      </c>
      <c r="AB6" s="179">
        <f>'3. IS | DRE'!AB25</f>
        <v>-51361</v>
      </c>
      <c r="AC6" s="179">
        <f>'3. IS | DRE'!AC25</f>
        <v>-61920</v>
      </c>
      <c r="AD6" s="179">
        <f>'3. IS | DRE'!AD25</f>
        <v>-62826</v>
      </c>
      <c r="AE6" s="205"/>
      <c r="AF6" s="204">
        <f t="shared" si="20"/>
        <v>1.4631782945736527E-2</v>
      </c>
      <c r="AG6" s="204">
        <f t="shared" si="21"/>
        <v>0.38654913963432058</v>
      </c>
    </row>
    <row r="7" spans="1:37" ht="13" customHeight="1">
      <c r="B7" s="60" t="str">
        <f>IF('Summary | Sumário'!D$6=Names!B$3,Names!BF61,Names!BG61)</f>
        <v>(+) Tax expenses from interest on own capital (IOC)</v>
      </c>
      <c r="C7" s="174">
        <f>'9.4 Efficiency | Eficiência'!C14</f>
        <v>0</v>
      </c>
      <c r="D7" s="174">
        <f>'9.4 Efficiency | Eficiência'!D14</f>
        <v>0</v>
      </c>
      <c r="E7" s="174">
        <f>'9.4 Efficiency | Eficiência'!E14</f>
        <v>0</v>
      </c>
      <c r="F7" s="174">
        <f>'9.4 Efficiency | Eficiência'!F14</f>
        <v>0</v>
      </c>
      <c r="G7" s="174">
        <f>'9.4 Efficiency | Eficiência'!G14</f>
        <v>-15969</v>
      </c>
      <c r="H7" s="174">
        <f>'9.4 Efficiency | Eficiência'!H14</f>
        <v>-84770</v>
      </c>
      <c r="I7" s="174">
        <f>'9.4 Efficiency | Eficiência'!I14</f>
        <v>-152470</v>
      </c>
      <c r="J7" s="738"/>
      <c r="K7" s="174">
        <f>'9.4 Efficiency | Eficiência'!K14</f>
        <v>0</v>
      </c>
      <c r="L7" s="174">
        <f>'9.4 Efficiency | Eficiência'!L14</f>
        <v>0</v>
      </c>
      <c r="M7" s="174">
        <f>'9.4 Efficiency | Eficiência'!M14</f>
        <v>0</v>
      </c>
      <c r="N7" s="174">
        <f>'9.4 Efficiency | Eficiência'!N14</f>
        <v>0</v>
      </c>
      <c r="O7" s="174">
        <f>'9.4 Efficiency | Eficiência'!O14</f>
        <v>0</v>
      </c>
      <c r="P7" s="174">
        <f>'9.4 Efficiency | Eficiência'!P14</f>
        <v>0</v>
      </c>
      <c r="Q7" s="174">
        <f>'9.4 Efficiency | Eficiência'!Q14</f>
        <v>0</v>
      </c>
      <c r="R7" s="174">
        <f>'9.4 Efficiency | Eficiência'!R14</f>
        <v>0</v>
      </c>
      <c r="S7" s="174">
        <f>'9.4 Efficiency | Eficiência'!S14</f>
        <v>0</v>
      </c>
      <c r="T7" s="174">
        <f>'9.4 Efficiency | Eficiência'!T14</f>
        <v>0</v>
      </c>
      <c r="U7" s="174">
        <f>'9.4 Efficiency | Eficiência'!U14</f>
        <v>-15969</v>
      </c>
      <c r="V7" s="174">
        <f>'9.4 Efficiency | Eficiência'!V14</f>
        <v>0</v>
      </c>
      <c r="W7" s="174">
        <f>'9.4 Efficiency | Eficiência'!W14</f>
        <v>0</v>
      </c>
      <c r="X7" s="174">
        <f>'9.4 Efficiency | Eficiência'!X14</f>
        <v>-8587</v>
      </c>
      <c r="Y7" s="174">
        <f>'9.4 Efficiency | Eficiência'!Y14</f>
        <v>-15115</v>
      </c>
      <c r="Z7" s="174">
        <f>'9.4 Efficiency | Eficiência'!Z14</f>
        <v>-61068</v>
      </c>
      <c r="AA7" s="174">
        <f>'9.4 Efficiency | Eficiência'!AA14</f>
        <v>-18406</v>
      </c>
      <c r="AB7" s="174">
        <f>'9.4 Efficiency | Eficiência'!AB14</f>
        <v>-26321</v>
      </c>
      <c r="AC7" s="174">
        <f>'9.4 Efficiency | Eficiência'!AC14</f>
        <v>-49554</v>
      </c>
      <c r="AD7" s="174">
        <f>'9.4 Efficiency | Eficiência'!AD14</f>
        <v>-58189</v>
      </c>
      <c r="AE7" s="205"/>
      <c r="AF7" s="203">
        <f t="shared" si="20"/>
        <v>0.17425434879121759</v>
      </c>
      <c r="AG7" s="203">
        <f t="shared" si="21"/>
        <v>-4.7144167157922356E-2</v>
      </c>
    </row>
    <row r="8" spans="1:37" ht="13" customHeight="1">
      <c r="B8" s="51" t="str">
        <f>IF('Summary | Sumário'!D$6=Names!B$3,Names!BF69,Names!BG69)</f>
        <v>(÷) Profit / (loss) before income tax + tax expenses from interest on own capital (IOC)</v>
      </c>
      <c r="C8" s="179">
        <f t="shared" ref="C8" si="22">C9+C10</f>
        <v>683.66099999996368</v>
      </c>
      <c r="D8" s="179">
        <f t="shared" ref="D8" si="23">D9+D10</f>
        <v>-7175.1048200000077</v>
      </c>
      <c r="E8" s="179">
        <f t="shared" ref="E8" si="24">E9+E10</f>
        <v>-231061.27400000021</v>
      </c>
      <c r="F8" s="179">
        <f t="shared" ref="F8" si="25">F9+F10</f>
        <v>-178572.81500000041</v>
      </c>
      <c r="G8" s="179">
        <f t="shared" ref="G8" si="26">G9+G10</f>
        <v>455811</v>
      </c>
      <c r="H8" s="179">
        <f t="shared" ref="H8:AA8" si="27">H9+H10</f>
        <v>1290319.5823173386</v>
      </c>
      <c r="I8" s="179">
        <f t="shared" ref="I8" si="28">I9+I10</f>
        <v>1776656.9999999998</v>
      </c>
      <c r="J8" s="739"/>
      <c r="K8" s="179">
        <f t="shared" si="27"/>
        <v>-37560.065000000002</v>
      </c>
      <c r="L8" s="179">
        <f t="shared" si="27"/>
        <v>-117652.24899999995</v>
      </c>
      <c r="M8" s="179">
        <f t="shared" si="27"/>
        <v>34916.880000000005</v>
      </c>
      <c r="N8" s="179">
        <f t="shared" si="27"/>
        <v>-110766.84000000008</v>
      </c>
      <c r="O8" s="179">
        <f t="shared" si="27"/>
        <v>-100093.9850000001</v>
      </c>
      <c r="P8" s="179">
        <f t="shared" si="27"/>
        <v>11871.311000000103</v>
      </c>
      <c r="Q8" s="179">
        <f t="shared" si="27"/>
        <v>-70043.533000000054</v>
      </c>
      <c r="R8" s="179">
        <f t="shared" si="27"/>
        <v>-20306.608000000007</v>
      </c>
      <c r="S8" s="179">
        <f t="shared" si="27"/>
        <v>5897.1240000000689</v>
      </c>
      <c r="T8" s="179">
        <f t="shared" si="27"/>
        <v>80299</v>
      </c>
      <c r="U8" s="179">
        <f t="shared" si="27"/>
        <v>161323</v>
      </c>
      <c r="V8" s="179">
        <f t="shared" si="27"/>
        <v>208291.87599999993</v>
      </c>
      <c r="W8" s="179">
        <f t="shared" si="27"/>
        <v>273732</v>
      </c>
      <c r="X8" s="179">
        <f t="shared" si="27"/>
        <v>306194</v>
      </c>
      <c r="Y8" s="179">
        <f t="shared" si="27"/>
        <v>309067.08107357216</v>
      </c>
      <c r="Z8" s="179">
        <f t="shared" si="27"/>
        <v>401326.50124376646</v>
      </c>
      <c r="AA8" s="179">
        <f t="shared" si="27"/>
        <v>375952.90000000014</v>
      </c>
      <c r="AB8" s="179">
        <f>AB9+AB10</f>
        <v>409849.19999999995</v>
      </c>
      <c r="AC8" s="179">
        <f>AC9+AC10</f>
        <v>467479.4</v>
      </c>
      <c r="AD8" s="179">
        <f>AD9+AD10</f>
        <v>523375.49999999977</v>
      </c>
      <c r="AE8" s="205"/>
      <c r="AF8" s="204">
        <f t="shared" si="20"/>
        <v>0.11956911898149891</v>
      </c>
      <c r="AG8" s="204">
        <f t="shared" si="21"/>
        <v>0.30411397796553818</v>
      </c>
    </row>
    <row r="9" spans="1:37" ht="13" customHeight="1">
      <c r="B9" s="60" t="str">
        <f>'3. IS | DRE'!B23</f>
        <v>Profit / (loss) before income tax</v>
      </c>
      <c r="C9" s="174">
        <f>'3. IS | DRE'!C23</f>
        <v>683.66099999996368</v>
      </c>
      <c r="D9" s="174">
        <f>'3. IS | DRE'!D23</f>
        <v>-7175.1048200000077</v>
      </c>
      <c r="E9" s="174">
        <f>'3. IS | DRE'!E23</f>
        <v>-231061.27400000021</v>
      </c>
      <c r="F9" s="174">
        <f>'3. IS | DRE'!F23</f>
        <v>-178572.81500000041</v>
      </c>
      <c r="G9" s="174">
        <f>'3. IS | DRE'!G23</f>
        <v>439842</v>
      </c>
      <c r="H9" s="174">
        <f>'3. IS | DRE'!H23</f>
        <v>1205549.5823173386</v>
      </c>
      <c r="I9" s="174">
        <f>'3. IS | DRE'!I23</f>
        <v>1624186.9999999998</v>
      </c>
      <c r="J9" s="739"/>
      <c r="K9" s="174">
        <f>'3. IS | DRE'!K23</f>
        <v>-37560.065000000002</v>
      </c>
      <c r="L9" s="174">
        <f>'3. IS | DRE'!L23</f>
        <v>-117652.24899999995</v>
      </c>
      <c r="M9" s="174">
        <f>'3. IS | DRE'!M23</f>
        <v>34916.880000000005</v>
      </c>
      <c r="N9" s="174">
        <f>'3. IS | DRE'!N23</f>
        <v>-110766.84000000008</v>
      </c>
      <c r="O9" s="174">
        <f>'3. IS | DRE'!O23</f>
        <v>-100093.9850000001</v>
      </c>
      <c r="P9" s="174">
        <f>'3. IS | DRE'!P23</f>
        <v>11871.311000000103</v>
      </c>
      <c r="Q9" s="174">
        <f>'3. IS | DRE'!Q23</f>
        <v>-70043.533000000054</v>
      </c>
      <c r="R9" s="174">
        <f>'3. IS | DRE'!R23</f>
        <v>-20306.608000000007</v>
      </c>
      <c r="S9" s="174">
        <f>'3. IS | DRE'!S23</f>
        <v>5897.1240000000689</v>
      </c>
      <c r="T9" s="174">
        <f>'3. IS | DRE'!T23</f>
        <v>80299</v>
      </c>
      <c r="U9" s="174">
        <f>'3. IS | DRE'!U23</f>
        <v>145354</v>
      </c>
      <c r="V9" s="174">
        <f>'3. IS | DRE'!V23</f>
        <v>208291.87599999993</v>
      </c>
      <c r="W9" s="174">
        <f>'3. IS | DRE'!W23</f>
        <v>273732</v>
      </c>
      <c r="X9" s="174">
        <f>'3. IS | DRE'!X23</f>
        <v>297607</v>
      </c>
      <c r="Y9" s="174">
        <f>'3. IS | DRE'!Y23</f>
        <v>293952.08107357216</v>
      </c>
      <c r="Z9" s="174">
        <f>'3. IS | DRE'!Z23</f>
        <v>340258.50124376646</v>
      </c>
      <c r="AA9" s="174">
        <f>'3. IS | DRE'!AA23</f>
        <v>357546.90000000014</v>
      </c>
      <c r="AB9" s="174">
        <f>'3. IS | DRE'!AB23</f>
        <v>383528.19999999995</v>
      </c>
      <c r="AC9" s="174">
        <f>'3. IS | DRE'!AC23</f>
        <v>417925.4</v>
      </c>
      <c r="AD9" s="174">
        <f>'3. IS | DRE'!AD23</f>
        <v>465186.49999999977</v>
      </c>
      <c r="AE9" s="205"/>
      <c r="AF9" s="203">
        <f t="shared" si="20"/>
        <v>0.11308501469400944</v>
      </c>
      <c r="AG9" s="203">
        <f t="shared" si="21"/>
        <v>0.36715614246103123</v>
      </c>
    </row>
    <row r="10" spans="1:37" s="195" customFormat="1" ht="13" customHeight="1">
      <c r="A10" s="194"/>
      <c r="B10" s="55" t="str">
        <f>IF('Summary | Sumário'!D$6=Names!B$3,Names!BF61,Names!BG61)</f>
        <v>(+) Tax expenses from interest on own capital (IOC)</v>
      </c>
      <c r="C10" s="179">
        <f t="shared" ref="C10:G10" si="29">-C7</f>
        <v>0</v>
      </c>
      <c r="D10" s="179">
        <f t="shared" si="29"/>
        <v>0</v>
      </c>
      <c r="E10" s="179">
        <f t="shared" si="29"/>
        <v>0</v>
      </c>
      <c r="F10" s="179">
        <f t="shared" si="29"/>
        <v>0</v>
      </c>
      <c r="G10" s="179">
        <f t="shared" si="29"/>
        <v>15969</v>
      </c>
      <c r="H10" s="179">
        <f t="shared" ref="H10:I10" si="30">-H7</f>
        <v>84770</v>
      </c>
      <c r="I10" s="179">
        <f t="shared" si="30"/>
        <v>152470</v>
      </c>
      <c r="J10" s="739"/>
      <c r="K10" s="179">
        <f t="shared" ref="K10:AA10" si="31">-K7</f>
        <v>0</v>
      </c>
      <c r="L10" s="179">
        <f t="shared" si="31"/>
        <v>0</v>
      </c>
      <c r="M10" s="179">
        <f t="shared" si="31"/>
        <v>0</v>
      </c>
      <c r="N10" s="179">
        <f t="shared" si="31"/>
        <v>0</v>
      </c>
      <c r="O10" s="179">
        <f t="shared" si="31"/>
        <v>0</v>
      </c>
      <c r="P10" s="179">
        <f t="shared" si="31"/>
        <v>0</v>
      </c>
      <c r="Q10" s="179">
        <f t="shared" si="31"/>
        <v>0</v>
      </c>
      <c r="R10" s="179">
        <f t="shared" si="31"/>
        <v>0</v>
      </c>
      <c r="S10" s="179">
        <f t="shared" si="31"/>
        <v>0</v>
      </c>
      <c r="T10" s="179">
        <f t="shared" si="31"/>
        <v>0</v>
      </c>
      <c r="U10" s="179">
        <f t="shared" si="31"/>
        <v>15969</v>
      </c>
      <c r="V10" s="179">
        <f t="shared" si="31"/>
        <v>0</v>
      </c>
      <c r="W10" s="179">
        <f t="shared" si="31"/>
        <v>0</v>
      </c>
      <c r="X10" s="179">
        <f t="shared" si="31"/>
        <v>8587</v>
      </c>
      <c r="Y10" s="179">
        <f t="shared" si="31"/>
        <v>15115</v>
      </c>
      <c r="Z10" s="179">
        <f t="shared" si="31"/>
        <v>61068</v>
      </c>
      <c r="AA10" s="179">
        <f t="shared" si="31"/>
        <v>18406</v>
      </c>
      <c r="AB10" s="179">
        <f>-AB7</f>
        <v>26321</v>
      </c>
      <c r="AC10" s="179">
        <f>-AC7</f>
        <v>49554</v>
      </c>
      <c r="AD10" s="179">
        <f>-AD7</f>
        <v>58189</v>
      </c>
      <c r="AF10" s="210">
        <f t="shared" si="20"/>
        <v>0.17425434879121759</v>
      </c>
      <c r="AG10" s="210">
        <f t="shared" si="21"/>
        <v>-4.7144167157922356E-2</v>
      </c>
      <c r="AH10" s="194"/>
      <c r="AI10" s="194"/>
      <c r="AJ10" s="194"/>
      <c r="AK10" s="194"/>
    </row>
    <row r="11" spans="1:37" s="195" customFormat="1" ht="13" customHeight="1">
      <c r="A11" s="194"/>
      <c r="B11" s="683" t="str">
        <f>IF('Summary | Sumário'!D$6=Names!B$3,Names!BF71,Names!BG71)</f>
        <v>IOC adjusted effective tax rate (%)</v>
      </c>
      <c r="C11" s="316">
        <f t="shared" ref="C11:AA11" si="32">-C5/C8</f>
        <v>-43.422105400193338</v>
      </c>
      <c r="D11" s="316">
        <f t="shared" si="32"/>
        <v>5.2555329777049806</v>
      </c>
      <c r="E11" s="316">
        <f t="shared" si="32"/>
        <v>0.76167242114314593</v>
      </c>
      <c r="F11" s="316">
        <f t="shared" si="32"/>
        <v>0.92115924811959549</v>
      </c>
      <c r="G11" s="316">
        <f t="shared" si="32"/>
        <v>0.22717749242558868</v>
      </c>
      <c r="H11" s="316">
        <f t="shared" si="32"/>
        <v>0.24604663079647729</v>
      </c>
      <c r="I11" s="316">
        <f t="shared" ref="I11" si="33">-I5/I8</f>
        <v>0.21351110540751539</v>
      </c>
      <c r="J11" s="740"/>
      <c r="K11" s="316">
        <f t="shared" si="32"/>
        <v>0.92829977796896779</v>
      </c>
      <c r="L11" s="316">
        <f t="shared" si="32"/>
        <v>0.74077631954149925</v>
      </c>
      <c r="M11" s="316">
        <f t="shared" si="32"/>
        <v>1.6288268023947124E-2</v>
      </c>
      <c r="N11" s="316">
        <f t="shared" si="32"/>
        <v>0.4923922673969931</v>
      </c>
      <c r="O11" s="316">
        <f t="shared" si="32"/>
        <v>0.71205077907528536</v>
      </c>
      <c r="P11" s="316">
        <f t="shared" si="32"/>
        <v>-0.3078008823119846</v>
      </c>
      <c r="Q11" s="316">
        <f t="shared" si="32"/>
        <v>0.57746944318185622</v>
      </c>
      <c r="R11" s="316">
        <f t="shared" si="32"/>
        <v>2.4189170342974062</v>
      </c>
      <c r="S11" s="316">
        <f t="shared" si="32"/>
        <v>-3.1064295069935421</v>
      </c>
      <c r="T11" s="316">
        <f t="shared" si="32"/>
        <v>0.20083687219018917</v>
      </c>
      <c r="U11" s="316">
        <f t="shared" si="32"/>
        <v>0.35433881095690012</v>
      </c>
      <c r="V11" s="316">
        <f t="shared" si="32"/>
        <v>0.23322561077706178</v>
      </c>
      <c r="W11" s="316">
        <f t="shared" si="32"/>
        <v>0.28682068592638055</v>
      </c>
      <c r="X11" s="316">
        <f t="shared" si="32"/>
        <v>0.27280330117507201</v>
      </c>
      <c r="Y11" s="316">
        <f t="shared" si="32"/>
        <v>0.1587260598236348</v>
      </c>
      <c r="Z11" s="316">
        <f t="shared" si="32"/>
        <v>0.26506859514688308</v>
      </c>
      <c r="AA11" s="316">
        <f t="shared" si="32"/>
        <v>0.18397251357816358</v>
      </c>
      <c r="AB11" s="316">
        <f>-AB5/AB8</f>
        <v>0.1895380056859938</v>
      </c>
      <c r="AC11" s="316">
        <f>-AC5/AC8</f>
        <v>0.23845756625853459</v>
      </c>
      <c r="AD11" s="316">
        <f>-AD5/AD8</f>
        <v>0.23122022333869288</v>
      </c>
      <c r="AF11" s="684">
        <f>(AD11-AC11)*100</f>
        <v>-0.72373429198417105</v>
      </c>
      <c r="AG11" s="684">
        <f>(AD11-Z11)*100</f>
        <v>-3.3848371808190199</v>
      </c>
      <c r="AH11" s="194"/>
      <c r="AI11" s="194"/>
      <c r="AJ11" s="194"/>
      <c r="AK11" s="194"/>
    </row>
    <row r="12" spans="1:37" s="195" customFormat="1" ht="13" customHeight="1">
      <c r="A12" s="194"/>
      <c r="B12" s="105"/>
      <c r="J12" s="741"/>
      <c r="R12" s="312"/>
      <c r="U12" s="312"/>
      <c r="V12" s="312"/>
      <c r="W12" s="312"/>
      <c r="X12" s="312"/>
      <c r="Y12" s="312"/>
      <c r="Z12" s="312"/>
      <c r="AH12" s="194"/>
      <c r="AI12" s="194"/>
      <c r="AJ12" s="194"/>
      <c r="AK12" s="194"/>
    </row>
    <row r="13" spans="1:37" s="199" customFormat="1" ht="13" customHeight="1">
      <c r="B13" s="536" t="str">
        <f>IF('Summary | Sumário'!D$6=Names!B$3,Names!BF82,Names!BG82)</f>
        <v>Effective tax rate(%)</v>
      </c>
      <c r="C13" s="688"/>
      <c r="D13" s="688"/>
      <c r="E13" s="688"/>
      <c r="F13" s="688"/>
      <c r="G13" s="688"/>
      <c r="H13" s="688"/>
      <c r="I13" s="688"/>
      <c r="J13" s="742"/>
      <c r="K13" s="688"/>
      <c r="L13" s="688"/>
      <c r="M13" s="688"/>
      <c r="N13" s="688"/>
      <c r="O13" s="688"/>
      <c r="P13" s="688"/>
      <c r="Q13" s="688"/>
      <c r="R13" s="688"/>
      <c r="S13" s="688"/>
      <c r="T13" s="688"/>
      <c r="U13" s="688"/>
      <c r="V13" s="688"/>
      <c r="W13" s="688"/>
      <c r="X13" s="688"/>
      <c r="Y13" s="688"/>
      <c r="Z13" s="688"/>
      <c r="AA13" s="688"/>
      <c r="AB13" s="688"/>
      <c r="AC13" s="688"/>
      <c r="AD13" s="688"/>
      <c r="AE13" s="184"/>
      <c r="AF13" s="688"/>
      <c r="AG13" s="688"/>
    </row>
    <row r="14" spans="1:37" ht="13" customHeight="1">
      <c r="B14" s="505" t="str">
        <f t="shared" ref="B14:H14" si="34">B6</f>
        <v>Income tax</v>
      </c>
      <c r="C14" s="685">
        <f t="shared" si="34"/>
        <v>29686</v>
      </c>
      <c r="D14" s="685">
        <f t="shared" si="34"/>
        <v>37709</v>
      </c>
      <c r="E14" s="685">
        <f t="shared" si="34"/>
        <v>175993</v>
      </c>
      <c r="F14" s="685">
        <f t="shared" si="34"/>
        <v>164494</v>
      </c>
      <c r="G14" s="685">
        <f t="shared" si="34"/>
        <v>-87581</v>
      </c>
      <c r="H14" s="685">
        <f t="shared" si="34"/>
        <v>-232708.78587989899</v>
      </c>
      <c r="I14" s="685">
        <f t="shared" ref="I14" si="35">I6</f>
        <v>-226866</v>
      </c>
      <c r="J14" s="743"/>
      <c r="K14" s="685">
        <f>K6</f>
        <v>34867</v>
      </c>
      <c r="L14" s="685">
        <f>L6</f>
        <v>87154</v>
      </c>
      <c r="M14" s="685">
        <f>M6</f>
        <v>-568.73549999999886</v>
      </c>
      <c r="N14" s="685">
        <f>N6</f>
        <v>54540.735499999995</v>
      </c>
      <c r="O14" s="685">
        <f t="shared" ref="O14:AB14" si="36">O6</f>
        <v>71272</v>
      </c>
      <c r="P14" s="685">
        <f t="shared" si="36"/>
        <v>3654</v>
      </c>
      <c r="Q14" s="685">
        <f t="shared" si="36"/>
        <v>40448</v>
      </c>
      <c r="R14" s="685">
        <f t="shared" si="36"/>
        <v>49120</v>
      </c>
      <c r="S14" s="685">
        <f t="shared" si="36"/>
        <v>18319</v>
      </c>
      <c r="T14" s="685">
        <f t="shared" si="36"/>
        <v>-16127</v>
      </c>
      <c r="U14" s="685">
        <f t="shared" si="36"/>
        <v>-41194</v>
      </c>
      <c r="V14" s="685">
        <f t="shared" si="36"/>
        <v>-48579</v>
      </c>
      <c r="W14" s="685">
        <f t="shared" si="36"/>
        <v>-78512</v>
      </c>
      <c r="X14" s="685">
        <f t="shared" si="36"/>
        <v>-74943.733999999997</v>
      </c>
      <c r="Y14" s="685">
        <f t="shared" si="36"/>
        <v>-33942</v>
      </c>
      <c r="Z14" s="685">
        <f t="shared" si="36"/>
        <v>-45311.051879898987</v>
      </c>
      <c r="AA14" s="685">
        <f t="shared" si="36"/>
        <v>-50759</v>
      </c>
      <c r="AB14" s="685">
        <f t="shared" si="36"/>
        <v>-51361</v>
      </c>
      <c r="AC14" s="685">
        <f t="shared" ref="AC14:AD14" si="37">AC6</f>
        <v>-61920</v>
      </c>
      <c r="AD14" s="685">
        <f t="shared" si="37"/>
        <v>-62826</v>
      </c>
      <c r="AE14" s="175"/>
      <c r="AF14" s="686">
        <f>AD14/AC14-1</f>
        <v>1.4631782945736527E-2</v>
      </c>
      <c r="AG14" s="686">
        <f>AD14/Z14-1</f>
        <v>0.38654913963432058</v>
      </c>
    </row>
    <row r="15" spans="1:37" ht="13" customHeight="1">
      <c r="B15" s="745" t="str">
        <f>IF('Summary | Sumário'!D$6=Names!B$3,Names!BF78,Names!BG78)</f>
        <v>(÷) Profit / (loss) before income tax</v>
      </c>
      <c r="C15" s="746">
        <f t="shared" ref="C15:H15" si="38">C9</f>
        <v>683.66099999996368</v>
      </c>
      <c r="D15" s="746">
        <f t="shared" si="38"/>
        <v>-7175.1048200000077</v>
      </c>
      <c r="E15" s="746">
        <f t="shared" si="38"/>
        <v>-231061.27400000021</v>
      </c>
      <c r="F15" s="746">
        <f t="shared" si="38"/>
        <v>-178572.81500000041</v>
      </c>
      <c r="G15" s="746">
        <f t="shared" si="38"/>
        <v>439842</v>
      </c>
      <c r="H15" s="746">
        <f t="shared" si="38"/>
        <v>1205549.5823173386</v>
      </c>
      <c r="I15" s="746">
        <f t="shared" ref="I15" si="39">I9</f>
        <v>1624186.9999999998</v>
      </c>
      <c r="J15" s="743"/>
      <c r="K15" s="176">
        <f>K9</f>
        <v>-37560.065000000002</v>
      </c>
      <c r="L15" s="176">
        <f>L9</f>
        <v>-117652.24899999995</v>
      </c>
      <c r="M15" s="176">
        <f>M9</f>
        <v>34916.880000000005</v>
      </c>
      <c r="N15" s="176">
        <f>N9</f>
        <v>-110766.84000000008</v>
      </c>
      <c r="O15" s="176">
        <f t="shared" ref="O15:AB15" si="40">O9</f>
        <v>-100093.9850000001</v>
      </c>
      <c r="P15" s="176">
        <f t="shared" si="40"/>
        <v>11871.311000000103</v>
      </c>
      <c r="Q15" s="176">
        <f t="shared" si="40"/>
        <v>-70043.533000000054</v>
      </c>
      <c r="R15" s="176">
        <f t="shared" si="40"/>
        <v>-20306.608000000007</v>
      </c>
      <c r="S15" s="176">
        <f t="shared" si="40"/>
        <v>5897.1240000000689</v>
      </c>
      <c r="T15" s="176">
        <f t="shared" si="40"/>
        <v>80299</v>
      </c>
      <c r="U15" s="176">
        <f t="shared" si="40"/>
        <v>145354</v>
      </c>
      <c r="V15" s="176">
        <f t="shared" si="40"/>
        <v>208291.87599999993</v>
      </c>
      <c r="W15" s="176">
        <f t="shared" si="40"/>
        <v>273732</v>
      </c>
      <c r="X15" s="176">
        <f t="shared" si="40"/>
        <v>297607</v>
      </c>
      <c r="Y15" s="176">
        <f t="shared" si="40"/>
        <v>293952.08107357216</v>
      </c>
      <c r="Z15" s="176">
        <f t="shared" si="40"/>
        <v>340258.50124376646</v>
      </c>
      <c r="AA15" s="176">
        <f t="shared" si="40"/>
        <v>357546.90000000014</v>
      </c>
      <c r="AB15" s="176">
        <f t="shared" si="40"/>
        <v>383528.19999999995</v>
      </c>
      <c r="AC15" s="176">
        <f t="shared" ref="AC15:AD15" si="41">AC9</f>
        <v>417925.4</v>
      </c>
      <c r="AD15" s="176">
        <f t="shared" si="41"/>
        <v>465186.49999999977</v>
      </c>
      <c r="AF15" s="341">
        <f>AD15/AC15-1</f>
        <v>0.11308501469400944</v>
      </c>
      <c r="AG15" s="341">
        <f>AD15/Z15-1</f>
        <v>0.36715614246103123</v>
      </c>
    </row>
    <row r="16" spans="1:37" s="195" customFormat="1" ht="13" customHeight="1">
      <c r="A16" s="194"/>
      <c r="B16" s="687" t="str">
        <f>IF('Summary | Sumário'!D$6=Names!B$3,Names!BF72,Names!BG72)</f>
        <v>Effective Tax Rate (%)</v>
      </c>
      <c r="C16" s="327">
        <f>-C14/C15</f>
        <v>-43.422105400193338</v>
      </c>
      <c r="D16" s="327">
        <f t="shared" ref="D16:N16" si="42">-D14/D15</f>
        <v>5.2555329777049806</v>
      </c>
      <c r="E16" s="327">
        <f t="shared" si="42"/>
        <v>0.76167242114314593</v>
      </c>
      <c r="F16" s="327">
        <f t="shared" si="42"/>
        <v>0.92115924811959549</v>
      </c>
      <c r="G16" s="327">
        <f t="shared" si="42"/>
        <v>0.19911922917775018</v>
      </c>
      <c r="H16" s="327">
        <f t="shared" si="42"/>
        <v>0.19303128572495554</v>
      </c>
      <c r="I16" s="327">
        <f t="shared" ref="I16" si="43">-I14/I15</f>
        <v>0.13967972899672268</v>
      </c>
      <c r="J16" s="744"/>
      <c r="K16" s="747">
        <f t="shared" si="42"/>
        <v>0.92829977796896779</v>
      </c>
      <c r="L16" s="747">
        <f t="shared" si="42"/>
        <v>0.74077631954149925</v>
      </c>
      <c r="M16" s="747">
        <f t="shared" si="42"/>
        <v>1.6288268023947124E-2</v>
      </c>
      <c r="N16" s="747">
        <f t="shared" si="42"/>
        <v>0.4923922673969931</v>
      </c>
      <c r="O16" s="747">
        <f t="shared" ref="O16" si="44">-O14/O15</f>
        <v>0.71205077907528536</v>
      </c>
      <c r="P16" s="747">
        <f t="shared" ref="P16" si="45">-P14/P15</f>
        <v>-0.3078008823119846</v>
      </c>
      <c r="Q16" s="747">
        <f t="shared" ref="Q16" si="46">-Q14/Q15</f>
        <v>0.57746944318185622</v>
      </c>
      <c r="R16" s="747">
        <f t="shared" ref="R16" si="47">-R14/R15</f>
        <v>2.4189170342974062</v>
      </c>
      <c r="S16" s="747">
        <f t="shared" ref="S16" si="48">-S14/S15</f>
        <v>-3.1064295069935421</v>
      </c>
      <c r="T16" s="747">
        <f t="shared" ref="T16" si="49">-T14/T15</f>
        <v>0.20083687219018917</v>
      </c>
      <c r="U16" s="747">
        <f t="shared" ref="U16" si="50">-U14/U15</f>
        <v>0.28340465346670884</v>
      </c>
      <c r="V16" s="747">
        <f t="shared" ref="V16" si="51">-V14/V15</f>
        <v>0.23322561077706178</v>
      </c>
      <c r="W16" s="747">
        <f t="shared" ref="W16:X16" si="52">-W14/W15</f>
        <v>0.28682068592638055</v>
      </c>
      <c r="X16" s="747">
        <f t="shared" si="52"/>
        <v>0.25182113995974553</v>
      </c>
      <c r="Y16" s="747">
        <f t="shared" ref="Y16" si="53">-Y14/Y15</f>
        <v>0.11546779963603926</v>
      </c>
      <c r="Z16" s="747">
        <f t="shared" ref="Z16" si="54">-Z14/Z15</f>
        <v>0.1331665534123935</v>
      </c>
      <c r="AA16" s="747">
        <f t="shared" ref="AA16" si="55">-AA14/AA15</f>
        <v>0.14196459261708039</v>
      </c>
      <c r="AB16" s="747">
        <f t="shared" ref="AB16:AC16" si="56">-AB14/AB15</f>
        <v>0.13391714090385012</v>
      </c>
      <c r="AC16" s="747">
        <f t="shared" si="56"/>
        <v>0.14816041331778351</v>
      </c>
      <c r="AD16" s="747">
        <f t="shared" ref="AD16" si="57">-AD14/AD15</f>
        <v>0.13505550999437865</v>
      </c>
      <c r="AF16" s="748">
        <f>(AD16-AC16)*100</f>
        <v>-1.310490332340486</v>
      </c>
      <c r="AG16" s="748">
        <f>(AD16-Z16)*100</f>
        <v>0.18889565819851517</v>
      </c>
      <c r="AH16" s="194"/>
      <c r="AI16" s="194"/>
      <c r="AJ16" s="194"/>
      <c r="AK16" s="194"/>
    </row>
    <row r="17" spans="10:10" ht="13" customHeight="1">
      <c r="J17" s="741"/>
    </row>
  </sheetData>
  <sheetProtection algorithmName="SHA-512" hashValue="D+mSWezYjAoqb4ZRuvxn1ooqZa34VSUO8kR6wm6bzMR7aYF6tqNrAhYwK2+DFljvjeuwcMNOOJzRD0N5LkA12w==" saltValue="eNzUs6RcDUYPQ1imLgqFH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6715-8043-E342-8521-0D7278F43B4B}">
  <sheetPr codeName="Sheet23">
    <tabColor rgb="FFFFE9D0"/>
  </sheetPr>
  <dimension ref="A1:AG64"/>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5" style="145" customWidth="1"/>
    <col min="2" max="2" width="68.33203125" style="145" customWidth="1"/>
    <col min="3" max="24" width="10.83203125" style="145" customWidth="1"/>
    <col min="25" max="25" width="5.83203125" style="145" customWidth="1"/>
    <col min="26" max="27" width="10.83203125" style="145" customWidth="1"/>
    <col min="28" max="16384" width="10.83203125" style="145"/>
  </cols>
  <sheetData>
    <row r="1" spans="1:33" s="116" customFormat="1" ht="13" customHeight="1">
      <c r="C1" s="151" t="s">
        <v>66</v>
      </c>
      <c r="D1" s="151" t="s">
        <v>104</v>
      </c>
      <c r="E1" s="151"/>
      <c r="F1" s="151"/>
      <c r="G1" s="117"/>
      <c r="H1" s="117"/>
      <c r="I1" s="117"/>
      <c r="J1" s="117"/>
      <c r="K1" s="117"/>
      <c r="L1" s="117"/>
      <c r="M1" s="117"/>
      <c r="N1" s="117"/>
      <c r="O1" s="117"/>
      <c r="P1" s="117"/>
      <c r="Q1" s="117"/>
      <c r="R1" s="117"/>
      <c r="S1" s="117"/>
      <c r="T1" s="117"/>
      <c r="U1" s="117"/>
      <c r="V1" s="117"/>
      <c r="W1" s="117"/>
      <c r="X1" s="117"/>
      <c r="Y1" s="117"/>
      <c r="Z1" s="117"/>
      <c r="AA1" s="117"/>
      <c r="AB1" s="117"/>
    </row>
    <row r="2" spans="1:33" s="122" customFormat="1" ht="13" customHeight="1">
      <c r="B2" s="267" t="str">
        <f>IF('Summary | Sumário'!D$6=Names!B$3,Names!BH1,Names!BI1)</f>
        <v>Inter Invest (Managerial, R$ Million)</v>
      </c>
      <c r="C2" s="20" t="str">
        <f>IF('Summary | Sumário'!D$6=Names!B$3,Names!E2,Names!F2)</f>
        <v>4Q19</v>
      </c>
      <c r="D2" s="20" t="str">
        <f>IF('Summary | Sumário'!D$6=Names!B$3,Names!E3,Names!F3)</f>
        <v>4Q20</v>
      </c>
      <c r="E2" s="20" t="str">
        <f>IF('Summary | Sumário'!D$6=Names!B$3,Names!E4,Names!F4)</f>
        <v>1Q21</v>
      </c>
      <c r="F2" s="20" t="str">
        <f>IF('Summary | Sumário'!D$6=Names!B$3,Names!E5,Names!F5)</f>
        <v>2Q21</v>
      </c>
      <c r="G2" s="20"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1" t="str">
        <f>IF('Summary | Sumário'!E$6=Names!C$3,Names!F21,Names!G21)</f>
        <v>3Q25</v>
      </c>
      <c r="X2" s="268" t="str">
        <f>IF('Summary | Sumário'!D$6=Names!B$3,Names!E26,Names!F26)</f>
        <v>4Q25</v>
      </c>
      <c r="Y2" s="321"/>
      <c r="Z2" s="104" t="str">
        <f>IF('Summary | Sumário'!$D$6=Names!$B$3,Names!$I$24,Names!$J$24)</f>
        <v>QoQ Variation</v>
      </c>
      <c r="AA2" s="104" t="str">
        <f>IF('Summary | Sumário'!$D$6=Names!$B$3,Names!$I$25,Names!$J$25)</f>
        <v>YoY Variation</v>
      </c>
      <c r="AB2" s="119"/>
      <c r="AC2" s="120"/>
      <c r="AD2" s="121"/>
      <c r="AF2" s="123"/>
      <c r="AG2" s="124"/>
    </row>
    <row r="3" spans="1:33" s="116" customFormat="1"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row>
    <row r="4" spans="1:33" ht="13" customHeight="1">
      <c r="A4" s="143"/>
      <c r="B4" s="3" t="str">
        <f>IF('Summary | Sumário'!D$6=Names!B$3,Names!BH3,Names!BI3)</f>
        <v>Inter invest</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row>
    <row r="5" spans="1:33" ht="13" customHeight="1">
      <c r="A5" s="143"/>
      <c r="B5" s="302" t="str">
        <f>IF('Summary | Sumário'!D$6=Names!B$3,Names!BH4,Names!BI4)</f>
        <v>Total AUC</v>
      </c>
      <c r="C5" s="303">
        <f t="shared" ref="C5:U5" si="0">SUM(C6:C8)</f>
        <v>18334.29077</v>
      </c>
      <c r="D5" s="303">
        <f t="shared" si="0"/>
        <v>44099.232784510008</v>
      </c>
      <c r="E5" s="303">
        <f t="shared" si="0"/>
        <v>52376.706477599975</v>
      </c>
      <c r="F5" s="303">
        <f t="shared" si="0"/>
        <v>63464.019114700051</v>
      </c>
      <c r="G5" s="303">
        <f t="shared" si="0"/>
        <v>60324.526333440008</v>
      </c>
      <c r="H5" s="303">
        <f t="shared" si="0"/>
        <v>56887.303352699601</v>
      </c>
      <c r="I5" s="303">
        <f t="shared" si="0"/>
        <v>58138.286373499977</v>
      </c>
      <c r="J5" s="303">
        <f t="shared" si="0"/>
        <v>54559.79457161</v>
      </c>
      <c r="K5" s="303">
        <f t="shared" si="0"/>
        <v>62349.211153180004</v>
      </c>
      <c r="L5" s="303">
        <f t="shared" si="0"/>
        <v>66723.736438719992</v>
      </c>
      <c r="M5" s="303">
        <f t="shared" si="0"/>
        <v>67986.417997459968</v>
      </c>
      <c r="N5" s="303">
        <f t="shared" si="0"/>
        <v>76842.170568875445</v>
      </c>
      <c r="O5" s="303">
        <f t="shared" si="0"/>
        <v>82892.927662269998</v>
      </c>
      <c r="P5" s="303">
        <f t="shared" si="0"/>
        <v>91798.553434000001</v>
      </c>
      <c r="Q5" s="303">
        <f t="shared" si="0"/>
        <v>94882.291527389752</v>
      </c>
      <c r="R5" s="303">
        <f t="shared" si="0"/>
        <v>105218.94690225135</v>
      </c>
      <c r="S5" s="303">
        <f t="shared" si="0"/>
        <v>122489.5022303232</v>
      </c>
      <c r="T5" s="303">
        <f t="shared" si="0"/>
        <v>141240.89867975749</v>
      </c>
      <c r="U5" s="303">
        <f t="shared" si="0"/>
        <v>145966.75700367001</v>
      </c>
      <c r="V5" s="303">
        <f t="shared" ref="V5" si="1">SUM(V6:V8)</f>
        <v>154469.03082499997</v>
      </c>
      <c r="W5" s="303">
        <f t="shared" ref="W5:X5" si="2">SUM(W6:W8)</f>
        <v>169979.36709707999</v>
      </c>
      <c r="X5" s="303">
        <f t="shared" si="2"/>
        <v>179597.60017006</v>
      </c>
      <c r="Y5" s="371"/>
      <c r="Z5" s="379">
        <f t="shared" ref="Z5:Z11" si="3">X5/W5-1</f>
        <v>5.6584709292903712E-2</v>
      </c>
      <c r="AA5" s="379">
        <f t="shared" ref="AA5:AA11" si="4">X5/T5-1</f>
        <v>0.27156936729261805</v>
      </c>
    </row>
    <row r="6" spans="1:33" ht="13" customHeight="1">
      <c r="A6" s="143"/>
      <c r="B6" s="77" t="str">
        <f>IF('Summary | Sumário'!D$6=Names!B$3,Names!BH5,Names!BI5)</f>
        <v>Funding (includes deposits and other on-balance funding)</v>
      </c>
      <c r="C6" s="146">
        <v>6434.0190000000002</v>
      </c>
      <c r="D6" s="146">
        <v>14166.066999999999</v>
      </c>
      <c r="E6" s="146">
        <v>15097.571</v>
      </c>
      <c r="F6" s="146">
        <v>17710.853999999999</v>
      </c>
      <c r="G6" s="146">
        <v>20186.793000000001</v>
      </c>
      <c r="H6" s="146">
        <v>21905.634999999998</v>
      </c>
      <c r="I6" s="146">
        <v>23239.074000000001</v>
      </c>
      <c r="J6" s="146">
        <v>25850.632000000001</v>
      </c>
      <c r="K6" s="146">
        <v>28368.945</v>
      </c>
      <c r="L6" s="146">
        <v>29844.969000000001</v>
      </c>
      <c r="M6" s="146">
        <v>30822.562999999998</v>
      </c>
      <c r="N6" s="146">
        <v>33305.51704074</v>
      </c>
      <c r="O6" s="146">
        <v>36526.552537269999</v>
      </c>
      <c r="P6" s="146">
        <v>40746.661999999997</v>
      </c>
      <c r="Q6" s="146">
        <v>40892.586921435941</v>
      </c>
      <c r="R6" s="146">
        <v>44521.566244000001</v>
      </c>
      <c r="S6" s="146">
        <v>48177.41561366</v>
      </c>
      <c r="T6" s="146">
        <v>52693.448118564796</v>
      </c>
      <c r="U6" s="146">
        <v>54345.737000000001</v>
      </c>
      <c r="V6" s="146">
        <v>58045.601999999999</v>
      </c>
      <c r="W6" s="146">
        <v>63738.752</v>
      </c>
      <c r="X6" s="146">
        <v>69010.228000000003</v>
      </c>
      <c r="Y6" s="146"/>
      <c r="Z6" s="358">
        <f t="shared" si="3"/>
        <v>8.2704411909414244E-2</v>
      </c>
      <c r="AA6" s="358">
        <f t="shared" si="4"/>
        <v>0.30965481409986761</v>
      </c>
    </row>
    <row r="7" spans="1:33" ht="13" customHeight="1">
      <c r="A7" s="143"/>
      <c r="B7" s="76" t="str">
        <f>IF('Summary | Sumário'!D$6=Names!B$3,Names!BH6,Names!BI6)</f>
        <v>Inter Asset AuM + Inter Securities AuM</v>
      </c>
      <c r="C7" s="144">
        <v>0</v>
      </c>
      <c r="D7" s="144">
        <v>3732.8115669999997</v>
      </c>
      <c r="E7" s="144">
        <v>4166.4707679100002</v>
      </c>
      <c r="F7" s="144">
        <v>4701</v>
      </c>
      <c r="G7" s="144">
        <v>5087</v>
      </c>
      <c r="H7" s="144">
        <v>5208</v>
      </c>
      <c r="I7" s="144">
        <v>5383</v>
      </c>
      <c r="J7" s="144">
        <v>5781</v>
      </c>
      <c r="K7" s="144">
        <v>7156</v>
      </c>
      <c r="L7" s="144">
        <v>8391.2768336400004</v>
      </c>
      <c r="M7" s="144">
        <v>7657</v>
      </c>
      <c r="N7" s="144">
        <v>7870.6031021400004</v>
      </c>
      <c r="O7" s="144">
        <v>8194.2440079999997</v>
      </c>
      <c r="P7" s="144">
        <v>9276.8147730000001</v>
      </c>
      <c r="Q7" s="144">
        <v>9534.9427183100015</v>
      </c>
      <c r="R7" s="144">
        <v>10577.920844316301</v>
      </c>
      <c r="S7" s="144">
        <v>17593.237260040001</v>
      </c>
      <c r="T7" s="144">
        <v>22223.029831</v>
      </c>
      <c r="U7" s="144">
        <v>23352.726465000003</v>
      </c>
      <c r="V7" s="144">
        <v>24042.609559999997</v>
      </c>
      <c r="W7" s="144">
        <v>27846.894571999997</v>
      </c>
      <c r="X7" s="144">
        <v>27998.923180999998</v>
      </c>
      <c r="Y7" s="146"/>
      <c r="Z7" s="359">
        <f t="shared" si="3"/>
        <v>5.4594457061243329E-3</v>
      </c>
      <c r="AA7" s="359">
        <f t="shared" si="4"/>
        <v>0.25990575515238334</v>
      </c>
    </row>
    <row r="8" spans="1:33" ht="13" customHeight="1">
      <c r="A8" s="142"/>
      <c r="B8" s="77" t="str">
        <f>IF('Summary | Sumário'!D$6=Names!B$3,Names!BH7,Names!BI7)</f>
        <v>Inter DTVM - management, distribution and custody</v>
      </c>
      <c r="C8" s="215">
        <v>11900.271769999999</v>
      </c>
      <c r="D8" s="215">
        <v>26200.354217510005</v>
      </c>
      <c r="E8" s="215">
        <v>33112.664709689976</v>
      </c>
      <c r="F8" s="215">
        <v>41052.165114700052</v>
      </c>
      <c r="G8" s="215">
        <v>35050.733333440003</v>
      </c>
      <c r="H8" s="215">
        <v>29773.668352699602</v>
      </c>
      <c r="I8" s="215">
        <v>29516.212373499977</v>
      </c>
      <c r="J8" s="215">
        <v>22928.162571609999</v>
      </c>
      <c r="K8" s="215">
        <v>26824.26615318</v>
      </c>
      <c r="L8" s="215">
        <v>28487.490605079998</v>
      </c>
      <c r="M8" s="215">
        <v>29506.854997459966</v>
      </c>
      <c r="N8" s="215">
        <v>35666.050425995447</v>
      </c>
      <c r="O8" s="215">
        <v>38172.131116999997</v>
      </c>
      <c r="P8" s="215">
        <v>41775.076660999999</v>
      </c>
      <c r="Q8" s="215">
        <v>44454.761887643806</v>
      </c>
      <c r="R8" s="215">
        <v>50119.459813935049</v>
      </c>
      <c r="S8" s="215">
        <v>56718.849356623192</v>
      </c>
      <c r="T8" s="215">
        <v>66324.420730192709</v>
      </c>
      <c r="U8" s="215">
        <v>68268.293538669997</v>
      </c>
      <c r="V8" s="215">
        <v>72380.819264999984</v>
      </c>
      <c r="W8" s="215">
        <v>78393.720525079989</v>
      </c>
      <c r="X8" s="215">
        <v>82588.448989060009</v>
      </c>
      <c r="Y8" s="146"/>
      <c r="Z8" s="358">
        <f t="shared" si="3"/>
        <v>5.3508475371289776E-2</v>
      </c>
      <c r="AA8" s="358">
        <f t="shared" si="4"/>
        <v>0.24521930353571064</v>
      </c>
      <c r="AB8" s="166"/>
    </row>
    <row r="9" spans="1:33" ht="13" customHeight="1">
      <c r="A9" s="143"/>
      <c r="B9" s="74" t="str">
        <f>IF('Summary | Sumário'!D$6=Names!B$3,Names!BH8,Names!BI8)</f>
        <v>Inter Invest net revenues</v>
      </c>
      <c r="C9" s="642"/>
      <c r="D9" s="642"/>
      <c r="E9" s="643">
        <v>14.775224</v>
      </c>
      <c r="F9" s="643">
        <v>15.423358</v>
      </c>
      <c r="G9" s="643">
        <v>33.671531000000002</v>
      </c>
      <c r="H9" s="643">
        <v>31.725574999999999</v>
      </c>
      <c r="I9" s="643">
        <v>32.118471</v>
      </c>
      <c r="J9" s="643">
        <v>34.942397999999997</v>
      </c>
      <c r="K9" s="643">
        <v>39.631746</v>
      </c>
      <c r="L9" s="643">
        <v>25.204698</v>
      </c>
      <c r="M9" s="643">
        <v>42.040458000000001</v>
      </c>
      <c r="N9" s="643">
        <v>43.381656999999997</v>
      </c>
      <c r="O9" s="643">
        <v>41.514320970000007</v>
      </c>
      <c r="P9" s="643">
        <v>60.850385709999991</v>
      </c>
      <c r="Q9" s="643">
        <v>55.912393019999989</v>
      </c>
      <c r="R9" s="643">
        <v>64.249784560000009</v>
      </c>
      <c r="S9" s="643">
        <v>73.302822420000012</v>
      </c>
      <c r="T9" s="643">
        <v>70.965000000000003</v>
      </c>
      <c r="U9" s="643">
        <v>59.969000000000001</v>
      </c>
      <c r="V9" s="643">
        <v>78.88</v>
      </c>
      <c r="W9" s="643">
        <v>66.789000000000001</v>
      </c>
      <c r="X9" s="643">
        <v>52.856000000000002</v>
      </c>
      <c r="Y9" s="372"/>
      <c r="Z9" s="641">
        <f t="shared" si="3"/>
        <v>-0.20861219661920372</v>
      </c>
      <c r="AA9" s="641">
        <f t="shared" si="4"/>
        <v>-0.25518213203691964</v>
      </c>
    </row>
    <row r="10" spans="1:33" ht="13" customHeight="1">
      <c r="B10" s="77" t="str">
        <f>IF('Summary | Sumário'!D$6=Names!B$3,Names!BH9,Names!BI9)</f>
        <v>Inter Invest net fee revenues</v>
      </c>
      <c r="C10" s="146"/>
      <c r="D10" s="146"/>
      <c r="E10" s="167">
        <v>13.879148000000001</v>
      </c>
      <c r="F10" s="167">
        <v>11.610353</v>
      </c>
      <c r="G10" s="167">
        <v>29.902488000000002</v>
      </c>
      <c r="H10" s="167">
        <v>26.472512999999999</v>
      </c>
      <c r="I10" s="167">
        <v>25.550785999999999</v>
      </c>
      <c r="J10" s="167">
        <v>27.531547</v>
      </c>
      <c r="K10" s="167">
        <v>32.406441000000001</v>
      </c>
      <c r="L10" s="167">
        <v>16.431895000000001</v>
      </c>
      <c r="M10" s="167">
        <v>25.844162000000001</v>
      </c>
      <c r="N10" s="167">
        <v>26.447693999999998</v>
      </c>
      <c r="O10" s="167">
        <v>26.742655840000001</v>
      </c>
      <c r="P10" s="167">
        <v>39.535309839999996</v>
      </c>
      <c r="Q10" s="167">
        <v>32.179000000000002</v>
      </c>
      <c r="R10" s="167">
        <v>35.137999999999998</v>
      </c>
      <c r="S10" s="167">
        <v>40.073</v>
      </c>
      <c r="T10" s="167">
        <v>44.146000000000001</v>
      </c>
      <c r="U10" s="167">
        <v>35.468000000000004</v>
      </c>
      <c r="V10" s="167">
        <v>41.51</v>
      </c>
      <c r="W10" s="167">
        <v>41.405000000000001</v>
      </c>
      <c r="X10" s="167">
        <v>23.390999999999998</v>
      </c>
      <c r="Y10" s="167"/>
      <c r="Z10" s="380">
        <f t="shared" si="3"/>
        <v>-0.43506822847482196</v>
      </c>
      <c r="AA10" s="380">
        <f t="shared" si="4"/>
        <v>-0.47014452045485444</v>
      </c>
    </row>
    <row r="11" spans="1:33" ht="13" customHeight="1">
      <c r="B11" s="76" t="str">
        <f>IF('Summary | Sumário'!D$6=Names!B$3,Names!BH10,Names!BI10)</f>
        <v>Inter Invest net interest revenues</v>
      </c>
      <c r="C11" s="144"/>
      <c r="D11" s="144"/>
      <c r="E11" s="168">
        <v>0.89607599999999998</v>
      </c>
      <c r="F11" s="168">
        <v>3.813005</v>
      </c>
      <c r="G11" s="168">
        <v>3.7690429999999999</v>
      </c>
      <c r="H11" s="168">
        <v>5.2530619999999999</v>
      </c>
      <c r="I11" s="168">
        <v>6.567685</v>
      </c>
      <c r="J11" s="168">
        <v>7.4108510000000001</v>
      </c>
      <c r="K11" s="168">
        <v>7.2253049999999996</v>
      </c>
      <c r="L11" s="168">
        <v>8.7728029999999997</v>
      </c>
      <c r="M11" s="168">
        <v>16.196296</v>
      </c>
      <c r="N11" s="168">
        <v>16.933962999999999</v>
      </c>
      <c r="O11" s="168">
        <v>14.771665130000006</v>
      </c>
      <c r="P11" s="168">
        <v>21.315075869999998</v>
      </c>
      <c r="Q11" s="168">
        <v>21.742000000000001</v>
      </c>
      <c r="R11" s="168">
        <v>25.555</v>
      </c>
      <c r="S11" s="168">
        <v>30.029</v>
      </c>
      <c r="T11" s="168">
        <v>26.818999999999999</v>
      </c>
      <c r="U11" s="168">
        <v>24.501000000000001</v>
      </c>
      <c r="V11" s="168">
        <v>37.369999999999997</v>
      </c>
      <c r="W11" s="168">
        <v>25.384</v>
      </c>
      <c r="X11" s="168">
        <v>29.465</v>
      </c>
      <c r="Y11" s="167"/>
      <c r="Z11" s="381">
        <f t="shared" si="3"/>
        <v>0.16077056413488799</v>
      </c>
      <c r="AA11" s="381">
        <f t="shared" si="4"/>
        <v>9.8661396770945986E-2</v>
      </c>
    </row>
    <row r="12" spans="1:33" ht="13" customHeight="1">
      <c r="C12" s="169"/>
      <c r="D12" s="169"/>
      <c r="E12" s="169"/>
      <c r="F12" s="170"/>
      <c r="G12" s="170"/>
      <c r="H12" s="170"/>
      <c r="I12" s="169"/>
      <c r="J12" s="169"/>
      <c r="K12" s="169"/>
      <c r="L12" s="169"/>
      <c r="M12" s="169"/>
      <c r="N12" s="169"/>
      <c r="O12" s="169"/>
      <c r="P12" s="169"/>
      <c r="Q12" s="169"/>
      <c r="R12" s="169"/>
      <c r="S12" s="169"/>
      <c r="T12" s="169"/>
      <c r="U12" s="169"/>
      <c r="V12" s="169"/>
      <c r="W12" s="169"/>
      <c r="X12" s="169"/>
      <c r="Y12" s="169"/>
      <c r="Z12" s="169"/>
      <c r="AA12" s="169"/>
    </row>
    <row r="13" spans="1:33" ht="13" customHeight="1">
      <c r="C13" s="169"/>
      <c r="D13" s="169"/>
      <c r="E13" s="169"/>
      <c r="F13" s="170"/>
      <c r="G13" s="169"/>
      <c r="H13" s="169"/>
      <c r="I13" s="169"/>
      <c r="J13" s="169"/>
      <c r="L13" s="169"/>
      <c r="M13" s="169"/>
      <c r="N13" s="169"/>
      <c r="O13" s="169"/>
      <c r="P13" s="169"/>
      <c r="Q13" s="169"/>
      <c r="R13" s="169"/>
      <c r="S13" s="169"/>
      <c r="T13" s="169"/>
      <c r="U13" s="169"/>
      <c r="V13" s="169"/>
      <c r="W13" s="169"/>
      <c r="X13" s="169"/>
      <c r="Y13" s="169"/>
      <c r="Z13" s="169"/>
      <c r="AA13" s="169"/>
    </row>
    <row r="14" spans="1:33" ht="13" customHeight="1">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row>
    <row r="15" spans="1:33" ht="13" customHeight="1">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row>
    <row r="16" spans="1:33" ht="13" customHeight="1">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row>
    <row r="17" spans="2:27" ht="13" customHeight="1">
      <c r="B17" s="138"/>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row>
    <row r="18" spans="2:27" ht="13" customHeight="1">
      <c r="B18" s="171"/>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row>
    <row r="19" spans="2:27" ht="13" customHeight="1">
      <c r="B19" s="138"/>
      <c r="L19" s="169"/>
      <c r="M19" s="169"/>
      <c r="N19" s="169"/>
      <c r="O19" s="169"/>
      <c r="P19" s="169"/>
      <c r="Q19" s="169"/>
      <c r="R19" s="169"/>
      <c r="S19" s="169"/>
      <c r="T19" s="169"/>
      <c r="U19" s="169"/>
      <c r="V19" s="169"/>
      <c r="W19" s="169"/>
      <c r="X19" s="169"/>
      <c r="Y19" s="169"/>
      <c r="Z19" s="169"/>
      <c r="AA19" s="169"/>
    </row>
    <row r="20" spans="2:27" ht="13" customHeight="1">
      <c r="B20" s="138"/>
    </row>
    <row r="22" spans="2:27" ht="13" customHeight="1">
      <c r="B22" s="763"/>
    </row>
    <row r="23" spans="2:27" ht="13" customHeight="1">
      <c r="B23" s="763"/>
    </row>
    <row r="24" spans="2:27" ht="13" customHeight="1">
      <c r="B24" s="763"/>
    </row>
    <row r="25" spans="2:27" ht="13" customHeight="1">
      <c r="B25" s="763"/>
    </row>
    <row r="26" spans="2:27" ht="13" customHeight="1">
      <c r="B26" s="763"/>
    </row>
    <row r="27" spans="2:27" ht="13" customHeight="1">
      <c r="B27" s="763"/>
    </row>
    <row r="28" spans="2:27" ht="13" customHeight="1">
      <c r="B28" s="763"/>
    </row>
    <row r="64" spans="3:27" ht="13" customHeight="1">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row>
  </sheetData>
  <sheetProtection algorithmName="SHA-512" hashValue="fYCz/owjqw4gEMUxgis2wGMifCSNdUKUPTWPvA017CLOO1AhmzwZEVYepv7f5DKxceoLAZ/4XxbPsJdvTUsH4g==" saltValue="QVH522I6sDeeObVuv1Txyg==" spinCount="100000" sheet="1" formatCells="0" formatColumns="0" formatRows="0" insertColumns="0" insertRows="0" insertHyperlinks="0" deleteColumns="0" deleteRows="0" sort="0" autoFilter="0" pivotTables="0"/>
  <mergeCells count="1">
    <mergeCell ref="B22:B28"/>
  </mergeCell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C814-91B1-4C45-B291-4DE53C56DA99}">
  <sheetPr codeName="Sheet24">
    <tabColor rgb="FFFFE9D0"/>
  </sheetPr>
  <dimension ref="A1:AG25"/>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24" width="10.83203125" style="116" customWidth="1"/>
    <col min="25" max="25" width="5.83203125" style="116" customWidth="1"/>
    <col min="26" max="27" width="10.83203125" style="116" customWidth="1"/>
    <col min="28" max="16384" width="10.83203125" style="116"/>
  </cols>
  <sheetData>
    <row r="1" spans="1:33" s="150" customFormat="1" ht="13" customHeight="1">
      <c r="A1" s="150" t="s">
        <v>1046</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row>
    <row r="2" spans="1:33" s="122" customFormat="1" ht="13" customHeight="1">
      <c r="B2" s="267" t="str">
        <f>IF('Summary | Sumário'!D$6=Names!B$3,Names!AT1,Names!AU1)</f>
        <v>Inter Seguros (Managerial, Million)</v>
      </c>
      <c r="C2" s="21" t="str">
        <f>IF('Summary | Sumário'!D$6=Names!B$3,Names!E2,Names!F2)</f>
        <v>4Q19</v>
      </c>
      <c r="D2" s="21" t="str">
        <f>IF('Summary | Sumário'!D$6=Names!B$3,Names!E3,Names!F3)</f>
        <v>4Q20</v>
      </c>
      <c r="E2" s="21" t="str">
        <f>IF('Summary | Sumário'!D$6=Names!B$3,Names!E4,Names!F4)</f>
        <v>1Q21</v>
      </c>
      <c r="F2" s="21" t="str">
        <f>IF('Summary | Sumário'!D$6=Names!B$3,Names!E5,Names!F5)</f>
        <v>2Q21</v>
      </c>
      <c r="G2" s="21"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1" t="str">
        <f>IF('Summary | Sumário'!D$6=Names!B$3,Names!E22,Names!F22)</f>
        <v>3Q25</v>
      </c>
      <c r="X2" s="268" t="str">
        <f>IF('Summary | Sumário'!D$6=Names!B$3,Names!E26,Names!F26)</f>
        <v>4Q25</v>
      </c>
      <c r="Y2" s="321"/>
      <c r="Z2" s="104" t="str">
        <f>IF('Summary | Sumário'!$D$6=Names!$B$3,Names!$I$24,Names!$J$24)</f>
        <v>QoQ Variation</v>
      </c>
      <c r="AA2" s="104" t="str">
        <f>IF('Summary | Sumário'!$D$6=Names!$B$3,Names!$I$25,Names!$J$25)</f>
        <v>YoY Variation</v>
      </c>
      <c r="AB2" s="119"/>
      <c r="AC2" s="120"/>
      <c r="AD2" s="121"/>
      <c r="AF2" s="123"/>
      <c r="AG2" s="124"/>
    </row>
    <row r="3" spans="1:33" s="150" customFormat="1" ht="13" customHeight="1">
      <c r="B3" s="47"/>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row>
    <row r="4" spans="1:33" ht="13" customHeight="1">
      <c r="B4" s="7" t="str">
        <f>IF('Summary | Sumário'!D$6=Names!B$3,Names!AT2,Names!AU2)</f>
        <v>Inter seguros</v>
      </c>
      <c r="C4" s="128"/>
      <c r="D4" s="128"/>
      <c r="E4" s="128"/>
      <c r="F4" s="128"/>
      <c r="G4" s="128"/>
      <c r="H4" s="128"/>
      <c r="I4" s="128"/>
      <c r="J4" s="128"/>
      <c r="K4" s="128"/>
      <c r="L4" s="128"/>
      <c r="M4" s="128"/>
      <c r="N4" s="128"/>
      <c r="O4" s="128"/>
      <c r="P4" s="128"/>
      <c r="Q4" s="128"/>
      <c r="R4" s="128"/>
      <c r="S4" s="128"/>
      <c r="T4" s="128"/>
      <c r="U4" s="128"/>
      <c r="V4" s="265"/>
      <c r="W4" s="265"/>
      <c r="X4" s="265"/>
      <c r="Y4" s="265"/>
      <c r="Z4" s="128"/>
      <c r="AA4" s="128"/>
    </row>
    <row r="5" spans="1:33" ht="13" customHeight="1">
      <c r="B5" s="78" t="str">
        <f>IF('Summary | Sumário'!D$6=Names!B$3,Names!AT3,Names!AU3)</f>
        <v>Active contracts</v>
      </c>
      <c r="C5" s="162">
        <v>5.3094000000000002E-2</v>
      </c>
      <c r="D5" s="162">
        <v>0.25492300000000001</v>
      </c>
      <c r="E5" s="162">
        <v>0.36691800000000002</v>
      </c>
      <c r="F5" s="162">
        <v>0.53204200000000001</v>
      </c>
      <c r="G5" s="162">
        <v>0.68269100000000005</v>
      </c>
      <c r="H5" s="162">
        <v>0.83851799999999999</v>
      </c>
      <c r="I5" s="162">
        <v>0.91542800000000002</v>
      </c>
      <c r="J5" s="162">
        <v>1.046513</v>
      </c>
      <c r="K5" s="162">
        <v>1.129281</v>
      </c>
      <c r="L5" s="162">
        <v>1.270999</v>
      </c>
      <c r="M5" s="162">
        <v>1.337496</v>
      </c>
      <c r="N5" s="162">
        <v>1.525682</v>
      </c>
      <c r="O5" s="162">
        <v>1.5860810000000001</v>
      </c>
      <c r="P5" s="162">
        <v>1.710353</v>
      </c>
      <c r="Q5" s="162">
        <v>1.87538</v>
      </c>
      <c r="R5" s="162">
        <v>2.5900970000000001</v>
      </c>
      <c r="S5" s="162">
        <v>3.4083297300000002</v>
      </c>
      <c r="T5" s="162">
        <v>5.2721520000000002</v>
      </c>
      <c r="U5" s="162">
        <v>7.954345</v>
      </c>
      <c r="V5" s="669">
        <v>9.6316039999999994</v>
      </c>
      <c r="W5" s="669">
        <v>10.706182</v>
      </c>
      <c r="X5" s="669">
        <v>10.061881</v>
      </c>
      <c r="Y5" s="373"/>
      <c r="Z5" s="382">
        <f t="shared" ref="Z5:Z11" si="0">X5/W5-1</f>
        <v>-6.018027715202301E-2</v>
      </c>
      <c r="AA5" s="382">
        <f t="shared" ref="AA5:AA11" si="1">X5/T5-1</f>
        <v>0.90849599935661929</v>
      </c>
    </row>
    <row r="6" spans="1:33" ht="13" customHeight="1">
      <c r="B6" s="27" t="str">
        <f>IF('Summary | Sumário'!D$6=Names!B$3,Names!AT10,Names!AU10)</f>
        <v>Inter Seguros gross revenues</v>
      </c>
      <c r="C6" s="153">
        <v>5.8720527600000034</v>
      </c>
      <c r="D6" s="153">
        <v>18.126141979999996</v>
      </c>
      <c r="E6" s="153">
        <f t="shared" ref="E6:T6" si="2">E7-E11</f>
        <v>19.567177999999998</v>
      </c>
      <c r="F6" s="153">
        <f t="shared" si="2"/>
        <v>21.418572999999999</v>
      </c>
      <c r="G6" s="153">
        <f t="shared" si="2"/>
        <v>22.416924999999999</v>
      </c>
      <c r="H6" s="153">
        <f t="shared" si="2"/>
        <v>25.126908</v>
      </c>
      <c r="I6" s="153">
        <f t="shared" si="2"/>
        <v>29.693913999999999</v>
      </c>
      <c r="J6" s="153">
        <f t="shared" si="2"/>
        <v>34.950688</v>
      </c>
      <c r="K6" s="153">
        <f t="shared" si="2"/>
        <v>31.200075999999999</v>
      </c>
      <c r="L6" s="153">
        <f t="shared" si="2"/>
        <v>34.830342999999999</v>
      </c>
      <c r="M6" s="153">
        <f t="shared" si="2"/>
        <v>40.561728000000002</v>
      </c>
      <c r="N6" s="153">
        <f t="shared" si="2"/>
        <v>38.523485999999998</v>
      </c>
      <c r="O6" s="153">
        <f t="shared" si="2"/>
        <v>46.867078279999994</v>
      </c>
      <c r="P6" s="153">
        <f t="shared" si="2"/>
        <v>47.206707720000011</v>
      </c>
      <c r="Q6" s="153">
        <f t="shared" si="2"/>
        <v>52.34994228</v>
      </c>
      <c r="R6" s="153">
        <f t="shared" si="2"/>
        <v>58.088726569999999</v>
      </c>
      <c r="S6" s="153">
        <f t="shared" si="2"/>
        <v>65.382000000000005</v>
      </c>
      <c r="T6" s="153">
        <f t="shared" si="2"/>
        <v>71.415000000000006</v>
      </c>
      <c r="U6" s="153">
        <f>U7-U11</f>
        <v>81.805000000000007</v>
      </c>
      <c r="V6" s="153">
        <f>V7-V11</f>
        <v>82.543999999999997</v>
      </c>
      <c r="W6" s="153">
        <v>83.194000000000003</v>
      </c>
      <c r="X6" s="153">
        <f>X7-X11</f>
        <v>86.283999999999992</v>
      </c>
      <c r="Y6" s="373"/>
      <c r="Z6" s="383">
        <f t="shared" si="0"/>
        <v>3.7142101593864885E-2</v>
      </c>
      <c r="AA6" s="383">
        <f t="shared" si="1"/>
        <v>0.2082055590562204</v>
      </c>
    </row>
    <row r="7" spans="1:33" ht="13" customHeight="1">
      <c r="B7" s="78" t="str">
        <f>IF('Summary | Sumário'!D$6=Names!B$3,Names!AT4,Names!AU4)</f>
        <v>Inter Seguros net revenues</v>
      </c>
      <c r="C7" s="154">
        <v>5.8720527600000034</v>
      </c>
      <c r="D7" s="154">
        <v>18.126141979999996</v>
      </c>
      <c r="E7" s="154">
        <v>19.567177999999998</v>
      </c>
      <c r="F7" s="154">
        <v>21.418572999999999</v>
      </c>
      <c r="G7" s="154">
        <v>22.416924999999999</v>
      </c>
      <c r="H7" s="154">
        <v>25.126908</v>
      </c>
      <c r="I7" s="154">
        <v>29.693913999999999</v>
      </c>
      <c r="J7" s="154">
        <v>34.950688</v>
      </c>
      <c r="K7" s="154">
        <v>31.200075999999999</v>
      </c>
      <c r="L7" s="154">
        <v>34.830342999999999</v>
      </c>
      <c r="M7" s="154">
        <v>40.561728000000002</v>
      </c>
      <c r="N7" s="154">
        <v>38.523485999999998</v>
      </c>
      <c r="O7" s="154">
        <v>46.867078279999994</v>
      </c>
      <c r="P7" s="154">
        <v>47.206707720000011</v>
      </c>
      <c r="Q7" s="154">
        <v>52.34994228</v>
      </c>
      <c r="R7" s="154">
        <v>58.088726569999999</v>
      </c>
      <c r="S7" s="154">
        <v>23.560331150000007</v>
      </c>
      <c r="T7" s="154">
        <v>54.381999999999998</v>
      </c>
      <c r="U7" s="154">
        <v>60.951000000000001</v>
      </c>
      <c r="V7" s="154">
        <v>58.893000000000001</v>
      </c>
      <c r="W7" s="154">
        <v>58.500999999999998</v>
      </c>
      <c r="X7" s="154">
        <v>56.323999999999998</v>
      </c>
      <c r="Y7" s="153"/>
      <c r="Z7" s="382">
        <f t="shared" si="0"/>
        <v>-3.7213039093348832E-2</v>
      </c>
      <c r="AA7" s="382">
        <f t="shared" si="1"/>
        <v>3.571034533485351E-2</v>
      </c>
    </row>
    <row r="8" spans="1:33" ht="13" customHeight="1">
      <c r="B8" s="75" t="str">
        <f>IF('Summary | Sumário'!D$6=Names!B$3,Names!AT6,Names!AU6)</f>
        <v>Inter Seguros net interest revenues</v>
      </c>
      <c r="C8" s="647">
        <v>5.8720527600000034</v>
      </c>
      <c r="D8" s="647">
        <v>18.126141979999996</v>
      </c>
      <c r="E8" s="647">
        <v>0.88171200000000005</v>
      </c>
      <c r="F8" s="647">
        <v>1.017155</v>
      </c>
      <c r="G8" s="647">
        <v>1.56667</v>
      </c>
      <c r="H8" s="647">
        <v>1.9613780000000001</v>
      </c>
      <c r="I8" s="647">
        <v>1.997323</v>
      </c>
      <c r="J8" s="647">
        <v>-1.007776</v>
      </c>
      <c r="K8" s="647">
        <v>1.2692999999999999E-2</v>
      </c>
      <c r="L8" s="647">
        <v>0.35308</v>
      </c>
      <c r="M8" s="647">
        <v>0.58912100000000001</v>
      </c>
      <c r="N8" s="647">
        <v>0.43939800000000001</v>
      </c>
      <c r="O8" s="647">
        <v>0.48492114999999852</v>
      </c>
      <c r="P8" s="647">
        <v>0.56955985000000153</v>
      </c>
      <c r="Q8" s="647">
        <v>0.97399999999999998</v>
      </c>
      <c r="R8" s="647">
        <v>0.93799999999999994</v>
      </c>
      <c r="S8" s="153">
        <v>0.95399999999999996</v>
      </c>
      <c r="T8" s="153">
        <v>1.2989999999999999</v>
      </c>
      <c r="U8" s="153">
        <v>2.2879999999999998</v>
      </c>
      <c r="V8" s="153">
        <v>3.254</v>
      </c>
      <c r="W8" s="153">
        <v>2.7389999999999999</v>
      </c>
      <c r="X8" s="153">
        <v>3.0939999999999999</v>
      </c>
      <c r="Y8" s="163"/>
      <c r="Z8" s="383">
        <f t="shared" si="0"/>
        <v>0.12960934647681643</v>
      </c>
      <c r="AA8" s="383">
        <f t="shared" si="1"/>
        <v>1.381832178598922</v>
      </c>
    </row>
    <row r="9" spans="1:33" ht="13" customHeight="1">
      <c r="B9" s="79" t="str">
        <f>IF('Summary | Sumário'!D$6=Names!B$3,Names!AT5,Names!AU5)</f>
        <v>Inter Seguros net fee revenues</v>
      </c>
      <c r="C9" s="539">
        <v>0</v>
      </c>
      <c r="D9" s="539">
        <v>0</v>
      </c>
      <c r="E9" s="154">
        <f t="shared" ref="E9:T9" si="3">E7-E8</f>
        <v>18.685465999999998</v>
      </c>
      <c r="F9" s="154">
        <f t="shared" si="3"/>
        <v>20.401418</v>
      </c>
      <c r="G9" s="154">
        <f t="shared" si="3"/>
        <v>20.850255000000001</v>
      </c>
      <c r="H9" s="154">
        <f t="shared" si="3"/>
        <v>23.16553</v>
      </c>
      <c r="I9" s="154">
        <f t="shared" si="3"/>
        <v>27.696590999999998</v>
      </c>
      <c r="J9" s="154">
        <f t="shared" si="3"/>
        <v>35.958463999999999</v>
      </c>
      <c r="K9" s="154">
        <f t="shared" si="3"/>
        <v>31.187383000000001</v>
      </c>
      <c r="L9" s="154">
        <f t="shared" si="3"/>
        <v>34.477263000000001</v>
      </c>
      <c r="M9" s="154">
        <f t="shared" si="3"/>
        <v>39.972607000000004</v>
      </c>
      <c r="N9" s="154">
        <f t="shared" si="3"/>
        <v>38.084088000000001</v>
      </c>
      <c r="O9" s="154">
        <f t="shared" si="3"/>
        <v>46.382157129999996</v>
      </c>
      <c r="P9" s="154">
        <f t="shared" si="3"/>
        <v>46.637147870000007</v>
      </c>
      <c r="Q9" s="154">
        <f t="shared" si="3"/>
        <v>51.375942280000004</v>
      </c>
      <c r="R9" s="154">
        <f t="shared" si="3"/>
        <v>57.150726569999996</v>
      </c>
      <c r="S9" s="154">
        <f t="shared" si="3"/>
        <v>22.606331150000006</v>
      </c>
      <c r="T9" s="154">
        <f t="shared" si="3"/>
        <v>53.082999999999998</v>
      </c>
      <c r="U9" s="154">
        <f>U7-U8</f>
        <v>58.663000000000004</v>
      </c>
      <c r="V9" s="154">
        <f>V7-V8</f>
        <v>55.639000000000003</v>
      </c>
      <c r="W9" s="154">
        <v>55.762</v>
      </c>
      <c r="X9" s="154">
        <f>X7-X8</f>
        <v>53.23</v>
      </c>
      <c r="Y9" s="163"/>
      <c r="Z9" s="382">
        <f t="shared" si="0"/>
        <v>-4.5407266597324414E-2</v>
      </c>
      <c r="AA9" s="382">
        <f t="shared" si="1"/>
        <v>2.7692481585441797E-3</v>
      </c>
    </row>
    <row r="10" spans="1:33" ht="13" customHeight="1">
      <c r="B10" s="645" t="str">
        <f>IF('Summary | Sumário'!D$6=Names!B$3,Names!AT13,Names!AU13)</f>
        <v>Inter Seguros gross fee revenues</v>
      </c>
      <c r="C10" s="259">
        <v>0</v>
      </c>
      <c r="D10" s="259">
        <v>0</v>
      </c>
      <c r="E10" s="153">
        <f t="shared" ref="E10:Q10" si="4">E9</f>
        <v>18.685465999999998</v>
      </c>
      <c r="F10" s="153">
        <f t="shared" si="4"/>
        <v>20.401418</v>
      </c>
      <c r="G10" s="153">
        <f t="shared" si="4"/>
        <v>20.850255000000001</v>
      </c>
      <c r="H10" s="153">
        <f t="shared" si="4"/>
        <v>23.16553</v>
      </c>
      <c r="I10" s="153">
        <f t="shared" si="4"/>
        <v>27.696590999999998</v>
      </c>
      <c r="J10" s="153">
        <f t="shared" si="4"/>
        <v>35.958463999999999</v>
      </c>
      <c r="K10" s="153">
        <f t="shared" si="4"/>
        <v>31.187383000000001</v>
      </c>
      <c r="L10" s="153">
        <f t="shared" si="4"/>
        <v>34.477263000000001</v>
      </c>
      <c r="M10" s="153">
        <f t="shared" si="4"/>
        <v>39.972607000000004</v>
      </c>
      <c r="N10" s="153">
        <f t="shared" si="4"/>
        <v>38.084088000000001</v>
      </c>
      <c r="O10" s="153">
        <f t="shared" si="4"/>
        <v>46.382157129999996</v>
      </c>
      <c r="P10" s="153">
        <f t="shared" si="4"/>
        <v>46.637147870000007</v>
      </c>
      <c r="Q10" s="153">
        <f t="shared" si="4"/>
        <v>51.375942280000004</v>
      </c>
      <c r="R10" s="153">
        <f>R9</f>
        <v>57.150726569999996</v>
      </c>
      <c r="S10" s="153">
        <f t="shared" ref="S10:T10" si="5">S9-S11</f>
        <v>64.427999999999997</v>
      </c>
      <c r="T10" s="153">
        <f t="shared" si="5"/>
        <v>70.116000000000014</v>
      </c>
      <c r="U10" s="153">
        <f>U9-U11</f>
        <v>79.51700000000001</v>
      </c>
      <c r="V10" s="153">
        <f>V9-V11</f>
        <v>79.290000000000006</v>
      </c>
      <c r="W10" s="153">
        <v>80.454999999999998</v>
      </c>
      <c r="X10" s="153">
        <f>X9-X11</f>
        <v>83.19</v>
      </c>
      <c r="Y10" s="163"/>
      <c r="Z10" s="383">
        <f t="shared" si="0"/>
        <v>3.3994158225094662E-2</v>
      </c>
      <c r="AA10" s="383">
        <f t="shared" si="1"/>
        <v>0.18646243368132787</v>
      </c>
    </row>
    <row r="11" spans="1:33" ht="13" customHeight="1">
      <c r="B11" s="646" t="str">
        <f>IF('Summary | Sumário'!D$6=Names!B$3,Names!AT14,Names!AU14)</f>
        <v>Expenses from services and comissions</v>
      </c>
      <c r="C11" s="539">
        <v>0</v>
      </c>
      <c r="D11" s="539">
        <v>0</v>
      </c>
      <c r="E11" s="539">
        <v>0</v>
      </c>
      <c r="F11" s="539">
        <v>0</v>
      </c>
      <c r="G11" s="539">
        <v>0</v>
      </c>
      <c r="H11" s="539">
        <v>0</v>
      </c>
      <c r="I11" s="539">
        <v>0</v>
      </c>
      <c r="J11" s="539">
        <v>0</v>
      </c>
      <c r="K11" s="539">
        <v>0</v>
      </c>
      <c r="L11" s="539">
        <v>0</v>
      </c>
      <c r="M11" s="539">
        <v>0</v>
      </c>
      <c r="N11" s="539">
        <v>0</v>
      </c>
      <c r="O11" s="539">
        <v>0</v>
      </c>
      <c r="P11" s="539">
        <v>0</v>
      </c>
      <c r="Q11" s="539">
        <v>0</v>
      </c>
      <c r="R11" s="539">
        <v>0</v>
      </c>
      <c r="S11" s="539">
        <v>-41.821668849999995</v>
      </c>
      <c r="T11" s="539">
        <v>-17.033000000000008</v>
      </c>
      <c r="U11" s="539">
        <v>-20.854000000000006</v>
      </c>
      <c r="V11" s="539">
        <v>-23.651</v>
      </c>
      <c r="W11" s="539">
        <v>-24.693000000000001</v>
      </c>
      <c r="X11" s="539">
        <v>-29.96</v>
      </c>
      <c r="Y11" s="163"/>
      <c r="Z11" s="382">
        <f t="shared" si="0"/>
        <v>0.21329931559551296</v>
      </c>
      <c r="AA11" s="382">
        <f t="shared" si="1"/>
        <v>0.75893853108671316</v>
      </c>
    </row>
    <row r="12" spans="1:33" ht="13" customHeight="1">
      <c r="B12" s="27" t="str">
        <f>IF('Summary | Sumário'!D$6=Names!B$3,Names!AT8,Names!AU8)</f>
        <v>Managerial EBITDA Margin</v>
      </c>
      <c r="C12" s="262">
        <v>0.70227189056318551</v>
      </c>
      <c r="D12" s="262">
        <v>0.89266785681840854</v>
      </c>
      <c r="E12" s="262">
        <v>0.88482599815833041</v>
      </c>
      <c r="F12" s="262">
        <v>0.89893649657256391</v>
      </c>
      <c r="G12" s="262">
        <v>0.92065885943882775</v>
      </c>
      <c r="H12" s="262">
        <v>0.92170299939186384</v>
      </c>
      <c r="I12" s="262">
        <v>0.8973923084485973</v>
      </c>
      <c r="J12" s="262">
        <v>0.93032138452831492</v>
      </c>
      <c r="K12" s="262">
        <v>0.92233340321210788</v>
      </c>
      <c r="L12" s="262">
        <v>0.87840703866079084</v>
      </c>
      <c r="M12" s="262">
        <v>0.93266382663319469</v>
      </c>
      <c r="N12" s="262">
        <v>0.72104143228798501</v>
      </c>
      <c r="O12" s="262">
        <v>0.77176803701130903</v>
      </c>
      <c r="P12" s="262">
        <v>0.72430000000000005</v>
      </c>
      <c r="Q12" s="262">
        <v>0.78800000000000003</v>
      </c>
      <c r="R12" s="262">
        <v>0.79595981616999212</v>
      </c>
      <c r="S12" s="262">
        <v>0.81492759744545018</v>
      </c>
      <c r="T12" s="262">
        <v>0.80472871734256524</v>
      </c>
      <c r="U12" s="262">
        <v>0.80885425053192017</v>
      </c>
      <c r="V12" s="262">
        <v>0.8104674509694737</v>
      </c>
      <c r="W12" s="262">
        <v>0.7982471785930606</v>
      </c>
      <c r="X12" s="262">
        <v>0.74199999999999999</v>
      </c>
      <c r="Y12" s="262"/>
      <c r="Z12" s="566">
        <f>(X12-W12)*100</f>
        <v>-5.6247178593060614</v>
      </c>
      <c r="AA12" s="566">
        <f>(X12-T12)*100</f>
        <v>-6.2728717342565243</v>
      </c>
    </row>
    <row r="13" spans="1:33" ht="13" customHeight="1">
      <c r="B13" s="78" t="str">
        <f>IF('Summary | Sumário'!D$6=Names!B$3,Names!AT9,Names!AU9)</f>
        <v>Inter Seguros net income</v>
      </c>
      <c r="C13" s="154">
        <v>3.1904390600000023</v>
      </c>
      <c r="D13" s="154">
        <v>13.105405040000003</v>
      </c>
      <c r="E13" s="154">
        <v>13.946809500000006</v>
      </c>
      <c r="F13" s="154">
        <v>15.577624370000001</v>
      </c>
      <c r="G13" s="154">
        <v>16.607872859999997</v>
      </c>
      <c r="H13" s="154">
        <v>18.628638070000008</v>
      </c>
      <c r="I13" s="154">
        <v>14.207677600000006</v>
      </c>
      <c r="J13" s="154">
        <v>18.505050730000004</v>
      </c>
      <c r="K13" s="154">
        <v>15.75805096</v>
      </c>
      <c r="L13" s="154">
        <v>16.689283329999999</v>
      </c>
      <c r="M13" s="154">
        <v>15.789375680000004</v>
      </c>
      <c r="N13" s="154">
        <v>12.835727520000008</v>
      </c>
      <c r="O13" s="154">
        <v>15.535343949999991</v>
      </c>
      <c r="P13" s="154">
        <v>15.226922</v>
      </c>
      <c r="Q13" s="154">
        <v>20.419972569809499</v>
      </c>
      <c r="R13" s="154">
        <v>19.956684169999999</v>
      </c>
      <c r="S13" s="154">
        <v>24.356338290000103</v>
      </c>
      <c r="T13" s="154">
        <v>26.332546999999998</v>
      </c>
      <c r="U13" s="154">
        <v>28.959046999999899</v>
      </c>
      <c r="V13" s="154">
        <v>27.740454970000101</v>
      </c>
      <c r="W13" s="154">
        <v>27.602907990000006</v>
      </c>
      <c r="X13" s="154">
        <v>23.879594000000001</v>
      </c>
      <c r="Y13" s="153"/>
      <c r="Z13" s="382">
        <f>X13/W13-1</f>
        <v>-0.13488846868412885</v>
      </c>
      <c r="AA13" s="382">
        <f>X13/T13-1</f>
        <v>-9.3152895540260405E-2</v>
      </c>
    </row>
    <row r="15" spans="1:33" ht="13" customHeight="1">
      <c r="B15" s="764" t="str">
        <f>IF('Summary | Sumário'!D$6=Names!B$3,Names!AT12,Names!AU12)</f>
        <v>Note: 3Q24 net fee revenue reflects the reclassification of provisions for canceled sales, moving these amounts from administrative expenses to expenses for services and commissions in 2024.</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row>
    <row r="16" spans="1:33" ht="13" customHeight="1">
      <c r="B16" s="764"/>
    </row>
    <row r="17" spans="2:27" ht="13" customHeight="1">
      <c r="B17" s="764"/>
    </row>
    <row r="18" spans="2:27" ht="13" customHeight="1">
      <c r="B18" s="764"/>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row>
    <row r="20" spans="2:27" ht="13" customHeight="1">
      <c r="B20" s="164"/>
    </row>
    <row r="21" spans="2:27" ht="13" customHeight="1">
      <c r="B21" s="164"/>
    </row>
    <row r="24" spans="2:27" ht="13" customHeight="1">
      <c r="B24" s="165"/>
    </row>
    <row r="25" spans="2:27" ht="13" customHeight="1">
      <c r="B25" s="165"/>
    </row>
  </sheetData>
  <sheetProtection algorithmName="SHA-512" hashValue="73ftjaiH9ogGGBSJIcy6jiYjC1vAertnG/Zs7Mi7bmtild3evcv/WgPR4/TriX0qnMe6KTsMlKIuUMskGr4UXw==" saltValue="eaOJW1G67c0RtLHMuyW3QA==" spinCount="100000" sheet="1" formatCells="0" formatColumns="0" formatRows="0" insertColumns="0" insertRows="0" insertHyperlinks="0" deleteColumns="0" deleteRows="0" sort="0" autoFilter="0" pivotTables="0"/>
  <mergeCells count="1">
    <mergeCell ref="B15:B18"/>
  </mergeCells>
  <pageMargins left="0.511811024" right="0.511811024" top="0.78740157499999996" bottom="0.78740157499999996" header="0.31496062000000002" footer="0.31496062000000002"/>
  <pageSetup paperSize="9" orientation="portrait"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3DFB-F311-E54A-98CA-905E81160B0F}">
  <sheetPr codeName="Sheet25">
    <tabColor rgb="FFFFE9D0"/>
  </sheetPr>
  <dimension ref="B1:AG2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45" customWidth="1"/>
    <col min="3" max="23" width="10.83203125" style="116" customWidth="1"/>
    <col min="24" max="24" width="5.83203125" style="116" customWidth="1"/>
    <col min="25" max="26" width="10.83203125" style="116" customWidth="1"/>
    <col min="27" max="16384" width="10.83203125" style="116"/>
  </cols>
  <sheetData>
    <row r="1" spans="2:33" s="150" customFormat="1" ht="13" customHeight="1">
      <c r="C1" s="151"/>
      <c r="D1" s="151"/>
      <c r="E1" s="151"/>
      <c r="F1" s="151"/>
      <c r="G1" s="151"/>
      <c r="H1" s="151"/>
      <c r="I1" s="151"/>
      <c r="J1" s="151"/>
      <c r="K1" s="151"/>
      <c r="L1" s="151"/>
      <c r="M1" s="151"/>
      <c r="N1" s="151"/>
      <c r="O1" s="151"/>
      <c r="P1" s="151"/>
      <c r="Q1" s="151"/>
      <c r="R1" s="151"/>
      <c r="S1" s="151"/>
      <c r="T1" s="151"/>
      <c r="U1" s="151"/>
      <c r="V1" s="151"/>
      <c r="W1" s="151"/>
      <c r="X1" s="151"/>
      <c r="Y1" s="151"/>
      <c r="Z1" s="151"/>
      <c r="AA1" s="151"/>
    </row>
    <row r="2" spans="2:33" s="122" customFormat="1" ht="13" customHeight="1">
      <c r="B2" s="267" t="str">
        <f>IF('Summary | Sumário'!D$6=Names!B$3,Names!AV1,Names!AW1)</f>
        <v>Inter Shop (Managerial, Million)</v>
      </c>
      <c r="C2" s="20" t="str">
        <f>IF('Summary | Sumário'!D$6=Names!B$3,Names!E3,Names!F3)</f>
        <v>4Q20</v>
      </c>
      <c r="D2" s="20" t="str">
        <f>IF('Summary | Sumário'!D$6=Names!B$3,Names!E4,Names!F4)</f>
        <v>1Q21</v>
      </c>
      <c r="E2" s="20" t="str">
        <f>IF('Summary | Sumário'!D$6=Names!B$3,Names!E5,Names!F5)</f>
        <v>2Q21</v>
      </c>
      <c r="F2" s="20" t="str">
        <f>IF('Summary | Sumário'!D$6=Names!B$3,Names!E6,Names!F6)</f>
        <v>3Q21</v>
      </c>
      <c r="G2" s="20" t="str">
        <f>IF('Summary | Sumário'!D$6=Names!B$3,Names!E7,Names!F7)</f>
        <v>4Q21</v>
      </c>
      <c r="H2" s="21" t="str">
        <f>IF('Summary | Sumário'!D$6=Names!B$3,Names!E8,Names!F8)</f>
        <v>1Q22</v>
      </c>
      <c r="I2" s="21" t="str">
        <f>IF('Summary | Sumário'!D$6=Names!B$3,Names!E9,Names!F9)</f>
        <v>2Q22</v>
      </c>
      <c r="J2" s="21" t="str">
        <f>IF('Summary | Sumário'!D$6=Names!B$3,Names!E10,Names!F10)</f>
        <v>3Q22</v>
      </c>
      <c r="K2" s="21" t="str">
        <f>IF('Summary | Sumário'!D$6=Names!B$3,Names!E11,Names!F11)</f>
        <v>4Q22</v>
      </c>
      <c r="L2" s="21" t="str">
        <f>IF('Summary | Sumário'!D$6=Names!B$3,Names!E12,Names!F12)</f>
        <v>1Q23</v>
      </c>
      <c r="M2" s="21" t="str">
        <f>IF('Summary | Sumário'!D$6=Names!B$3,Names!E13,Names!F13)</f>
        <v>2Q23</v>
      </c>
      <c r="N2" s="21" t="str">
        <f>IF('Summary | Sumário'!D$6=Names!B$3,Names!E14,Names!F14)</f>
        <v>3Q23</v>
      </c>
      <c r="O2" s="21" t="str">
        <f>IF('Summary | Sumário'!D$6=Names!B$3,Names!E15,Names!F15)</f>
        <v>4Q23</v>
      </c>
      <c r="P2" s="21" t="str">
        <f>IF('Summary | Sumário'!D$6=Names!B$3,Names!E16,Names!F16)</f>
        <v>1Q24</v>
      </c>
      <c r="Q2" s="21" t="str">
        <f>IF('Summary | Sumário'!D$6=Names!B$3,Names!E17,Names!F17)</f>
        <v>2Q24</v>
      </c>
      <c r="R2" s="21" t="str">
        <f>IF('Summary | Sumário'!D$6=Names!B$3,Names!E18,Names!F18)</f>
        <v>3Q24</v>
      </c>
      <c r="S2" s="21" t="str">
        <f>IF('Summary | Sumário'!D$6=Names!B$3,Names!E19,Names!F19)</f>
        <v>4Q24</v>
      </c>
      <c r="T2" s="21" t="str">
        <f>IF('Summary | Sumário'!D$6=Names!B$3,Names!E20,Names!F20)</f>
        <v>1Q25</v>
      </c>
      <c r="U2" s="21" t="str">
        <f>IF('Summary | Sumário'!D$6=Names!B$3,Names!E21,Names!F21)</f>
        <v>2Q25</v>
      </c>
      <c r="V2" s="21" t="str">
        <f>IF('Summary | Sumário'!D$6=Names!B$3,Names!E22,Names!F22)</f>
        <v>3Q25</v>
      </c>
      <c r="W2" s="268" t="str">
        <f>IF('Summary | Sumário'!D$6=Names!B$3,Names!E26,Names!F26)</f>
        <v>4Q25</v>
      </c>
      <c r="X2" s="321"/>
      <c r="Y2" s="104" t="str">
        <f>IF('Summary | Sumário'!$D$6=Names!$B$3,Names!$I$24,Names!$J$24)</f>
        <v>QoQ Variation</v>
      </c>
      <c r="Z2" s="104" t="str">
        <f>IF('Summary | Sumário'!$D$6=Names!$B$3,Names!$I$25,Names!$J$25)</f>
        <v>YoY Variation</v>
      </c>
      <c r="AA2" s="120"/>
      <c r="AB2" s="119"/>
      <c r="AC2" s="120"/>
      <c r="AD2" s="121"/>
      <c r="AF2" s="123"/>
      <c r="AG2" s="124"/>
    </row>
    <row r="3" spans="2:33" s="150" customFormat="1" ht="13" customHeight="1">
      <c r="B3" s="47"/>
      <c r="C3" s="152"/>
      <c r="D3" s="121"/>
      <c r="E3" s="121"/>
      <c r="F3" s="121"/>
      <c r="G3" s="121"/>
      <c r="H3" s="121"/>
      <c r="I3" s="121"/>
      <c r="J3" s="121"/>
      <c r="K3" s="121"/>
      <c r="L3" s="121"/>
      <c r="M3" s="121"/>
      <c r="N3" s="121"/>
      <c r="O3" s="121"/>
      <c r="P3" s="121"/>
      <c r="Q3" s="121"/>
      <c r="R3" s="121"/>
      <c r="S3" s="121"/>
      <c r="T3" s="121"/>
      <c r="U3" s="121"/>
      <c r="V3" s="121"/>
      <c r="W3" s="121"/>
      <c r="X3" s="121"/>
      <c r="Y3" s="121"/>
      <c r="Z3" s="121"/>
      <c r="AA3" s="121"/>
    </row>
    <row r="4" spans="2:33" ht="13" customHeight="1">
      <c r="B4" s="304" t="str">
        <f>IF('Summary | Sumário'!D$6=Names!B$3,Names!AV2,Names!AW2)</f>
        <v>Inter shop</v>
      </c>
      <c r="C4" s="265"/>
      <c r="D4" s="265"/>
      <c r="E4" s="265"/>
      <c r="F4" s="265"/>
      <c r="G4" s="265"/>
      <c r="H4" s="265"/>
      <c r="I4" s="265"/>
      <c r="J4" s="265"/>
      <c r="K4" s="265"/>
      <c r="L4" s="265"/>
      <c r="M4" s="265"/>
      <c r="N4" s="265"/>
      <c r="O4" s="265"/>
      <c r="P4" s="265"/>
      <c r="Q4" s="265"/>
      <c r="R4" s="265"/>
      <c r="S4" s="265"/>
      <c r="T4" s="265"/>
      <c r="U4" s="265"/>
      <c r="V4" s="265"/>
      <c r="W4" s="265"/>
      <c r="X4" s="265"/>
      <c r="Y4" s="265"/>
      <c r="Z4" s="265"/>
    </row>
    <row r="5" spans="2:33" ht="13" customHeight="1">
      <c r="B5" s="300" t="str">
        <f>IF('Summary | Sumário'!D$6=Names!B$3,Names!AV3,Names!AW3)</f>
        <v>Gross merchandise volume</v>
      </c>
      <c r="C5" s="305">
        <v>632.08809299999996</v>
      </c>
      <c r="D5" s="305">
        <v>675.86323200000004</v>
      </c>
      <c r="E5" s="305">
        <v>774.37923499999999</v>
      </c>
      <c r="F5" s="305">
        <v>946.37195599999995</v>
      </c>
      <c r="G5" s="305">
        <v>1125.0433519999999</v>
      </c>
      <c r="H5" s="305">
        <v>1053.0667530000001</v>
      </c>
      <c r="I5" s="305">
        <v>990.06993699999998</v>
      </c>
      <c r="J5" s="305">
        <v>938.66564000000005</v>
      </c>
      <c r="K5" s="305">
        <v>1003.4261218400001</v>
      </c>
      <c r="L5" s="305">
        <v>829.25831872000003</v>
      </c>
      <c r="M5" s="305">
        <v>755.63938086500002</v>
      </c>
      <c r="N5" s="305">
        <v>869.35878100000002</v>
      </c>
      <c r="O5" s="305">
        <v>1049.8873619999999</v>
      </c>
      <c r="P5" s="305">
        <v>993.72802863999993</v>
      </c>
      <c r="Q5" s="305">
        <v>1136.3548290000001</v>
      </c>
      <c r="R5" s="305">
        <v>1381.38672453</v>
      </c>
      <c r="S5" s="305">
        <v>1468.9165743599999</v>
      </c>
      <c r="T5" s="305">
        <v>1282.482403</v>
      </c>
      <c r="U5" s="305">
        <v>1236.6965090000001</v>
      </c>
      <c r="V5" s="305">
        <v>1402.1078505799999</v>
      </c>
      <c r="W5" s="305">
        <v>1493.7681507100001</v>
      </c>
      <c r="X5" s="374"/>
      <c r="Y5" s="384">
        <f>W5/V5-1</f>
        <v>6.5373216541141144E-2</v>
      </c>
      <c r="Z5" s="384">
        <f>W5/S5-1</f>
        <v>1.6918303451527228E-2</v>
      </c>
    </row>
    <row r="6" spans="2:33" ht="13" customHeight="1">
      <c r="B6" s="102" t="str">
        <f>IF('Summary | Sumário'!D$6=Names!B$3,Names!AV4,Names!AW4)</f>
        <v>Inter Shop net revenues</v>
      </c>
      <c r="C6" s="153"/>
      <c r="D6" s="153">
        <v>5.9970829900000018</v>
      </c>
      <c r="E6" s="153">
        <v>6.3313360000000003</v>
      </c>
      <c r="F6" s="153">
        <v>4.424766909997202</v>
      </c>
      <c r="G6" s="153">
        <v>16.210006369999991</v>
      </c>
      <c r="H6" s="153">
        <v>29.681559900000003</v>
      </c>
      <c r="I6" s="153">
        <v>43.648439909999993</v>
      </c>
      <c r="J6" s="153">
        <v>47.710828999999997</v>
      </c>
      <c r="K6" s="153">
        <v>58.844120670000002</v>
      </c>
      <c r="L6" s="153">
        <v>53.754698779999998</v>
      </c>
      <c r="M6" s="153">
        <v>67.33451371000001</v>
      </c>
      <c r="N6" s="153">
        <v>75.930407540000019</v>
      </c>
      <c r="O6" s="153">
        <v>57.560787499999954</v>
      </c>
      <c r="P6" s="153">
        <v>61.454999999999998</v>
      </c>
      <c r="Q6" s="153">
        <v>67.531000000000006</v>
      </c>
      <c r="R6" s="153">
        <v>85.676000000000002</v>
      </c>
      <c r="S6" s="153">
        <v>107.43899999999999</v>
      </c>
      <c r="T6" s="153">
        <v>92.855000000000004</v>
      </c>
      <c r="U6" s="153">
        <v>93.981999999999999</v>
      </c>
      <c r="V6" s="153">
        <v>102.154</v>
      </c>
      <c r="W6" s="153">
        <v>118.459</v>
      </c>
      <c r="X6" s="153"/>
      <c r="Y6" s="383">
        <f>W6/V6-1</f>
        <v>0.1596119584157254</v>
      </c>
      <c r="Z6" s="383">
        <f>W6/S6-1</f>
        <v>0.10256983032232259</v>
      </c>
    </row>
    <row r="7" spans="2:33" ht="13" customHeight="1">
      <c r="B7" s="103" t="str">
        <f>IF('Summary | Sumário'!D$6=Names!B$3,Names!AV5,Names!AW5)</f>
        <v>Inter Shop net fee revenues</v>
      </c>
      <c r="C7" s="154"/>
      <c r="D7" s="539">
        <v>4.6300749900000024</v>
      </c>
      <c r="E7" s="539">
        <v>3.5682109999999998</v>
      </c>
      <c r="F7" s="539">
        <v>3.0701239099972026</v>
      </c>
      <c r="G7" s="539">
        <v>11.784099369999989</v>
      </c>
      <c r="H7" s="539">
        <v>25.117762640000002</v>
      </c>
      <c r="I7" s="539">
        <v>33.097321000000001</v>
      </c>
      <c r="J7" s="539">
        <v>27.487579</v>
      </c>
      <c r="K7" s="539">
        <v>39.960256999999999</v>
      </c>
      <c r="L7" s="539">
        <v>40.103501000000001</v>
      </c>
      <c r="M7" s="539">
        <v>55.416983999999999</v>
      </c>
      <c r="N7" s="539">
        <v>52.432689730000021</v>
      </c>
      <c r="O7" s="539">
        <v>33.09131547999997</v>
      </c>
      <c r="P7" s="539">
        <v>40.066000000000003</v>
      </c>
      <c r="Q7" s="539">
        <v>39.219000000000001</v>
      </c>
      <c r="R7" s="539">
        <v>57.280999999999999</v>
      </c>
      <c r="S7" s="539">
        <v>69.825000000000003</v>
      </c>
      <c r="T7" s="539">
        <v>56.884999999999998</v>
      </c>
      <c r="U7" s="539">
        <v>58.66</v>
      </c>
      <c r="V7" s="539">
        <v>65.751999999999995</v>
      </c>
      <c r="W7" s="539">
        <v>77.147999999999996</v>
      </c>
      <c r="X7" s="153"/>
      <c r="Y7" s="382">
        <f>W7/V7-1</f>
        <v>0.17331792188830764</v>
      </c>
      <c r="Z7" s="382">
        <f>W7/S7-1</f>
        <v>0.104876476906552</v>
      </c>
    </row>
    <row r="8" spans="2:33" ht="13" customHeight="1">
      <c r="B8" s="603" t="str">
        <f>IF('Summary | Sumário'!D$6=Names!B$3,Names!AV6,Names!AW6)</f>
        <v>Inter Shop net interest revenues</v>
      </c>
      <c r="C8" s="383"/>
      <c r="D8" s="259">
        <v>1.367008</v>
      </c>
      <c r="E8" s="259">
        <v>2.7631250000000001</v>
      </c>
      <c r="F8" s="259">
        <v>1.354643</v>
      </c>
      <c r="G8" s="259">
        <v>4.4259069999999996</v>
      </c>
      <c r="H8" s="259">
        <v>4.5637972600000021</v>
      </c>
      <c r="I8" s="259">
        <v>10.551118909999996</v>
      </c>
      <c r="J8" s="259">
        <v>20.22325</v>
      </c>
      <c r="K8" s="259">
        <v>18.88386367</v>
      </c>
      <c r="L8" s="259">
        <v>13.65119778</v>
      </c>
      <c r="M8" s="259">
        <v>11.917529710000009</v>
      </c>
      <c r="N8" s="259">
        <v>23.497717810000001</v>
      </c>
      <c r="O8" s="259">
        <v>24.469472019999987</v>
      </c>
      <c r="P8" s="259">
        <v>21.388999999999999</v>
      </c>
      <c r="Q8" s="259">
        <v>28.312000000000001</v>
      </c>
      <c r="R8" s="259">
        <v>28.395</v>
      </c>
      <c r="S8" s="259">
        <v>37.613999999999997</v>
      </c>
      <c r="T8" s="259">
        <v>35.97</v>
      </c>
      <c r="U8" s="259">
        <v>35.322000000000003</v>
      </c>
      <c r="V8" s="259">
        <v>36.402000000000001</v>
      </c>
      <c r="W8" s="259">
        <v>41.311</v>
      </c>
      <c r="X8" s="383"/>
      <c r="Y8" s="383">
        <f>W8/V8-1</f>
        <v>0.1348552277347399</v>
      </c>
      <c r="Z8" s="383">
        <f>W8/S8-1</f>
        <v>9.8287871537193761E-2</v>
      </c>
    </row>
    <row r="9" spans="2:33" ht="13" customHeight="1">
      <c r="B9" s="101" t="str">
        <f>IF('Summary | Sumário'!D$6=Names!B$3,Names!AV7,Names!AW7)</f>
        <v>Cashback expenses</v>
      </c>
      <c r="C9" s="154"/>
      <c r="D9" s="154">
        <v>-34.052095009999995</v>
      </c>
      <c r="E9" s="154">
        <v>-49.743684000000002</v>
      </c>
      <c r="F9" s="154">
        <v>-56.019543090002799</v>
      </c>
      <c r="G9" s="154">
        <v>-74.182447630000013</v>
      </c>
      <c r="H9" s="154">
        <v>-69.803044360000001</v>
      </c>
      <c r="I9" s="154">
        <v>-68.918199999999999</v>
      </c>
      <c r="J9" s="154">
        <v>-54.220694999999999</v>
      </c>
      <c r="K9" s="154">
        <v>-53.289734000000003</v>
      </c>
      <c r="L9" s="154">
        <v>-41.187900999999997</v>
      </c>
      <c r="M9" s="154">
        <v>-36.990116999999998</v>
      </c>
      <c r="N9" s="154">
        <v>-48.073910379999994</v>
      </c>
      <c r="O9" s="154">
        <v>-61.597868429999977</v>
      </c>
      <c r="P9" s="154">
        <v>-63.086409609999997</v>
      </c>
      <c r="Q9" s="154">
        <v>-90.809057850000002</v>
      </c>
      <c r="R9" s="154">
        <v>-105.75800392000001</v>
      </c>
      <c r="S9" s="154">
        <v>-103.71176801</v>
      </c>
      <c r="T9" s="154">
        <v>-66.471597310000007</v>
      </c>
      <c r="U9" s="154">
        <v>-57.007750600000001</v>
      </c>
      <c r="V9" s="154">
        <v>-73.187133090000003</v>
      </c>
      <c r="W9" s="154">
        <v>-68.684995000000001</v>
      </c>
      <c r="X9" s="153"/>
      <c r="Y9" s="382">
        <f>W9/V9-1</f>
        <v>-6.1515431742128923E-2</v>
      </c>
      <c r="Z9" s="382">
        <f>W9/S9-1</f>
        <v>-0.33773190528024433</v>
      </c>
      <c r="AA9" s="153"/>
    </row>
    <row r="10" spans="2:33" ht="13" customHeight="1">
      <c r="B10" s="102" t="str">
        <f>IF('Summary | Sumário'!D$6=Names!B$3,Names!AV8,Names!AW8)</f>
        <v>Take rate</v>
      </c>
      <c r="C10" s="155"/>
      <c r="D10" s="155">
        <v>5.9256334867466204E-2</v>
      </c>
      <c r="E10" s="155">
        <v>7.2412866287665884E-2</v>
      </c>
      <c r="F10" s="155">
        <v>6.3869506716447963E-2</v>
      </c>
      <c r="G10" s="155">
        <v>8.0345751867524476E-2</v>
      </c>
      <c r="H10" s="155">
        <v>9.4474809860415385E-2</v>
      </c>
      <c r="I10" s="155">
        <v>0.11369565694630318</v>
      </c>
      <c r="J10" s="155">
        <v>0.10859194334630168</v>
      </c>
      <c r="K10" s="155">
        <v>0.11175098119269428</v>
      </c>
      <c r="L10" s="155">
        <v>0.11449098264886683</v>
      </c>
      <c r="M10" s="155">
        <v>0.13806140118131072</v>
      </c>
      <c r="N10" s="155">
        <v>0.14264101219218031</v>
      </c>
      <c r="O10" s="155">
        <v>0.11349861012042541</v>
      </c>
      <c r="P10" s="155">
        <v>0.1253278126113096</v>
      </c>
      <c r="Q10" s="155">
        <v>0.13875771944292939</v>
      </c>
      <c r="R10" s="155">
        <v>0.13906075624503961</v>
      </c>
      <c r="S10" s="155">
        <v>0.14551457294511727</v>
      </c>
      <c r="T10" s="155">
        <v>0.12627900151391006</v>
      </c>
      <c r="U10" s="155">
        <v>0.12403103710871718</v>
      </c>
      <c r="V10" s="155">
        <v>0.12716791580351156</v>
      </c>
      <c r="W10" s="155">
        <v>0.12696749151456541</v>
      </c>
      <c r="X10" s="155"/>
      <c r="Y10" s="347">
        <f>(W10-V10)*100</f>
        <v>-2.0042428894614939E-2</v>
      </c>
      <c r="Z10" s="347">
        <f>(W10-S10)*100</f>
        <v>-1.8547081430551864</v>
      </c>
    </row>
    <row r="11" spans="2:33" ht="13" customHeight="1">
      <c r="B11" s="101" t="str">
        <f>IF('Summary | Sumário'!D$6=Names!B$3,Names!AV9,Names!AW9)</f>
        <v>Net take rate</v>
      </c>
      <c r="C11" s="156"/>
      <c r="D11" s="156">
        <v>8.8732197670430488E-3</v>
      </c>
      <c r="E11" s="156">
        <v>8.176014688720314E-3</v>
      </c>
      <c r="F11" s="156">
        <v>4.6755051034048211E-3</v>
      </c>
      <c r="G11" s="156">
        <v>1.4408339324154319E-2</v>
      </c>
      <c r="H11" s="156">
        <v>2.8185829450452702E-2</v>
      </c>
      <c r="I11" s="156">
        <v>4.4086218840518131E-2</v>
      </c>
      <c r="J11" s="156">
        <v>5.0828353533852587E-2</v>
      </c>
      <c r="K11" s="156">
        <v>5.8643201915150968E-2</v>
      </c>
      <c r="L11" s="156">
        <v>6.482262229575575E-2</v>
      </c>
      <c r="M11" s="156">
        <v>8.9109323064820209E-2</v>
      </c>
      <c r="N11" s="156">
        <v>8.7340703515594934E-2</v>
      </c>
      <c r="O11" s="156">
        <v>5.4825679004601599E-2</v>
      </c>
      <c r="P11" s="156">
        <v>6.1842997066417132E-2</v>
      </c>
      <c r="Q11" s="156">
        <v>5.8844473639316039E-2</v>
      </c>
      <c r="R11" s="156">
        <v>6.2501453884592439E-2</v>
      </c>
      <c r="S11" s="156">
        <v>7.3141662280453656E-2</v>
      </c>
      <c r="T11" s="156">
        <v>7.2402552879316198E-2</v>
      </c>
      <c r="U11" s="156">
        <v>7.5994392574128308E-2</v>
      </c>
      <c r="V11" s="156">
        <v>7.285744813264021E-2</v>
      </c>
      <c r="W11" s="156">
        <v>7.9302132625933608E-2</v>
      </c>
      <c r="X11" s="155"/>
      <c r="Y11" s="346">
        <f>(W11-V11)*100</f>
        <v>0.64446844932933978</v>
      </c>
      <c r="Z11" s="346">
        <f>(W11-S11)*100</f>
        <v>0.61604703454799514</v>
      </c>
    </row>
    <row r="12" spans="2:33" ht="13" customHeight="1">
      <c r="B12" s="138"/>
      <c r="K12" s="157"/>
      <c r="L12" s="157"/>
      <c r="M12" s="157"/>
      <c r="N12" s="157"/>
      <c r="O12" s="157"/>
      <c r="P12" s="157"/>
      <c r="Q12" s="157"/>
      <c r="R12" s="157"/>
      <c r="S12" s="157"/>
      <c r="T12" s="157"/>
      <c r="U12" s="157"/>
      <c r="V12" s="157"/>
      <c r="W12" s="157"/>
      <c r="X12" s="157"/>
      <c r="Y12" s="157"/>
      <c r="Z12" s="157"/>
    </row>
    <row r="13" spans="2:33" ht="13" customHeight="1">
      <c r="B13" s="138"/>
      <c r="L13" s="158"/>
      <c r="M13" s="158"/>
      <c r="N13" s="158"/>
      <c r="O13" s="158"/>
      <c r="P13" s="158"/>
      <c r="Q13" s="158"/>
      <c r="R13" s="158"/>
      <c r="S13" s="158"/>
      <c r="T13" s="158"/>
      <c r="U13" s="158"/>
      <c r="V13" s="158"/>
      <c r="W13" s="158"/>
      <c r="X13" s="158"/>
      <c r="Y13" s="158"/>
      <c r="Z13" s="158"/>
    </row>
    <row r="14" spans="2:33" ht="13" customHeight="1">
      <c r="B14" s="138"/>
      <c r="K14" s="159"/>
      <c r="L14" s="159"/>
      <c r="M14" s="159"/>
      <c r="N14" s="160"/>
      <c r="O14" s="160"/>
      <c r="P14" s="160"/>
      <c r="Q14" s="160"/>
      <c r="R14" s="160"/>
      <c r="S14" s="160"/>
      <c r="T14" s="160"/>
      <c r="U14" s="160"/>
      <c r="V14" s="160"/>
      <c r="W14" s="160"/>
      <c r="X14" s="160"/>
      <c r="Y14" s="160"/>
      <c r="Z14" s="160"/>
    </row>
    <row r="15" spans="2:33" ht="13" customHeight="1">
      <c r="B15" s="138"/>
      <c r="K15" s="159"/>
      <c r="L15" s="159"/>
      <c r="M15" s="159"/>
      <c r="N15" s="159"/>
      <c r="O15" s="159"/>
      <c r="P15" s="159"/>
      <c r="Q15" s="159"/>
      <c r="R15" s="159"/>
      <c r="S15" s="159"/>
      <c r="T15" s="160"/>
      <c r="U15" s="160"/>
      <c r="V15" s="160"/>
      <c r="W15" s="160"/>
      <c r="X15" s="159"/>
      <c r="Y15" s="159"/>
      <c r="Z15" s="159"/>
    </row>
    <row r="16" spans="2:33" ht="13" customHeight="1">
      <c r="K16" s="159"/>
      <c r="L16" s="159"/>
      <c r="M16" s="159"/>
      <c r="N16" s="159"/>
      <c r="O16" s="159"/>
      <c r="P16" s="159"/>
      <c r="Q16" s="159"/>
      <c r="R16" s="159"/>
      <c r="S16" s="159"/>
      <c r="T16" s="159"/>
      <c r="U16" s="159"/>
      <c r="V16" s="159"/>
      <c r="W16" s="159"/>
      <c r="X16" s="159"/>
      <c r="Y16" s="159"/>
      <c r="Z16" s="159"/>
    </row>
    <row r="17" spans="2:26" ht="13" customHeight="1">
      <c r="B17" s="138"/>
      <c r="K17" s="159"/>
      <c r="L17" s="159"/>
      <c r="M17" s="159"/>
      <c r="N17" s="159"/>
      <c r="O17" s="159"/>
      <c r="P17" s="159"/>
      <c r="Q17" s="159"/>
      <c r="R17" s="159"/>
      <c r="S17" s="159"/>
      <c r="T17" s="604"/>
      <c r="U17" s="604"/>
      <c r="V17" s="604"/>
      <c r="W17" s="604"/>
      <c r="X17" s="159"/>
      <c r="Y17" s="159"/>
      <c r="Z17" s="159"/>
    </row>
    <row r="18" spans="2:26" ht="13" customHeight="1">
      <c r="B18" s="138"/>
      <c r="K18" s="160"/>
      <c r="L18" s="160"/>
      <c r="M18" s="160"/>
      <c r="N18" s="160"/>
      <c r="O18" s="160"/>
      <c r="P18" s="160"/>
      <c r="Q18" s="160"/>
      <c r="R18" s="160"/>
      <c r="S18" s="160"/>
      <c r="T18" s="604"/>
      <c r="U18" s="604"/>
      <c r="V18" s="604"/>
      <c r="W18" s="604"/>
      <c r="X18" s="160"/>
      <c r="Y18" s="160"/>
      <c r="Z18" s="160"/>
    </row>
    <row r="19" spans="2:26" ht="13" customHeight="1">
      <c r="K19" s="159"/>
      <c r="L19" s="159"/>
      <c r="M19" s="159"/>
      <c r="N19" s="159"/>
      <c r="O19" s="159"/>
      <c r="P19" s="159"/>
      <c r="Q19" s="159"/>
      <c r="R19" s="159"/>
      <c r="S19" s="159"/>
      <c r="T19" s="159"/>
      <c r="U19" s="159"/>
      <c r="V19" s="159"/>
      <c r="W19" s="159"/>
      <c r="X19" s="159"/>
      <c r="Y19" s="159"/>
      <c r="Z19" s="159"/>
    </row>
    <row r="20" spans="2:26" ht="13" customHeight="1">
      <c r="B20" s="161"/>
      <c r="K20" s="159"/>
      <c r="L20" s="159"/>
      <c r="M20" s="159"/>
      <c r="N20" s="159"/>
      <c r="O20" s="159"/>
      <c r="P20" s="159"/>
      <c r="Q20" s="159"/>
      <c r="R20" s="159"/>
      <c r="S20" s="159"/>
      <c r="T20" s="159"/>
      <c r="U20" s="159"/>
      <c r="V20" s="159"/>
      <c r="W20" s="159"/>
      <c r="X20" s="159"/>
      <c r="Y20" s="159"/>
      <c r="Z20" s="159"/>
    </row>
    <row r="21" spans="2:26" ht="13" customHeight="1">
      <c r="B21" s="161"/>
    </row>
    <row r="22" spans="2:26" ht="13" customHeight="1">
      <c r="B22" s="161"/>
    </row>
    <row r="23" spans="2:26" ht="13" customHeight="1">
      <c r="B23" s="161"/>
    </row>
    <row r="24" spans="2:26" ht="13" customHeight="1">
      <c r="B24" s="161"/>
    </row>
    <row r="25" spans="2:26" ht="13" customHeight="1">
      <c r="B25" s="161"/>
    </row>
    <row r="26" spans="2:26" ht="13" customHeight="1">
      <c r="B26" s="161"/>
    </row>
  </sheetData>
  <sheetProtection algorithmName="SHA-512" hashValue="AAvJ2OM+VNdvUZj+AIAGgi9EqlpSz/cRV2QzuOF1Bhyx7Ei686wxfeT5cfpIfoZ8ohzRP7R/9i6Pm+VHmt3npA==" saltValue="OpaJG1nmj1lNBZZlK4mh8g=="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F58E-83FA-3A40-847C-12A48BFA15B9}">
  <sheetPr codeName="Sheet26">
    <tabColor rgb="FFFFE9D0"/>
  </sheetPr>
  <dimension ref="A1:AG41"/>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12" width="10.83203125" style="116" customWidth="1"/>
    <col min="13" max="24" width="10.83203125" style="116"/>
    <col min="25" max="25" width="5.83203125" style="116" customWidth="1"/>
    <col min="26" max="16384" width="10.83203125" style="116"/>
  </cols>
  <sheetData>
    <row r="1" spans="1:33"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row>
    <row r="2" spans="1:33" s="122" customFormat="1" ht="13" customHeight="1">
      <c r="B2" s="267" t="str">
        <f>IF('Summary | Sumário'!D$6=Names!B$3,Names!AX1,Names!AY1)</f>
        <v>Digital Account (Managerial, Million)</v>
      </c>
      <c r="C2" s="20" t="str">
        <f>IF('Summary | Sumário'!D$6=Names!B$3,Names!E2,Names!F2)</f>
        <v>4Q19</v>
      </c>
      <c r="D2" s="20" t="str">
        <f>IF('Summary | Sumário'!D$6=Names!B$3,Names!E3,Names!F3)</f>
        <v>4Q20</v>
      </c>
      <c r="E2" s="20" t="str">
        <f>IF('Summary | Sumário'!D$6=Names!B$3,Names!E4,Names!F4)</f>
        <v>1Q21</v>
      </c>
      <c r="F2" s="20" t="str">
        <f>IF('Summary | Sumário'!D$6=Names!B$3,Names!E5,Names!F5)</f>
        <v>2Q21</v>
      </c>
      <c r="G2" s="20"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1" t="str">
        <f>IF('Summary | Sumário'!D$6=Names!B$3,Names!E22,Names!F22)</f>
        <v>3Q25</v>
      </c>
      <c r="X2" s="268" t="str">
        <f>IF('Summary | Sumário'!D$6=Names!B$3,Names!E26,Names!F26)</f>
        <v>4Q25</v>
      </c>
      <c r="Y2" s="321"/>
      <c r="Z2" s="104" t="str">
        <f>IF('Summary | Sumário'!$D$6=Names!$B$3,Names!$I$24,Names!$J$24)</f>
        <v>QoQ Variation</v>
      </c>
      <c r="AA2" s="104" t="str">
        <f>IF('Summary | Sumário'!$D$6=Names!$B$3,Names!$I$25,Names!$J$25)</f>
        <v>YoY Variation</v>
      </c>
      <c r="AB2" s="119"/>
      <c r="AC2" s="120"/>
      <c r="AD2" s="121"/>
      <c r="AF2" s="123"/>
      <c r="AG2" s="124"/>
    </row>
    <row r="3" spans="1:33" ht="13" customHeight="1">
      <c r="B3" s="125"/>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row>
    <row r="4" spans="1:33" ht="13" customHeight="1">
      <c r="A4" s="142"/>
      <c r="B4" s="3" t="str">
        <f>IF('Summary | Sumário'!D$6=Names!B$3,Names!AX3,Names!AY3)</f>
        <v>Number of cards used (in thousands)</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row>
    <row r="5" spans="1:33" s="145" customFormat="1" ht="13" customHeight="1">
      <c r="A5" s="143"/>
      <c r="B5" s="306" t="str">
        <f>IF('Summary | Sumário'!D$6=Names!B$3,Names!AX4,Names!AY4)</f>
        <v>Debit cards used</v>
      </c>
      <c r="C5" s="307">
        <v>1030.944</v>
      </c>
      <c r="D5" s="307">
        <v>2339.578</v>
      </c>
      <c r="E5" s="307">
        <v>2685.1979999999999</v>
      </c>
      <c r="F5" s="307">
        <v>3221.4879999999998</v>
      </c>
      <c r="G5" s="307">
        <v>3711.5329999999999</v>
      </c>
      <c r="H5" s="307">
        <v>4176.7030000000004</v>
      </c>
      <c r="I5" s="307">
        <v>4479.1809999999996</v>
      </c>
      <c r="J5" s="307">
        <v>4970.62</v>
      </c>
      <c r="K5" s="307">
        <v>5442.5770000000002</v>
      </c>
      <c r="L5" s="307">
        <v>5872.8680000000004</v>
      </c>
      <c r="M5" s="307">
        <v>6147.3360000000002</v>
      </c>
      <c r="N5" s="307">
        <v>6463.7240000000002</v>
      </c>
      <c r="O5" s="307">
        <v>6801.2349999999997</v>
      </c>
      <c r="P5" s="307">
        <v>7108.0410000000002</v>
      </c>
      <c r="Q5" s="307">
        <v>7316.8689999999997</v>
      </c>
      <c r="R5" s="307">
        <v>7621.01</v>
      </c>
      <c r="S5" s="307">
        <v>7952.6880000000001</v>
      </c>
      <c r="T5" s="307">
        <v>8228.6579999999994</v>
      </c>
      <c r="U5" s="307">
        <v>8333.8559999999998</v>
      </c>
      <c r="V5" s="307">
        <v>8518.7579999999998</v>
      </c>
      <c r="W5" s="307">
        <v>8711.5229999999992</v>
      </c>
      <c r="X5" s="307">
        <v>8925.8760000000002</v>
      </c>
      <c r="Y5" s="146"/>
      <c r="Z5" s="357">
        <f>X5/W5-1</f>
        <v>2.4605686055125142E-2</v>
      </c>
      <c r="AA5" s="357">
        <f>X5/T5-1</f>
        <v>8.4730462731590128E-2</v>
      </c>
    </row>
    <row r="6" spans="1:33" s="145" customFormat="1" ht="13" customHeight="1">
      <c r="A6" s="143"/>
      <c r="B6" s="56" t="str">
        <f>IF('Summary | Sumário'!D$6=Names!B$3,Names!AX5,Names!AY5)</f>
        <v>Credit cards used</v>
      </c>
      <c r="C6" s="146">
        <v>588.38300000000004</v>
      </c>
      <c r="D6" s="146">
        <v>1295.857</v>
      </c>
      <c r="E6" s="146">
        <v>1590.048</v>
      </c>
      <c r="F6" s="146">
        <v>1798.817</v>
      </c>
      <c r="G6" s="146">
        <v>2193.192</v>
      </c>
      <c r="H6" s="146">
        <v>2729.027</v>
      </c>
      <c r="I6" s="146">
        <v>2902.91</v>
      </c>
      <c r="J6" s="146">
        <v>3119.3670000000002</v>
      </c>
      <c r="K6" s="146">
        <v>3310.114</v>
      </c>
      <c r="L6" s="146">
        <v>3476.1680000000001</v>
      </c>
      <c r="M6" s="146">
        <v>3591.0430000000001</v>
      </c>
      <c r="N6" s="146">
        <v>3525.779</v>
      </c>
      <c r="O6" s="146">
        <v>3637.0610000000001</v>
      </c>
      <c r="P6" s="146">
        <v>3775.3009999999999</v>
      </c>
      <c r="Q6" s="146">
        <v>3844.9839999999999</v>
      </c>
      <c r="R6" s="146">
        <v>3961.181</v>
      </c>
      <c r="S6" s="146">
        <v>4106.3919999999998</v>
      </c>
      <c r="T6" s="146">
        <v>4324.0039999999999</v>
      </c>
      <c r="U6" s="146">
        <v>4543.3180000000002</v>
      </c>
      <c r="V6" s="146">
        <v>4588.1819999999998</v>
      </c>
      <c r="W6" s="146">
        <v>4805.8360000000002</v>
      </c>
      <c r="X6" s="146">
        <v>4877.2619999999997</v>
      </c>
      <c r="Y6" s="146"/>
      <c r="Z6" s="358">
        <f>X6/W6-1</f>
        <v>1.4862346530343462E-2</v>
      </c>
      <c r="AA6" s="358">
        <f>X6/T6-1</f>
        <v>0.12795039042517065</v>
      </c>
    </row>
    <row r="7" spans="1:33" s="145" customFormat="1" ht="13" customHeight="1">
      <c r="A7" s="143"/>
      <c r="B7" s="223"/>
      <c r="C7" s="569"/>
      <c r="D7" s="569"/>
      <c r="E7" s="569"/>
      <c r="F7" s="569"/>
      <c r="G7" s="569"/>
      <c r="H7" s="569"/>
      <c r="I7" s="569"/>
      <c r="J7" s="569"/>
      <c r="K7" s="569"/>
      <c r="L7" s="569"/>
      <c r="M7" s="569"/>
      <c r="N7" s="569"/>
      <c r="O7" s="569"/>
      <c r="P7" s="569"/>
      <c r="Q7" s="569"/>
      <c r="R7" s="569"/>
      <c r="S7" s="569"/>
      <c r="T7" s="569"/>
      <c r="U7" s="569"/>
      <c r="V7" s="569"/>
      <c r="W7" s="569"/>
      <c r="X7" s="569"/>
      <c r="Y7" s="148"/>
      <c r="Z7" s="266"/>
      <c r="AA7" s="266"/>
    </row>
    <row r="8" spans="1:33" ht="13" customHeight="1">
      <c r="A8" s="142"/>
      <c r="B8" s="3" t="str">
        <f>IF('Summary | Sumário'!D$6=Names!B$3,Names!AX8,Names!AY8)</f>
        <v>Cards + PIX TPV (in million)</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5"/>
    </row>
    <row r="9" spans="1:33" s="145" customFormat="1" ht="13" customHeight="1">
      <c r="A9" s="564" t="s">
        <v>1050</v>
      </c>
      <c r="B9" s="306" t="str">
        <f>IF('Summary | Sumário'!D$6=Names!B$3,Names!AX9,Names!AY9)</f>
        <v>Debit TPV</v>
      </c>
      <c r="C9" s="307">
        <v>1890.0661843600001</v>
      </c>
      <c r="D9" s="307">
        <v>5032.0947420000002</v>
      </c>
      <c r="E9" s="307">
        <v>4700.4723899999999</v>
      </c>
      <c r="F9" s="307">
        <v>5866.0523949999997</v>
      </c>
      <c r="G9" s="307">
        <v>7076.1946120000011</v>
      </c>
      <c r="H9" s="307">
        <v>8263.4268090000005</v>
      </c>
      <c r="I9" s="307">
        <v>7695.0063590000009</v>
      </c>
      <c r="J9" s="307">
        <v>8681.7274649999999</v>
      </c>
      <c r="K9" s="307">
        <v>9265.8454089999996</v>
      </c>
      <c r="L9" s="307">
        <v>10533.758581980001</v>
      </c>
      <c r="M9" s="307">
        <v>9913.266527050002</v>
      </c>
      <c r="N9" s="307">
        <v>10401.555399300003</v>
      </c>
      <c r="O9" s="307">
        <v>10856.98690217</v>
      </c>
      <c r="P9" s="307">
        <v>12156.573075690001</v>
      </c>
      <c r="Q9" s="307">
        <v>11260.217286679999</v>
      </c>
      <c r="R9" s="307">
        <v>12007.981544899998</v>
      </c>
      <c r="S9" s="307">
        <v>12609.98808239</v>
      </c>
      <c r="T9" s="307">
        <v>13681.221431990001</v>
      </c>
      <c r="U9" s="307">
        <v>13241.644639572856</v>
      </c>
      <c r="V9" s="307">
        <v>13936.934033919999</v>
      </c>
      <c r="W9" s="307">
        <v>14240.715126723577</v>
      </c>
      <c r="X9" s="307">
        <v>15819.841971597409</v>
      </c>
      <c r="Y9" s="146"/>
      <c r="Z9" s="357">
        <f>X9/W9-1</f>
        <v>0.1108881703497111</v>
      </c>
      <c r="AA9" s="357">
        <f>X9/T9-1</f>
        <v>0.15631795379079216</v>
      </c>
      <c r="AB9" s="565"/>
    </row>
    <row r="10" spans="1:33" s="145" customFormat="1" ht="13" customHeight="1">
      <c r="A10" s="564"/>
      <c r="B10" s="56" t="str">
        <f>IF('Summary | Sumário'!D$6=Names!B$3,Names!AX10,Names!AY10)</f>
        <v>Credit TPV</v>
      </c>
      <c r="C10" s="146">
        <v>994.89999999999986</v>
      </c>
      <c r="D10" s="146">
        <v>2285.6983910000004</v>
      </c>
      <c r="E10" s="146">
        <v>2881.7517969999999</v>
      </c>
      <c r="F10" s="146">
        <v>3569.863468</v>
      </c>
      <c r="G10" s="146">
        <v>4539.470362</v>
      </c>
      <c r="H10" s="146">
        <v>5963.1811199999993</v>
      </c>
      <c r="I10" s="146">
        <v>6388.2015880000008</v>
      </c>
      <c r="J10" s="146">
        <v>7361.6602919999996</v>
      </c>
      <c r="K10" s="146">
        <v>7971.5047679999998</v>
      </c>
      <c r="L10" s="146">
        <v>8589.4409414799993</v>
      </c>
      <c r="M10" s="146">
        <v>8572.7250050000002</v>
      </c>
      <c r="N10" s="146">
        <v>9241.1768100399986</v>
      </c>
      <c r="O10" s="146">
        <v>10330.36308718</v>
      </c>
      <c r="P10" s="146">
        <v>11685.45036375</v>
      </c>
      <c r="Q10" s="146">
        <v>11892.135028350001</v>
      </c>
      <c r="R10" s="146">
        <v>12315.349123649999</v>
      </c>
      <c r="S10" s="146">
        <v>12928.677802909999</v>
      </c>
      <c r="T10" s="146">
        <v>14051.685465590001</v>
      </c>
      <c r="U10" s="146">
        <v>13666.73490071</v>
      </c>
      <c r="V10" s="146">
        <v>14565.3838112794</v>
      </c>
      <c r="W10" s="146">
        <v>15579.583589569998</v>
      </c>
      <c r="X10" s="146">
        <v>16828.3695097374</v>
      </c>
      <c r="Y10" s="146"/>
      <c r="Z10" s="358">
        <f>X10/W10-1</f>
        <v>8.015528226334756E-2</v>
      </c>
      <c r="AA10" s="358">
        <f>X10/T10-1</f>
        <v>0.19760505250042715</v>
      </c>
    </row>
    <row r="11" spans="1:33" s="145" customFormat="1" ht="13" customHeight="1">
      <c r="A11" s="143"/>
      <c r="B11" s="61" t="str">
        <f>IF('Summary | Sumário'!D$6=Names!B$3,Names!AX11,Names!AY11)</f>
        <v>PIX TPV</v>
      </c>
      <c r="C11" s="237">
        <v>0</v>
      </c>
      <c r="D11" s="144">
        <v>7496.17</v>
      </c>
      <c r="E11" s="144">
        <v>36808.78</v>
      </c>
      <c r="F11" s="144">
        <v>57865.009999999995</v>
      </c>
      <c r="G11" s="144">
        <v>80102.45</v>
      </c>
      <c r="H11" s="144">
        <v>94401.95</v>
      </c>
      <c r="I11" s="144">
        <v>97072.540000000008</v>
      </c>
      <c r="J11" s="144">
        <v>117925.45999999999</v>
      </c>
      <c r="K11" s="144">
        <v>138199.15000000002</v>
      </c>
      <c r="L11" s="144">
        <v>158392.04999999999</v>
      </c>
      <c r="M11" s="144">
        <v>162875.34000000003</v>
      </c>
      <c r="N11" s="144">
        <v>177349.25</v>
      </c>
      <c r="O11" s="144">
        <v>198231.50999999998</v>
      </c>
      <c r="P11" s="144">
        <v>229637.61</v>
      </c>
      <c r="Q11" s="144">
        <v>233956.64</v>
      </c>
      <c r="R11" s="144">
        <v>265864.09000000003</v>
      </c>
      <c r="S11" s="144">
        <v>294171.92</v>
      </c>
      <c r="T11" s="144">
        <v>336584.84</v>
      </c>
      <c r="U11" s="144">
        <v>315015.89</v>
      </c>
      <c r="V11" s="144">
        <v>345741.87</v>
      </c>
      <c r="W11" s="144">
        <v>382644.86</v>
      </c>
      <c r="X11" s="144">
        <v>429793.2</v>
      </c>
      <c r="Y11" s="146"/>
      <c r="Z11" s="359">
        <f>X11/W11-1</f>
        <v>0.12321696938513704</v>
      </c>
      <c r="AA11" s="359">
        <f>X11/T11-1</f>
        <v>0.27692382104910007</v>
      </c>
      <c r="AB11" s="565"/>
    </row>
    <row r="12" spans="1:33" ht="13" customHeight="1">
      <c r="B12" s="287" t="str">
        <f>IF('Summary | Sumário'!D$6=Names!B$3,Names!AX12,Names!AY12)</f>
        <v>Cards + PIX TPV</v>
      </c>
      <c r="C12" s="671">
        <f>SUM(C9:C11)</f>
        <v>2884.9661843599997</v>
      </c>
      <c r="D12" s="671">
        <f t="shared" ref="D12:U12" si="0">SUM(D9:D11)</f>
        <v>14813.963133000001</v>
      </c>
      <c r="E12" s="671">
        <f t="shared" si="0"/>
        <v>44391.004186999999</v>
      </c>
      <c r="F12" s="671">
        <f t="shared" si="0"/>
        <v>67300.925862999997</v>
      </c>
      <c r="G12" s="671">
        <f t="shared" si="0"/>
        <v>91718.114973999996</v>
      </c>
      <c r="H12" s="671">
        <f t="shared" si="0"/>
        <v>108628.557929</v>
      </c>
      <c r="I12" s="671">
        <f t="shared" si="0"/>
        <v>111155.74794700001</v>
      </c>
      <c r="J12" s="671">
        <f t="shared" si="0"/>
        <v>133968.84775699998</v>
      </c>
      <c r="K12" s="671">
        <f t="shared" si="0"/>
        <v>155436.50017700001</v>
      </c>
      <c r="L12" s="671">
        <f t="shared" si="0"/>
        <v>177515.24952345999</v>
      </c>
      <c r="M12" s="671">
        <f t="shared" si="0"/>
        <v>181361.33153205004</v>
      </c>
      <c r="N12" s="671">
        <f t="shared" si="0"/>
        <v>196991.98220934</v>
      </c>
      <c r="O12" s="671">
        <f t="shared" si="0"/>
        <v>219418.85998934996</v>
      </c>
      <c r="P12" s="671">
        <f t="shared" si="0"/>
        <v>253479.63343943999</v>
      </c>
      <c r="Q12" s="671">
        <f t="shared" si="0"/>
        <v>257108.99231503002</v>
      </c>
      <c r="R12" s="671">
        <f t="shared" si="0"/>
        <v>290187.42066855001</v>
      </c>
      <c r="S12" s="671">
        <f t="shared" si="0"/>
        <v>319710.58588529995</v>
      </c>
      <c r="T12" s="671">
        <f t="shared" si="0"/>
        <v>364317.74689758004</v>
      </c>
      <c r="U12" s="671">
        <f t="shared" si="0"/>
        <v>341924.2695402829</v>
      </c>
      <c r="V12" s="671">
        <f t="shared" ref="V12:W12" si="1">SUM(V9:V11)</f>
        <v>374244.18784519937</v>
      </c>
      <c r="W12" s="671">
        <f t="shared" si="1"/>
        <v>412465.15871629358</v>
      </c>
      <c r="X12" s="671">
        <f t="shared" ref="X12" si="2">SUM(X9:X11)</f>
        <v>462441.41148133483</v>
      </c>
      <c r="Y12" s="672"/>
      <c r="Z12" s="673">
        <f>X12/W12-1</f>
        <v>0.121164786186017</v>
      </c>
      <c r="AA12" s="673">
        <f>X12/T12-1</f>
        <v>0.2693353958717255</v>
      </c>
    </row>
    <row r="13" spans="1:33" ht="13" customHeight="1">
      <c r="B13" s="138"/>
    </row>
    <row r="14" spans="1:33" ht="13" customHeight="1">
      <c r="B14" s="138"/>
    </row>
    <row r="15" spans="1:33" ht="13" customHeight="1">
      <c r="B15" s="138"/>
    </row>
    <row r="16" spans="1:33" ht="13" customHeight="1">
      <c r="B16" s="138"/>
    </row>
    <row r="17" spans="2:26" ht="13" customHeight="1">
      <c r="B17" s="138"/>
      <c r="H17" s="674"/>
      <c r="X17" s="543"/>
      <c r="Z17" s="543"/>
    </row>
    <row r="18" spans="2:26" ht="13" customHeight="1">
      <c r="B18" s="138"/>
      <c r="X18" s="543"/>
      <c r="Z18" s="543"/>
    </row>
    <row r="19" spans="2:26" ht="13" customHeight="1">
      <c r="B19" s="138"/>
      <c r="X19" s="543"/>
      <c r="Z19" s="543"/>
    </row>
    <row r="20" spans="2:26" ht="13" customHeight="1">
      <c r="B20" s="138"/>
    </row>
    <row r="21" spans="2:26" ht="13" customHeight="1">
      <c r="B21" s="138"/>
    </row>
    <row r="22" spans="2:26" ht="13" customHeight="1">
      <c r="B22" s="138"/>
    </row>
    <row r="23" spans="2:26" ht="13" customHeight="1">
      <c r="B23" s="138"/>
    </row>
    <row r="24" spans="2:26" ht="13" customHeight="1">
      <c r="B24" s="138"/>
    </row>
    <row r="25" spans="2:26" ht="13" customHeight="1">
      <c r="B25" s="138"/>
    </row>
    <row r="26" spans="2:26" ht="13" customHeight="1">
      <c r="B26" s="137"/>
    </row>
    <row r="27" spans="2:26" ht="13" customHeight="1">
      <c r="B27" s="137"/>
    </row>
    <row r="28" spans="2:26" ht="13" customHeight="1">
      <c r="B28" s="137"/>
    </row>
    <row r="29" spans="2:26" ht="13" customHeight="1">
      <c r="B29" s="137"/>
    </row>
    <row r="30" spans="2:26" ht="13" customHeight="1">
      <c r="B30" s="137"/>
    </row>
    <row r="32" spans="2:26" ht="13" customHeight="1">
      <c r="B32" s="138"/>
    </row>
    <row r="33" spans="2:2" ht="13" customHeight="1">
      <c r="B33" s="139"/>
    </row>
    <row r="35" spans="2:2" ht="13" customHeight="1">
      <c r="B35" s="765"/>
    </row>
    <row r="36" spans="2:2" ht="13" customHeight="1">
      <c r="B36" s="765"/>
    </row>
    <row r="37" spans="2:2" ht="13" customHeight="1">
      <c r="B37" s="765"/>
    </row>
    <row r="38" spans="2:2" ht="13" customHeight="1">
      <c r="B38" s="765"/>
    </row>
    <row r="39" spans="2:2" ht="13" customHeight="1">
      <c r="B39" s="765"/>
    </row>
    <row r="40" spans="2:2" ht="13" customHeight="1">
      <c r="B40" s="765"/>
    </row>
    <row r="41" spans="2:2" ht="13" customHeight="1">
      <c r="B41" s="765"/>
    </row>
  </sheetData>
  <sheetProtection algorithmName="SHA-512" hashValue="OxPStxsv8pgNjzH60rGs3yEKtgaJ5qA/KF0BnLVXtiELb9HMrKtt5Hcv/hzeiXklCS5F+m6FsFdLpaW+PmZiig==" saltValue="gA5vL4Ct+ZwPal3DhRIdEg==" spinCount="100000" sheet="1" formatCells="0" formatColumns="0" formatRows="0" insertColumns="0" insertRows="0" insertHyperlinks="0" deleteColumns="0" deleteRows="0" sort="0" autoFilter="0" pivotTables="0"/>
  <mergeCells count="1">
    <mergeCell ref="B35:B41"/>
  </mergeCells>
  <pageMargins left="0.511811024" right="0.511811024" top="0.78740157499999996" bottom="0.78740157499999996" header="0.31496062000000002" footer="0.31496062000000002"/>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0CD10-39BD-0543-84EB-DF1D3923D995}">
  <sheetPr codeName="Sheet27">
    <tabColor rgb="FFFFE9D0"/>
  </sheetPr>
  <dimension ref="B1:AG23"/>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12" width="10.83203125" style="117" customWidth="1"/>
    <col min="13" max="24" width="10.83203125" style="116"/>
    <col min="25" max="25" width="5.83203125" style="116" customWidth="1"/>
    <col min="26" max="16384" width="10.83203125" style="116"/>
  </cols>
  <sheetData>
    <row r="1" spans="2:33" ht="13" customHeight="1">
      <c r="M1" s="117"/>
      <c r="N1" s="117"/>
      <c r="O1" s="117"/>
      <c r="P1" s="117"/>
      <c r="Q1" s="117"/>
      <c r="R1" s="117"/>
      <c r="S1" s="117"/>
      <c r="T1" s="117"/>
      <c r="U1" s="117"/>
      <c r="V1" s="117"/>
      <c r="W1" s="117"/>
      <c r="X1" s="117"/>
      <c r="Y1" s="117"/>
      <c r="Z1" s="117"/>
      <c r="AA1" s="117"/>
      <c r="AB1" s="117"/>
    </row>
    <row r="2" spans="2:33" s="122" customFormat="1" ht="13" customHeight="1">
      <c r="B2" s="267" t="str">
        <f>IF('Summary | Sumário'!D$6=Names!B$3,Names!AZ1,Names!BA1)</f>
        <v>Operational KPIs</v>
      </c>
      <c r="C2" s="20" t="str">
        <f>IF('Summary | Sumário'!D$6=Names!B$3,Names!E2,Names!F2)</f>
        <v>4Q19</v>
      </c>
      <c r="D2" s="20" t="str">
        <f>IF('Summary | Sumário'!D$6=Names!B$3,Names!E3,Names!F3)</f>
        <v>4Q20</v>
      </c>
      <c r="E2" s="20" t="str">
        <f>IF('Summary | Sumário'!D$6=Names!B$3,Names!E4,Names!F4)</f>
        <v>1Q21</v>
      </c>
      <c r="F2" s="20" t="str">
        <f>IF('Summary | Sumário'!D$6=Names!B$3,Names!E5,Names!F5)</f>
        <v>2Q21</v>
      </c>
      <c r="G2" s="20"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1" t="str">
        <f>IF('Summary | Sumário'!D$6=Names!B$3,Names!E22,Names!F22)</f>
        <v>3Q25</v>
      </c>
      <c r="X2" s="268" t="str">
        <f>IF('Summary | Sumário'!D$6=Names!B$3,Names!E26,Names!F26)</f>
        <v>4Q25</v>
      </c>
      <c r="Y2" s="321"/>
      <c r="Z2" s="104" t="str">
        <f>IF('Summary | Sumário'!$D$6=Names!$B$3,Names!$I$24,Names!$J$24)</f>
        <v>QoQ Variation</v>
      </c>
      <c r="AA2" s="104" t="str">
        <f>IF('Summary | Sumário'!$D$6=Names!$B$3,Names!$I$25,Names!$J$25)</f>
        <v>YoY Variation</v>
      </c>
      <c r="AB2" s="119"/>
      <c r="AC2" s="120"/>
      <c r="AD2" s="121"/>
      <c r="AF2" s="123"/>
      <c r="AG2" s="124"/>
    </row>
    <row r="3" spans="2:33"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row>
    <row r="4" spans="2:33" ht="13" customHeight="1">
      <c r="B4" s="304" t="str">
        <f>IF('Summary | Sumário'!D$6=Names!B$3,Names!AZ2,Names!BA2)</f>
        <v>Operational KPIs</v>
      </c>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129"/>
    </row>
    <row r="5" spans="2:33" ht="13" customHeight="1">
      <c r="B5" s="300" t="str">
        <f>IF('Summary | Sumário'!D$6=Names!B$3,Names!AZ5,Names!BA5)</f>
        <v>Total clients (million)</v>
      </c>
      <c r="C5" s="308">
        <v>4.0590010000000003</v>
      </c>
      <c r="D5" s="308">
        <v>8.4555279999999993</v>
      </c>
      <c r="E5" s="308">
        <v>10.18338</v>
      </c>
      <c r="F5" s="308">
        <v>11.976032999999999</v>
      </c>
      <c r="G5" s="308">
        <v>13.905602</v>
      </c>
      <c r="H5" s="308">
        <v>16.348920827116658</v>
      </c>
      <c r="I5" s="308">
        <v>18.574000000000002</v>
      </c>
      <c r="J5" s="308">
        <v>20.724375999999999</v>
      </c>
      <c r="K5" s="308">
        <v>22.766031999999999</v>
      </c>
      <c r="L5" s="308">
        <v>24.662092999999999</v>
      </c>
      <c r="M5" s="308">
        <v>26.288263000000001</v>
      </c>
      <c r="N5" s="308">
        <v>27.774601000000001</v>
      </c>
      <c r="O5" s="308">
        <v>29.374635000000001</v>
      </c>
      <c r="P5" s="308">
        <v>30.363865000000001</v>
      </c>
      <c r="Q5" s="308">
        <v>31.722895999999999</v>
      </c>
      <c r="R5" s="308">
        <v>33.270463999999997</v>
      </c>
      <c r="S5" s="308">
        <v>34.922488000000001</v>
      </c>
      <c r="T5" s="308">
        <v>36.142020000000002</v>
      </c>
      <c r="U5" s="308">
        <v>37.700344999999999</v>
      </c>
      <c r="V5" s="308">
        <v>39.328280999999997</v>
      </c>
      <c r="W5" s="308">
        <v>41.296011</v>
      </c>
      <c r="X5" s="308">
        <v>43.095855999999998</v>
      </c>
      <c r="Y5" s="129"/>
      <c r="Z5" s="385">
        <f>X5/W5-1</f>
        <v>4.3583991683845635E-2</v>
      </c>
      <c r="AA5" s="385">
        <f>X5/T5-1</f>
        <v>0.19240308095673675</v>
      </c>
      <c r="AB5" s="129"/>
    </row>
    <row r="6" spans="2:33" ht="13" customHeight="1">
      <c r="B6" s="102" t="str">
        <f>IF('Summary | Sumário'!D$6=Names!B$3,Names!AZ6,Names!BA6)</f>
        <v>Active clients (million)</v>
      </c>
      <c r="C6" s="131">
        <v>2.2826979999999999</v>
      </c>
      <c r="D6" s="131">
        <v>5.2522799999999998</v>
      </c>
      <c r="E6" s="131">
        <v>6.1326499999999999</v>
      </c>
      <c r="F6" s="131">
        <v>7.0629739999999996</v>
      </c>
      <c r="G6" s="131">
        <v>7.9664520000000003</v>
      </c>
      <c r="H6" s="131">
        <v>8.8263289999999994</v>
      </c>
      <c r="I6" s="131">
        <v>9.6228320000000007</v>
      </c>
      <c r="J6" s="131">
        <v>10.716208999999999</v>
      </c>
      <c r="K6" s="131">
        <v>11.649274</v>
      </c>
      <c r="L6" s="131">
        <v>12.584403999999999</v>
      </c>
      <c r="M6" s="131">
        <v>13.540568</v>
      </c>
      <c r="N6" s="131">
        <v>14.494907</v>
      </c>
      <c r="O6" s="131">
        <v>15.47322</v>
      </c>
      <c r="P6" s="131">
        <v>16.405394000000001</v>
      </c>
      <c r="Q6" s="131">
        <v>17.413702000000001</v>
      </c>
      <c r="R6" s="131">
        <v>18.401989</v>
      </c>
      <c r="S6" s="131">
        <v>19.538504</v>
      </c>
      <c r="T6" s="131">
        <v>20.561736</v>
      </c>
      <c r="U6" s="131">
        <v>21.578842000000002</v>
      </c>
      <c r="V6" s="131">
        <v>22.710922</v>
      </c>
      <c r="W6" s="131">
        <v>23.926410000000001</v>
      </c>
      <c r="X6" s="131">
        <v>24.984497000000001</v>
      </c>
      <c r="Y6" s="131"/>
      <c r="Z6" s="313">
        <f>X6/W6-1</f>
        <v>4.4222555744886094E-2</v>
      </c>
      <c r="AA6" s="313">
        <f>X6/T6-1</f>
        <v>0.21509667277120958</v>
      </c>
      <c r="AB6" s="131"/>
      <c r="AC6" s="132"/>
    </row>
    <row r="7" spans="2:33" ht="13" customHeight="1">
      <c r="B7" s="101" t="str">
        <f>IF('Summary | Sumário'!D$6=Names!B$3,Names!AZ8,Names!BA8)</f>
        <v>Activity rate (%)</v>
      </c>
      <c r="C7" s="516">
        <v>0.56237926524285164</v>
      </c>
      <c r="D7" s="516">
        <v>0.62116523060416806</v>
      </c>
      <c r="E7" s="516">
        <v>0.60222146281490041</v>
      </c>
      <c r="F7" s="516">
        <v>0.5897590629551539</v>
      </c>
      <c r="G7" s="516">
        <v>0.57289515405374036</v>
      </c>
      <c r="H7" s="516">
        <v>0.53987227006203786</v>
      </c>
      <c r="I7" s="516">
        <v>0.51808075804888554</v>
      </c>
      <c r="J7" s="516">
        <v>0.5170823478593517</v>
      </c>
      <c r="K7" s="516">
        <v>0.51169540656008916</v>
      </c>
      <c r="L7" s="516">
        <v>0.51027315483726376</v>
      </c>
      <c r="M7" s="516">
        <v>0.51508036114824318</v>
      </c>
      <c r="N7" s="516">
        <v>0.52187633586527493</v>
      </c>
      <c r="O7" s="516">
        <v>0.52675446009797233</v>
      </c>
      <c r="P7" s="516">
        <v>0.54029333880914043</v>
      </c>
      <c r="Q7" s="516">
        <v>0.54893166122033754</v>
      </c>
      <c r="R7" s="516">
        <v>0.5531028662539843</v>
      </c>
      <c r="S7" s="516">
        <v>0.5594820162870412</v>
      </c>
      <c r="T7" s="516">
        <v>0.56891496380113782</v>
      </c>
      <c r="U7" s="516">
        <v>0.57237783898264061</v>
      </c>
      <c r="V7" s="516">
        <v>0.57747049762993707</v>
      </c>
      <c r="W7" s="516">
        <v>0.57938792199566203</v>
      </c>
      <c r="X7" s="516">
        <v>0.5797424466983554</v>
      </c>
      <c r="Y7" s="134"/>
      <c r="Z7" s="387">
        <f>(X7-W7)*100</f>
        <v>3.5452470269337066E-2</v>
      </c>
      <c r="AA7" s="387">
        <f>(X7-T7)*100</f>
        <v>1.0827482897217577</v>
      </c>
      <c r="AB7" s="134"/>
    </row>
    <row r="8" spans="2:33" ht="13" customHeight="1">
      <c r="B8" s="102" t="str">
        <f>IF('Summary | Sumário'!D$6=Names!B$3,Names!AZ9,Names!BA9)</f>
        <v>Headcount</v>
      </c>
      <c r="C8" s="420">
        <v>1628</v>
      </c>
      <c r="D8" s="420">
        <v>2128</v>
      </c>
      <c r="E8" s="420">
        <v>2452</v>
      </c>
      <c r="F8" s="420">
        <v>2972</v>
      </c>
      <c r="G8" s="420">
        <v>3447</v>
      </c>
      <c r="H8" s="420">
        <v>3900</v>
      </c>
      <c r="I8" s="420">
        <v>3805</v>
      </c>
      <c r="J8" s="420">
        <v>4047</v>
      </c>
      <c r="K8" s="420">
        <v>4057</v>
      </c>
      <c r="L8" s="420">
        <v>4081</v>
      </c>
      <c r="M8" s="420">
        <v>3828</v>
      </c>
      <c r="N8" s="420">
        <v>3433</v>
      </c>
      <c r="O8" s="420">
        <v>3266</v>
      </c>
      <c r="P8" s="420">
        <v>3319</v>
      </c>
      <c r="Q8" s="420">
        <v>3336</v>
      </c>
      <c r="R8" s="420">
        <v>3653</v>
      </c>
      <c r="S8" s="420">
        <v>4357</v>
      </c>
      <c r="T8" s="420">
        <v>4391</v>
      </c>
      <c r="U8" s="420">
        <v>4079</v>
      </c>
      <c r="V8" s="420">
        <v>4081</v>
      </c>
      <c r="W8" s="420">
        <v>4102</v>
      </c>
      <c r="X8" s="420">
        <v>4179</v>
      </c>
      <c r="Y8" s="135"/>
      <c r="Z8" s="313">
        <f>X8/W8-1</f>
        <v>1.8771331058020424E-2</v>
      </c>
      <c r="AA8" s="313">
        <f>X8/T8-1</f>
        <v>-4.8280573901161472E-2</v>
      </c>
      <c r="AB8" s="135"/>
    </row>
    <row r="9" spans="2:33" ht="13" customHeight="1">
      <c r="B9" s="567" t="str">
        <f>IF('Summary | Sumário'!D$6=Names!B$3,Names!AZ10,Names!BA10)</f>
        <v>Active clients per employee (thousands)</v>
      </c>
      <c r="C9" s="568">
        <f t="shared" ref="C9:U9" si="0">C6*1000/C8</f>
        <v>1.4021486486486485</v>
      </c>
      <c r="D9" s="568">
        <f t="shared" si="0"/>
        <v>2.4681766917293233</v>
      </c>
      <c r="E9" s="568">
        <f t="shared" si="0"/>
        <v>2.5010807504078301</v>
      </c>
      <c r="F9" s="568">
        <f t="shared" si="0"/>
        <v>2.3765053835800805</v>
      </c>
      <c r="G9" s="568">
        <f t="shared" si="0"/>
        <v>2.3111261966927765</v>
      </c>
      <c r="H9" s="568">
        <f t="shared" si="0"/>
        <v>2.2631612820512821</v>
      </c>
      <c r="I9" s="568">
        <f t="shared" si="0"/>
        <v>2.5289965834428383</v>
      </c>
      <c r="J9" s="568">
        <f t="shared" si="0"/>
        <v>2.6479389671361502</v>
      </c>
      <c r="K9" s="568">
        <f t="shared" si="0"/>
        <v>2.8714010352477199</v>
      </c>
      <c r="L9" s="568">
        <f t="shared" si="0"/>
        <v>3.0836569468267578</v>
      </c>
      <c r="M9" s="568">
        <f t="shared" si="0"/>
        <v>3.5372434691745038</v>
      </c>
      <c r="N9" s="568">
        <f t="shared" si="0"/>
        <v>4.2222274978153216</v>
      </c>
      <c r="O9" s="568">
        <f t="shared" si="0"/>
        <v>4.7376668707899565</v>
      </c>
      <c r="P9" s="568">
        <f t="shared" si="0"/>
        <v>4.942872551973486</v>
      </c>
      <c r="Q9" s="568">
        <f t="shared" si="0"/>
        <v>5.2199346522781775</v>
      </c>
      <c r="R9" s="568">
        <f t="shared" si="0"/>
        <v>5.0375004106214076</v>
      </c>
      <c r="S9" s="568">
        <f t="shared" si="0"/>
        <v>4.4843938489786552</v>
      </c>
      <c r="T9" s="568">
        <f t="shared" si="0"/>
        <v>4.6827000683215667</v>
      </c>
      <c r="U9" s="568">
        <f t="shared" si="0"/>
        <v>5.2902284873743568</v>
      </c>
      <c r="V9" s="568">
        <f t="shared" ref="V9:W9" si="1">V6*1000/V8</f>
        <v>5.5650384709629988</v>
      </c>
      <c r="W9" s="568">
        <f t="shared" si="1"/>
        <v>5.8328644563627501</v>
      </c>
      <c r="X9" s="568">
        <f t="shared" ref="X9" si="2">X6*1000/X8</f>
        <v>5.9785826752811673</v>
      </c>
      <c r="Y9" s="130"/>
      <c r="Z9" s="368">
        <f>X9/W9-1</f>
        <v>2.4982274148246608E-2</v>
      </c>
      <c r="AA9" s="368">
        <f>X9/T9-1</f>
        <v>0.27673833216998833</v>
      </c>
      <c r="AB9" s="130"/>
    </row>
    <row r="10" spans="2:33" ht="13" customHeight="1">
      <c r="B10" s="137" t="str">
        <f>IF('Summary | Sumário'!D$6=Names!B$3,Names!AZ4,Names!BA4)</f>
        <v>NPS</v>
      </c>
      <c r="C10" s="420">
        <v>65</v>
      </c>
      <c r="D10" s="420">
        <v>83</v>
      </c>
      <c r="E10" s="420">
        <v>80</v>
      </c>
      <c r="F10" s="420">
        <v>84</v>
      </c>
      <c r="G10" s="420">
        <v>83</v>
      </c>
      <c r="H10" s="420">
        <v>83</v>
      </c>
      <c r="I10" s="420">
        <v>83</v>
      </c>
      <c r="J10" s="420">
        <v>81</v>
      </c>
      <c r="K10" s="420">
        <v>81</v>
      </c>
      <c r="L10" s="420">
        <v>85</v>
      </c>
      <c r="M10" s="420">
        <v>84</v>
      </c>
      <c r="N10" s="420">
        <v>84</v>
      </c>
      <c r="O10" s="420">
        <v>85</v>
      </c>
      <c r="P10" s="420">
        <v>85</v>
      </c>
      <c r="Q10" s="420">
        <v>85</v>
      </c>
      <c r="R10" s="420">
        <v>85</v>
      </c>
      <c r="S10" s="420">
        <v>84</v>
      </c>
      <c r="T10" s="420">
        <v>85</v>
      </c>
      <c r="U10" s="420">
        <v>85</v>
      </c>
      <c r="V10" s="420">
        <v>85</v>
      </c>
      <c r="W10" s="420">
        <v>85</v>
      </c>
      <c r="X10" s="420">
        <v>85</v>
      </c>
      <c r="Z10" s="313">
        <f>X10/W10-1</f>
        <v>0</v>
      </c>
      <c r="AA10" s="313">
        <f>X10/T10-1</f>
        <v>0</v>
      </c>
    </row>
    <row r="11" spans="2:33" ht="13" customHeight="1">
      <c r="B11" s="137"/>
    </row>
    <row r="12" spans="2:33" ht="13" customHeight="1">
      <c r="B12" s="137"/>
      <c r="D12" s="670"/>
      <c r="E12" s="670"/>
      <c r="F12" s="670"/>
      <c r="G12" s="670"/>
      <c r="H12" s="670"/>
      <c r="I12" s="670"/>
      <c r="J12" s="670"/>
      <c r="K12" s="670"/>
      <c r="L12" s="670"/>
      <c r="M12" s="670"/>
      <c r="N12" s="670"/>
      <c r="O12" s="670"/>
      <c r="P12" s="670"/>
      <c r="Q12" s="670"/>
      <c r="R12" s="670"/>
      <c r="S12" s="670"/>
      <c r="T12" s="670"/>
      <c r="U12" s="670"/>
      <c r="V12" s="670"/>
      <c r="W12" s="670"/>
      <c r="X12" s="670"/>
    </row>
    <row r="13" spans="2:33" ht="13" customHeight="1">
      <c r="U13" s="525"/>
      <c r="V13" s="525"/>
      <c r="W13" s="525"/>
      <c r="X13" s="525"/>
    </row>
    <row r="14" spans="2:33" ht="13" customHeight="1">
      <c r="B14" s="138"/>
    </row>
    <row r="15" spans="2:33" ht="13" customHeight="1">
      <c r="B15" s="139"/>
    </row>
    <row r="17" spans="2:33" s="117" customFormat="1" ht="13" customHeight="1">
      <c r="B17" s="765"/>
      <c r="M17" s="116"/>
      <c r="N17" s="116"/>
      <c r="O17" s="116"/>
      <c r="P17" s="116"/>
      <c r="Q17" s="116"/>
      <c r="R17" s="116"/>
      <c r="S17" s="116"/>
      <c r="T17" s="116"/>
      <c r="U17" s="116"/>
      <c r="V17" s="116"/>
      <c r="W17" s="116"/>
      <c r="X17" s="116"/>
      <c r="Y17" s="116"/>
      <c r="Z17" s="116"/>
      <c r="AA17" s="116"/>
      <c r="AB17" s="116"/>
      <c r="AC17" s="116"/>
      <c r="AD17" s="116"/>
      <c r="AE17" s="116"/>
      <c r="AF17" s="116"/>
      <c r="AG17" s="116"/>
    </row>
    <row r="18" spans="2:33" s="117" customFormat="1" ht="13" customHeight="1">
      <c r="B18" s="765"/>
      <c r="M18" s="116"/>
      <c r="N18" s="116"/>
      <c r="O18" s="116"/>
      <c r="P18" s="116"/>
      <c r="Q18" s="116"/>
      <c r="R18" s="116"/>
      <c r="S18" s="116"/>
      <c r="T18" s="116"/>
      <c r="U18" s="116"/>
      <c r="V18" s="116"/>
      <c r="W18" s="116"/>
      <c r="X18" s="116"/>
      <c r="Y18" s="116"/>
      <c r="Z18" s="116"/>
      <c r="AA18" s="116"/>
      <c r="AB18" s="116"/>
      <c r="AC18" s="116"/>
      <c r="AD18" s="116"/>
      <c r="AE18" s="116"/>
      <c r="AF18" s="116"/>
      <c r="AG18" s="116"/>
    </row>
    <row r="19" spans="2:33" s="117" customFormat="1" ht="13" customHeight="1">
      <c r="B19" s="765"/>
      <c r="M19" s="116"/>
      <c r="N19" s="116"/>
      <c r="O19" s="116"/>
      <c r="P19" s="116"/>
      <c r="Q19" s="116"/>
      <c r="R19" s="116"/>
      <c r="S19" s="116"/>
      <c r="T19" s="116"/>
      <c r="U19" s="116"/>
      <c r="V19" s="116"/>
      <c r="W19" s="116"/>
      <c r="X19" s="116"/>
      <c r="Y19" s="116"/>
      <c r="Z19" s="116"/>
      <c r="AA19" s="116"/>
      <c r="AB19" s="116"/>
      <c r="AC19" s="116"/>
      <c r="AD19" s="116"/>
      <c r="AE19" s="116"/>
      <c r="AF19" s="116"/>
      <c r="AG19" s="116"/>
    </row>
    <row r="20" spans="2:33" s="117" customFormat="1" ht="13" customHeight="1">
      <c r="B20" s="765"/>
      <c r="D20" s="141"/>
      <c r="M20" s="116"/>
      <c r="N20" s="116"/>
      <c r="O20" s="116"/>
      <c r="P20" s="116"/>
      <c r="Q20" s="116"/>
      <c r="R20" s="116"/>
      <c r="S20" s="116"/>
      <c r="T20" s="116"/>
      <c r="U20" s="116"/>
      <c r="V20" s="116"/>
      <c r="W20" s="116"/>
      <c r="X20" s="116"/>
      <c r="Y20" s="116"/>
      <c r="Z20" s="116"/>
      <c r="AA20" s="116"/>
      <c r="AB20" s="116"/>
      <c r="AC20" s="116"/>
      <c r="AD20" s="116"/>
      <c r="AE20" s="116"/>
      <c r="AF20" s="116"/>
      <c r="AG20" s="116"/>
    </row>
    <row r="21" spans="2:33" s="117" customFormat="1" ht="13" customHeight="1">
      <c r="B21" s="765"/>
      <c r="J21" s="140"/>
      <c r="M21" s="116"/>
      <c r="N21" s="116"/>
      <c r="O21" s="116"/>
      <c r="P21" s="116"/>
      <c r="Q21" s="116"/>
      <c r="R21" s="116"/>
      <c r="S21" s="116"/>
      <c r="T21" s="116"/>
      <c r="U21" s="116"/>
      <c r="V21" s="116"/>
      <c r="W21" s="116"/>
      <c r="X21" s="116"/>
      <c r="Y21" s="116"/>
      <c r="Z21" s="116"/>
      <c r="AA21" s="116"/>
      <c r="AB21" s="116"/>
      <c r="AC21" s="116"/>
      <c r="AD21" s="116"/>
      <c r="AE21" s="116"/>
      <c r="AF21" s="116"/>
      <c r="AG21" s="116"/>
    </row>
    <row r="22" spans="2:33" s="117" customFormat="1" ht="13" customHeight="1">
      <c r="B22" s="765"/>
      <c r="M22" s="116"/>
      <c r="N22" s="116"/>
      <c r="O22" s="116"/>
      <c r="P22" s="116"/>
      <c r="Q22" s="116"/>
      <c r="R22" s="116"/>
      <c r="S22" s="116"/>
      <c r="T22" s="116"/>
      <c r="U22" s="116"/>
      <c r="V22" s="116"/>
      <c r="W22" s="116"/>
      <c r="X22" s="116"/>
      <c r="Y22" s="116"/>
      <c r="Z22" s="116"/>
      <c r="AA22" s="116"/>
      <c r="AB22" s="116"/>
      <c r="AC22" s="116"/>
      <c r="AD22" s="116"/>
      <c r="AE22" s="116"/>
      <c r="AF22" s="116"/>
      <c r="AG22" s="116"/>
    </row>
    <row r="23" spans="2:33" s="117" customFormat="1" ht="13" customHeight="1">
      <c r="B23" s="765"/>
      <c r="M23" s="116"/>
      <c r="N23" s="116"/>
      <c r="O23" s="116"/>
      <c r="P23" s="116"/>
      <c r="Q23" s="116"/>
      <c r="R23" s="116"/>
      <c r="S23" s="116"/>
      <c r="T23" s="116"/>
      <c r="U23" s="116"/>
      <c r="V23" s="116"/>
      <c r="W23" s="116"/>
      <c r="X23" s="116"/>
      <c r="Y23" s="116"/>
      <c r="Z23" s="116"/>
      <c r="AA23" s="116"/>
      <c r="AB23" s="116"/>
      <c r="AC23" s="116"/>
      <c r="AD23" s="116"/>
      <c r="AE23" s="116"/>
      <c r="AF23" s="116"/>
      <c r="AG23" s="116"/>
    </row>
  </sheetData>
  <sheetProtection algorithmName="SHA-512" hashValue="7eDIRwk8g2JcKA+xzbhsshykIsb/zfSu5TQI+ociIBSiQKrDOt5LsjyfSQlkUiECF08agyTr1yjO2RAgHWbKGQ==" saltValue="v9n2TG0SHp7UxaOyxYuggg==" spinCount="100000" sheet="1" formatCells="0" formatColumns="0" formatRows="0" insertColumns="0" insertRows="0" insertHyperlinks="0" deleteColumns="0" deleteRows="0" sort="0" autoFilter="0" pivotTables="0"/>
  <mergeCells count="1">
    <mergeCell ref="B17:B23"/>
  </mergeCells>
  <pageMargins left="0.511811024" right="0.511811024" top="0.78740157499999996" bottom="0.78740157499999996" header="0.31496062000000002" footer="0.31496062000000002"/>
  <pageSetup paperSize="9" orientation="portrait" horizontalDpi="0" verticalDpi="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7B48-AEE5-3145-B617-B2690219AFDE}">
  <sheetPr codeName="Sheet28">
    <tabColor rgb="FFE1E2E1"/>
  </sheetPr>
  <dimension ref="B1:AF33"/>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18" width="10.83203125" style="116"/>
    <col min="19" max="20" width="10.83203125" style="116" bestFit="1"/>
    <col min="21" max="22" width="10.83203125" style="116"/>
    <col min="23" max="23" width="5.83203125" style="116" customWidth="1"/>
    <col min="24" max="25" width="10.83203125" style="116"/>
    <col min="26" max="26" width="5.83203125" style="116" customWidth="1"/>
    <col min="27" max="27" width="129.6640625" style="116" bestFit="1" customWidth="1"/>
    <col min="28" max="16384" width="10.83203125" style="116"/>
  </cols>
  <sheetData>
    <row r="1" spans="2:32"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row>
    <row r="2" spans="2:32" s="122" customFormat="1" ht="13" customHeight="1">
      <c r="B2" s="267" t="str">
        <f>IF('Summary | Sumário'!D$6=Names!B$3,Names!CB1,Names!CC1)</f>
        <v>Market Data - Brazil (Millions)</v>
      </c>
      <c r="C2" s="21" t="str">
        <f>IF('Summary | Sumário'!D$6=Names!B$3,Names!E4,Names!F4)</f>
        <v>1Q21</v>
      </c>
      <c r="D2" s="21" t="str">
        <f>IF('Summary | Sumário'!D$6=Names!B$3,Names!E5,Names!F5)</f>
        <v>2Q21</v>
      </c>
      <c r="E2" s="21" t="str">
        <f>IF('Summary | Sumário'!D$6=Names!B$3,Names!E6,Names!F6)</f>
        <v>3Q21</v>
      </c>
      <c r="F2" s="21" t="str">
        <f>IF('Summary | Sumário'!D$6=Names!B$3,Names!E7,Names!F7)</f>
        <v>4Q21</v>
      </c>
      <c r="G2" s="21" t="str">
        <f>IF('Summary | Sumário'!D$6=Names!B$3,Names!E8,Names!F8)</f>
        <v>1Q22</v>
      </c>
      <c r="H2" s="21" t="str">
        <f>IF('Summary | Sumário'!D$6=Names!B$3,Names!E9,Names!F9)</f>
        <v>2Q22</v>
      </c>
      <c r="I2" s="21" t="str">
        <f>IF('Summary | Sumário'!D$6=Names!B$3,Names!E10,Names!F10)</f>
        <v>3Q22</v>
      </c>
      <c r="J2" s="21" t="str">
        <f>IF('Summary | Sumário'!D$6=Names!B$3,Names!E11,Names!F11)</f>
        <v>4Q22</v>
      </c>
      <c r="K2" s="21" t="str">
        <f>IF('Summary | Sumário'!D$6=Names!B$3,Names!E12,Names!F12)</f>
        <v>1Q23</v>
      </c>
      <c r="L2" s="21" t="str">
        <f>IF('Summary | Sumário'!D$6=Names!B$3,Names!E13,Names!F13)</f>
        <v>2Q23</v>
      </c>
      <c r="M2" s="21" t="str">
        <f>IF('Summary | Sumário'!D$6=Names!B$3,Names!E14,Names!F14)</f>
        <v>3Q23</v>
      </c>
      <c r="N2" s="21" t="str">
        <f>IF('Summary | Sumário'!D$6=Names!B$3,Names!E15,Names!F15)</f>
        <v>4Q23</v>
      </c>
      <c r="O2" s="21" t="str">
        <f>IF('Summary | Sumário'!D$6=Names!B$3,Names!E16,Names!F16)</f>
        <v>1Q24</v>
      </c>
      <c r="P2" s="21" t="str">
        <f>IF('Summary | Sumário'!D$6=Names!B$3,Names!E17,Names!F17)</f>
        <v>2Q24</v>
      </c>
      <c r="Q2" s="21" t="str">
        <f>IF('Summary | Sumário'!D$6=Names!B$3,Names!E18,Names!F18)</f>
        <v>3Q24</v>
      </c>
      <c r="R2" s="21" t="str">
        <f>IF('Summary | Sumário'!D$6=Names!B$3,Names!E19,Names!F19)</f>
        <v>4Q24</v>
      </c>
      <c r="S2" s="668" t="str">
        <f>IF('Summary | Sumário'!D$6=Names!B$3,Names!E20,Names!F20)</f>
        <v>1Q25</v>
      </c>
      <c r="T2" s="668" t="str">
        <f>IF('Summary | Sumário'!D$6=Names!B$3,Names!E21,Names!F21)</f>
        <v>2Q25</v>
      </c>
      <c r="U2" s="668" t="str">
        <f>IF('Summary | Sumário'!D$6=Names!B$3,Names!E22,Names!F22)</f>
        <v>3Q25</v>
      </c>
      <c r="V2" s="268" t="str">
        <f>IF('Summary | Sumário'!D$6=Names!B$3,Names!E26,Names!F26)</f>
        <v>4Q25</v>
      </c>
      <c r="W2" s="321"/>
      <c r="X2" s="104" t="str">
        <f>IF('Summary | Sumário'!$D$6=Names!$B$3,Names!$I$24,Names!$J$24)</f>
        <v>QoQ Variation</v>
      </c>
      <c r="Y2" s="104" t="str">
        <f>IF('Summary | Sumário'!$D$6=Names!$B$3,Names!$I$25,Names!$J$25)</f>
        <v>YoY Variation</v>
      </c>
      <c r="Z2" s="104"/>
      <c r="AA2" s="119"/>
      <c r="AB2" s="120"/>
      <c r="AC2" s="121"/>
      <c r="AE2" s="123"/>
      <c r="AF2" s="124"/>
    </row>
    <row r="3" spans="2:32" ht="13" customHeight="1">
      <c r="B3" s="14"/>
      <c r="C3" s="127"/>
      <c r="D3" s="127"/>
      <c r="E3" s="127"/>
      <c r="F3" s="127"/>
      <c r="G3" s="127"/>
      <c r="H3" s="127"/>
      <c r="I3" s="127"/>
      <c r="J3" s="127"/>
      <c r="K3" s="127"/>
      <c r="L3" s="127"/>
      <c r="M3" s="127"/>
      <c r="N3" s="127"/>
      <c r="O3" s="127"/>
      <c r="P3" s="127"/>
      <c r="Q3" s="127"/>
      <c r="R3" s="127"/>
      <c r="S3" s="660"/>
      <c r="T3" s="660"/>
      <c r="U3" s="660"/>
      <c r="V3" s="660"/>
      <c r="W3" s="127"/>
      <c r="X3" s="127"/>
      <c r="Y3" s="127"/>
      <c r="Z3" s="127"/>
      <c r="AA3" s="127"/>
    </row>
    <row r="4" spans="2:32" ht="13" customHeight="1">
      <c r="B4" s="304" t="str">
        <f>IF('Summary | Sumário'!D$6=Names!B$3,Names!CB4,Names!CC4)</f>
        <v>Banking Accounts - Brazil</v>
      </c>
      <c r="C4" s="265"/>
      <c r="D4" s="265"/>
      <c r="E4" s="265"/>
      <c r="F4" s="265"/>
      <c r="G4" s="265"/>
      <c r="H4" s="265"/>
      <c r="I4" s="265"/>
      <c r="J4" s="265"/>
      <c r="K4" s="265"/>
      <c r="L4" s="265"/>
      <c r="M4" s="265"/>
      <c r="N4" s="265"/>
      <c r="O4" s="265"/>
      <c r="P4" s="265"/>
      <c r="Q4" s="265"/>
      <c r="R4" s="265"/>
      <c r="S4" s="661"/>
      <c r="T4" s="661"/>
      <c r="U4" s="661"/>
      <c r="V4" s="661"/>
      <c r="W4" s="265"/>
      <c r="X4" s="265"/>
      <c r="Y4" s="265"/>
      <c r="Z4" s="265"/>
      <c r="AA4" s="398" t="str">
        <f>IF('Summary | Sumário'!D$6=Names!B$3,Names!CB2,Names!CC2)</f>
        <v>Source</v>
      </c>
    </row>
    <row r="5" spans="2:32" ht="13" customHeight="1">
      <c r="B5" s="401" t="str">
        <f>IF('Summary | Sumário'!D$6=Names!B$3,Names!CB5,Names!CC5)</f>
        <v>Individuals with Banking Accounts</v>
      </c>
      <c r="C5" s="402">
        <v>180.230211</v>
      </c>
      <c r="D5" s="402">
        <v>181.31761900000001</v>
      </c>
      <c r="E5" s="402">
        <v>182.49014099999999</v>
      </c>
      <c r="F5" s="402">
        <v>182.21805499999999</v>
      </c>
      <c r="G5" s="402">
        <v>183.36628300000001</v>
      </c>
      <c r="H5" s="402">
        <v>184.76697899999999</v>
      </c>
      <c r="I5" s="402">
        <v>186.43217199999998</v>
      </c>
      <c r="J5" s="402">
        <v>188.33574200000001</v>
      </c>
      <c r="K5" s="402">
        <v>190.285642</v>
      </c>
      <c r="L5" s="402">
        <v>191.557106</v>
      </c>
      <c r="M5" s="402">
        <v>192.98458300000001</v>
      </c>
      <c r="N5" s="402">
        <v>194.119812</v>
      </c>
      <c r="O5" s="402">
        <v>196.06822599999998</v>
      </c>
      <c r="P5" s="402">
        <v>197.62343799999999</v>
      </c>
      <c r="Q5" s="402">
        <v>198.954015</v>
      </c>
      <c r="R5" s="402">
        <v>199.78123600000001</v>
      </c>
      <c r="S5" s="402">
        <v>201.207798</v>
      </c>
      <c r="T5" s="402">
        <f>202.520375</f>
        <v>202.520375</v>
      </c>
      <c r="U5" s="402">
        <v>203.50046499999999</v>
      </c>
      <c r="V5" s="402">
        <v>204.37422000000001</v>
      </c>
      <c r="W5" s="129"/>
      <c r="X5" s="416">
        <f>V5/U5-1</f>
        <v>4.2936265526469786E-3</v>
      </c>
      <c r="Y5" s="416">
        <f>V5/R5-1</f>
        <v>2.299006699508066E-2</v>
      </c>
      <c r="Z5" s="129"/>
      <c r="AA5" s="422" t="str">
        <f>Names!CD5</f>
        <v>Estatísticas do CCS - Banco Central do Brasil</v>
      </c>
      <c r="AB5" s="423"/>
    </row>
    <row r="6" spans="2:32" ht="13" customHeight="1">
      <c r="B6" s="102" t="str">
        <f>IF('Summary | Sumário'!D$6=Names!B$3,Names!CB6,Names!CC6)</f>
        <v>Business with Banking Accounts</v>
      </c>
      <c r="C6" s="129">
        <v>13.669084999999999</v>
      </c>
      <c r="D6" s="129">
        <v>14.088994000000001</v>
      </c>
      <c r="E6" s="129">
        <v>14.457945</v>
      </c>
      <c r="F6" s="129">
        <v>14.997128</v>
      </c>
      <c r="G6" s="129">
        <v>15.612392</v>
      </c>
      <c r="H6" s="129">
        <v>16.169655000000002</v>
      </c>
      <c r="I6" s="129">
        <v>16.966272</v>
      </c>
      <c r="J6" s="129">
        <v>17.540289000000001</v>
      </c>
      <c r="K6" s="129">
        <v>18.049762999999999</v>
      </c>
      <c r="L6" s="129">
        <v>18.617251</v>
      </c>
      <c r="M6" s="129">
        <v>19.128495999999998</v>
      </c>
      <c r="N6" s="129">
        <v>19.621282000000001</v>
      </c>
      <c r="O6" s="129">
        <v>20.171491999999997</v>
      </c>
      <c r="P6" s="129">
        <v>20.718002000000002</v>
      </c>
      <c r="Q6" s="129">
        <v>21.388135999999999</v>
      </c>
      <c r="R6" s="129">
        <v>21.019017000000002</v>
      </c>
      <c r="S6" s="662">
        <v>21.430033000000002</v>
      </c>
      <c r="T6" s="662">
        <f>21.468087</f>
        <v>21.468087000000001</v>
      </c>
      <c r="U6" s="662">
        <v>22.046775</v>
      </c>
      <c r="V6" s="662">
        <v>22.115888999999999</v>
      </c>
      <c r="W6" s="130"/>
      <c r="X6" s="386">
        <f>V6/U6-1</f>
        <v>3.1348802716042456E-3</v>
      </c>
      <c r="Y6" s="386">
        <f>V6/R6-1</f>
        <v>5.2184742987742894E-2</v>
      </c>
      <c r="Z6" s="130"/>
      <c r="AA6" s="424" t="str">
        <f>Names!CD6</f>
        <v>Estatísticas do CCS - Banco Central do Brasil</v>
      </c>
      <c r="AB6" s="423"/>
    </row>
    <row r="7" spans="2:32" ht="13" customHeight="1">
      <c r="B7" s="403"/>
      <c r="C7" s="404"/>
      <c r="D7" s="404"/>
      <c r="E7" s="404"/>
      <c r="F7" s="404"/>
      <c r="G7" s="404"/>
      <c r="H7" s="404"/>
      <c r="I7" s="404"/>
      <c r="J7" s="404"/>
      <c r="K7" s="404"/>
      <c r="L7" s="404"/>
      <c r="M7" s="404"/>
      <c r="N7" s="404"/>
      <c r="O7" s="404"/>
      <c r="P7" s="404"/>
      <c r="Q7" s="404"/>
      <c r="R7" s="404"/>
      <c r="S7" s="404"/>
      <c r="T7" s="404"/>
      <c r="U7" s="404"/>
      <c r="V7" s="404"/>
      <c r="W7" s="131"/>
      <c r="X7" s="404"/>
      <c r="Y7" s="404"/>
      <c r="Z7" s="131"/>
      <c r="AA7" s="405"/>
      <c r="AB7" s="132"/>
    </row>
    <row r="8" spans="2:32" ht="13" customHeight="1">
      <c r="B8" s="304" t="str">
        <f>IF('Summary | Sumário'!D$6=Names!B$3,Names!CB9,Names!CC9)</f>
        <v>TPV</v>
      </c>
      <c r="C8" s="133"/>
      <c r="D8" s="133"/>
      <c r="E8" s="133"/>
      <c r="F8" s="133"/>
      <c r="G8" s="133"/>
      <c r="H8" s="133"/>
      <c r="I8" s="133"/>
      <c r="J8" s="133"/>
      <c r="K8" s="133"/>
      <c r="L8" s="133"/>
      <c r="M8" s="133"/>
      <c r="N8" s="133"/>
      <c r="O8" s="133"/>
      <c r="P8" s="133"/>
      <c r="Q8" s="133"/>
      <c r="R8" s="133"/>
      <c r="S8" s="663"/>
      <c r="T8" s="663"/>
      <c r="U8" s="663"/>
      <c r="V8" s="663"/>
      <c r="W8" s="133"/>
      <c r="X8" s="133"/>
      <c r="Y8" s="133"/>
      <c r="Z8" s="133"/>
      <c r="AA8" s="399"/>
    </row>
    <row r="9" spans="2:32" ht="13" customHeight="1">
      <c r="B9" s="401" t="str">
        <f>IF('Summary | Sumário'!D$6=Names!B$3,Names!CB10,Names!CC10)</f>
        <v>PIX</v>
      </c>
      <c r="C9" s="402"/>
      <c r="D9" s="402"/>
      <c r="E9" s="402"/>
      <c r="F9" s="402"/>
      <c r="G9" s="402"/>
      <c r="H9" s="402"/>
      <c r="I9" s="402"/>
      <c r="J9" s="402"/>
      <c r="K9" s="402"/>
      <c r="L9" s="402"/>
      <c r="M9" s="402"/>
      <c r="N9" s="402"/>
      <c r="O9" s="402"/>
      <c r="P9" s="402"/>
      <c r="Q9" s="402"/>
      <c r="R9" s="402"/>
      <c r="S9" s="402"/>
      <c r="T9" s="402"/>
      <c r="U9" s="402"/>
      <c r="V9" s="402"/>
      <c r="W9" s="129"/>
      <c r="X9" s="402"/>
      <c r="Y9" s="402"/>
      <c r="Z9" s="129"/>
      <c r="AA9" s="422" t="str">
        <f>Names!CD11</f>
        <v>Sistema de Pagamentos Brasileiro (SPB) - Estatísticas do Pix - Banco Central do Brasil</v>
      </c>
      <c r="AB9" s="423"/>
    </row>
    <row r="10" spans="2:32" ht="13" customHeight="1">
      <c r="B10" s="396" t="str">
        <f>IF('Summary | Sumário'!D$6=Names!B$3,Names!CB11,Names!CC11)</f>
        <v>PIX Transactions</v>
      </c>
      <c r="C10" s="420">
        <v>727.64367799999991</v>
      </c>
      <c r="D10" s="420">
        <v>1579.9677749999998</v>
      </c>
      <c r="E10" s="420">
        <v>2432.0838009999998</v>
      </c>
      <c r="F10" s="420">
        <v>3239.403785</v>
      </c>
      <c r="G10" s="420">
        <v>3618.2862179999997</v>
      </c>
      <c r="H10" s="420">
        <v>4628.8793930000002</v>
      </c>
      <c r="I10" s="420">
        <v>5530.5009110000001</v>
      </c>
      <c r="J10" s="420">
        <v>6575.9385599999996</v>
      </c>
      <c r="K10" s="420">
        <v>6882.7202810000008</v>
      </c>
      <c r="L10" s="420">
        <v>8136.4115810000003</v>
      </c>
      <c r="M10" s="420">
        <v>9706.8342559999983</v>
      </c>
      <c r="N10" s="420">
        <v>11473.387352</v>
      </c>
      <c r="O10" s="420">
        <v>12020.651478</v>
      </c>
      <c r="P10" s="420">
        <v>13623.234329999999</v>
      </c>
      <c r="Q10" s="420">
        <f>4894.942+5009.384+4786.638</f>
        <v>14690.964</v>
      </c>
      <c r="R10" s="420">
        <v>15978.019648910411</v>
      </c>
      <c r="S10" s="664">
        <f>5060.285+4985.805+5564.431</f>
        <v>15610.521000000001</v>
      </c>
      <c r="T10" s="664">
        <f>5799.01+5930.141+5598.161</f>
        <v>17327.311999999998</v>
      </c>
      <c r="U10" s="664">
        <f>5996.861+6239.608+6133.276</f>
        <v>18369.745000000003</v>
      </c>
      <c r="V10" s="664">
        <v>20012.536759999981</v>
      </c>
      <c r="W10" s="135"/>
      <c r="X10" s="135">
        <f>V10/U10-1</f>
        <v>8.9429208734251864E-2</v>
      </c>
      <c r="Y10" s="135">
        <f>V10/R10-1</f>
        <v>0.25250420263218887</v>
      </c>
      <c r="Z10" s="135"/>
      <c r="AA10" s="425"/>
      <c r="AB10" s="423"/>
    </row>
    <row r="11" spans="2:32" ht="13" customHeight="1">
      <c r="B11" s="406" t="str">
        <f>IF('Summary | Sumário'!D$6=Names!B$3,Names!CB12,Names!CC12)</f>
        <v>PIX TPV (R$)</v>
      </c>
      <c r="C11" s="407">
        <v>545865.52816126042</v>
      </c>
      <c r="D11" s="407">
        <v>962345.47765108012</v>
      </c>
      <c r="E11" s="407">
        <v>1351068.3827956303</v>
      </c>
      <c r="F11" s="407">
        <v>1662837.6549495156</v>
      </c>
      <c r="G11" s="407">
        <v>1806516.4732325375</v>
      </c>
      <c r="H11" s="407">
        <v>2223822.2405896918</v>
      </c>
      <c r="I11" s="407">
        <v>2578950.3366389298</v>
      </c>
      <c r="J11" s="407">
        <v>2865663.1767627192</v>
      </c>
      <c r="K11" s="407">
        <v>2959895.7995207496</v>
      </c>
      <c r="L11" s="407">
        <v>3333287.8986781244</v>
      </c>
      <c r="M11" s="407">
        <v>3771040.8591022328</v>
      </c>
      <c r="N11" s="407">
        <v>4402723.7532800706</v>
      </c>
      <c r="O11" s="407">
        <v>4498296.7634392958</v>
      </c>
      <c r="P11" s="407">
        <v>5283406.6412520343</v>
      </c>
      <c r="Q11" s="407">
        <f>1937484+1948182+1954750</f>
        <v>5840416</v>
      </c>
      <c r="R11" s="407">
        <v>6497776.833976835</v>
      </c>
      <c r="S11" s="665">
        <f>2077339+2044476+2172421</f>
        <v>6294236</v>
      </c>
      <c r="T11" s="665">
        <f>2395481+2379223+2254214</f>
        <v>7028918</v>
      </c>
      <c r="U11" s="665">
        <f>2562056+2550273+2651625</f>
        <v>7763954</v>
      </c>
      <c r="V11" s="665">
        <v>8521366.1099999901</v>
      </c>
      <c r="W11" s="130"/>
      <c r="X11" s="417">
        <f>V11/U11-1</f>
        <v>9.7554945585714536E-2</v>
      </c>
      <c r="Y11" s="417">
        <f>V11/R11-1</f>
        <v>0.31142794339162583</v>
      </c>
      <c r="Z11" s="130"/>
      <c r="AA11" s="426"/>
      <c r="AB11" s="423"/>
    </row>
    <row r="12" spans="2:32" ht="13" customHeight="1">
      <c r="B12" s="102"/>
      <c r="C12" s="136"/>
      <c r="D12" s="136"/>
      <c r="E12" s="136"/>
      <c r="F12" s="136"/>
      <c r="G12" s="136"/>
      <c r="H12" s="136"/>
      <c r="I12" s="136"/>
      <c r="J12" s="136"/>
      <c r="K12" s="136"/>
      <c r="L12" s="136"/>
      <c r="M12" s="136"/>
      <c r="N12" s="136"/>
      <c r="O12" s="136"/>
      <c r="P12" s="136"/>
      <c r="Q12" s="136"/>
      <c r="R12" s="136"/>
      <c r="S12" s="666"/>
      <c r="T12" s="666"/>
      <c r="U12" s="666"/>
      <c r="V12" s="666"/>
      <c r="W12" s="136"/>
      <c r="X12" s="136"/>
      <c r="Y12" s="136"/>
      <c r="Z12" s="136"/>
      <c r="AA12" s="425"/>
      <c r="AB12" s="423"/>
    </row>
    <row r="13" spans="2:32" ht="13" customHeight="1">
      <c r="B13" s="408" t="str">
        <f>IF('Summary | Sumário'!D$6=Names!B$3,Names!CB14,Names!CC14)</f>
        <v>Cards</v>
      </c>
      <c r="C13" s="189">
        <f>SUM(C14:C15)</f>
        <v>551594.81716864998</v>
      </c>
      <c r="D13" s="189">
        <f t="shared" ref="D13:R13" si="0">SUM(D14:D15)</f>
        <v>612846.06840559002</v>
      </c>
      <c r="E13" s="189">
        <f t="shared" si="0"/>
        <v>692371.84696538001</v>
      </c>
      <c r="F13" s="189">
        <f t="shared" si="0"/>
        <v>804700.99335999996</v>
      </c>
      <c r="G13" s="189">
        <f t="shared" si="0"/>
        <v>759580.80351282004</v>
      </c>
      <c r="H13" s="189">
        <f t="shared" si="0"/>
        <v>838978.6327822</v>
      </c>
      <c r="I13" s="189">
        <f t="shared" si="0"/>
        <v>859690.55681608</v>
      </c>
      <c r="J13" s="189">
        <f t="shared" si="0"/>
        <v>935571.04112141998</v>
      </c>
      <c r="K13" s="189">
        <f t="shared" si="0"/>
        <v>866587.21779132006</v>
      </c>
      <c r="L13" s="189">
        <f t="shared" si="0"/>
        <v>901443.90171081002</v>
      </c>
      <c r="M13" s="189">
        <f t="shared" si="0"/>
        <v>939364.28888279013</v>
      </c>
      <c r="N13" s="189">
        <f t="shared" si="0"/>
        <v>1027659.1749756201</v>
      </c>
      <c r="O13" s="189">
        <f t="shared" si="0"/>
        <v>964955.67656156002</v>
      </c>
      <c r="P13" s="189">
        <f t="shared" si="0"/>
        <v>1000665.4318358499</v>
      </c>
      <c r="Q13" s="189">
        <f t="shared" si="0"/>
        <v>1035570</v>
      </c>
      <c r="R13" s="189">
        <f t="shared" si="0"/>
        <v>1142573.2670710001</v>
      </c>
      <c r="S13" s="189">
        <f>SUM(S14:S15)</f>
        <v>1054900</v>
      </c>
      <c r="T13" s="189">
        <f>SUM(T14:T15)</f>
        <v>1104530.3006</v>
      </c>
      <c r="U13" s="665" t="s">
        <v>1126</v>
      </c>
      <c r="V13" s="665"/>
      <c r="X13" s="532" t="s">
        <v>1079</v>
      </c>
      <c r="Y13" s="532" t="s">
        <v>1079</v>
      </c>
      <c r="AA13" s="427" t="str">
        <f>Names!CD15</f>
        <v>Associação Brasileira das Empresas de Cartões de Crédito e Serviços - Sistema de Informações – Monitor Abecs</v>
      </c>
      <c r="AB13" s="423"/>
    </row>
    <row r="14" spans="2:32" ht="13" customHeight="1">
      <c r="B14" s="137" t="str">
        <f>IF('Summary | Sumário'!D$6=Names!B$3,Names!CB15,Names!CC15)</f>
        <v>Credit Cards TPV (R$)</v>
      </c>
      <c r="C14" s="420">
        <v>328732.62769512</v>
      </c>
      <c r="D14" s="420">
        <v>371188.10881687998</v>
      </c>
      <c r="E14" s="420">
        <v>422362.66261727002</v>
      </c>
      <c r="F14" s="420">
        <v>497588.82791405002</v>
      </c>
      <c r="G14" s="420">
        <v>479099.28373640002</v>
      </c>
      <c r="H14" s="420">
        <v>531307.87166443001</v>
      </c>
      <c r="I14" s="420">
        <v>548190.46782451996</v>
      </c>
      <c r="J14" s="420">
        <v>589132.52756351</v>
      </c>
      <c r="K14" s="420">
        <v>555194.36013382999</v>
      </c>
      <c r="L14" s="420">
        <v>580490.58106495999</v>
      </c>
      <c r="M14" s="420">
        <v>608077.80291872006</v>
      </c>
      <c r="N14" s="420">
        <v>664644.18698012002</v>
      </c>
      <c r="O14" s="420">
        <v>635249.28854787</v>
      </c>
      <c r="P14" s="420">
        <v>662709.53340422991</v>
      </c>
      <c r="Q14" s="420">
        <v>693160</v>
      </c>
      <c r="R14" s="420">
        <v>768822.11509500002</v>
      </c>
      <c r="S14" s="664">
        <v>721090</v>
      </c>
      <c r="T14" s="664">
        <v>763463.11369999999</v>
      </c>
      <c r="U14" s="664" t="s">
        <v>1126</v>
      </c>
      <c r="V14" s="664"/>
      <c r="X14" s="313" t="s">
        <v>1079</v>
      </c>
      <c r="Y14" s="313" t="s">
        <v>1079</v>
      </c>
      <c r="AA14" s="400"/>
    </row>
    <row r="15" spans="2:32" ht="13" customHeight="1">
      <c r="B15" s="411" t="str">
        <f>IF('Summary | Sumário'!D$6=Names!B$3,Names!CB16,Names!CC16)</f>
        <v>Debt Card TPV (R$)</v>
      </c>
      <c r="C15" s="407">
        <v>222862.18947352996</v>
      </c>
      <c r="D15" s="407">
        <v>241657.95958871001</v>
      </c>
      <c r="E15" s="407">
        <v>270009.18434810999</v>
      </c>
      <c r="F15" s="407">
        <v>307112.16544595</v>
      </c>
      <c r="G15" s="407">
        <v>280481.51977642003</v>
      </c>
      <c r="H15" s="407">
        <v>307670.76111776999</v>
      </c>
      <c r="I15" s="407">
        <v>311500.08899156004</v>
      </c>
      <c r="J15" s="407">
        <v>346438.51355790999</v>
      </c>
      <c r="K15" s="407">
        <v>311392.85765749001</v>
      </c>
      <c r="L15" s="407">
        <v>320953.32064585004</v>
      </c>
      <c r="M15" s="407">
        <v>331286.48596407002</v>
      </c>
      <c r="N15" s="407">
        <v>363014.98799550004</v>
      </c>
      <c r="O15" s="407">
        <v>329706.38801369001</v>
      </c>
      <c r="P15" s="407">
        <v>337955.89843161998</v>
      </c>
      <c r="Q15" s="407">
        <v>342410</v>
      </c>
      <c r="R15" s="407">
        <v>373751.15197600005</v>
      </c>
      <c r="S15" s="665">
        <v>333810</v>
      </c>
      <c r="T15" s="665">
        <v>341067.18689999997</v>
      </c>
      <c r="U15" s="665" t="s">
        <v>1126</v>
      </c>
      <c r="V15" s="665"/>
      <c r="X15" s="419" t="s">
        <v>1079</v>
      </c>
      <c r="Y15" s="419" t="s">
        <v>1079</v>
      </c>
      <c r="AA15" s="412"/>
    </row>
    <row r="16" spans="2:32" ht="13" customHeight="1">
      <c r="Q16" s="117"/>
      <c r="R16" s="117"/>
      <c r="S16" s="117"/>
      <c r="X16" s="117"/>
      <c r="Y16" s="117"/>
      <c r="AA16" s="165"/>
    </row>
    <row r="17" spans="2:28" ht="13" customHeight="1">
      <c r="B17" s="413" t="str">
        <f>IF('Summary | Sumário'!D$6=Names!B$3,Names!CB18,Names!CC18)</f>
        <v>Loan Portfolio (R$)</v>
      </c>
      <c r="C17" s="409"/>
      <c r="D17" s="409"/>
      <c r="E17" s="409"/>
      <c r="F17" s="409"/>
      <c r="G17" s="409"/>
      <c r="H17" s="409"/>
      <c r="I17" s="409"/>
      <c r="J17" s="409"/>
      <c r="K17" s="409"/>
      <c r="L17" s="409"/>
      <c r="M17" s="409"/>
      <c r="N17" s="409"/>
      <c r="O17" s="409"/>
      <c r="P17" s="409"/>
      <c r="Q17" s="186"/>
      <c r="R17" s="186"/>
      <c r="S17" s="186"/>
      <c r="T17" s="409"/>
      <c r="U17" s="409"/>
      <c r="V17" s="409"/>
      <c r="X17" s="186"/>
      <c r="Y17" s="186"/>
      <c r="AA17" s="410"/>
    </row>
    <row r="18" spans="2:28" ht="13" customHeight="1">
      <c r="B18" s="395" t="str">
        <f>IF('Summary | Sumário'!D$6=Names!B$3,Names!CB20,Names!CC20)</f>
        <v>Total Loan Portfolio</v>
      </c>
      <c r="C18" s="421">
        <v>4106449</v>
      </c>
      <c r="D18" s="421">
        <v>4212400</v>
      </c>
      <c r="E18" s="421">
        <v>4439121</v>
      </c>
      <c r="F18" s="421">
        <v>4679575</v>
      </c>
      <c r="G18" s="421">
        <v>4790359</v>
      </c>
      <c r="H18" s="421">
        <v>4961785</v>
      </c>
      <c r="I18" s="421">
        <v>5160236</v>
      </c>
      <c r="J18" s="421">
        <v>5358049</v>
      </c>
      <c r="K18" s="421">
        <v>5417326</v>
      </c>
      <c r="L18" s="421">
        <v>5472241</v>
      </c>
      <c r="M18" s="421">
        <v>5616177</v>
      </c>
      <c r="N18" s="421">
        <v>5794196</v>
      </c>
      <c r="O18" s="421">
        <v>5899857</v>
      </c>
      <c r="P18" s="421">
        <v>6040221</v>
      </c>
      <c r="Q18" s="421">
        <v>6216178</v>
      </c>
      <c r="R18" s="421">
        <v>6462746</v>
      </c>
      <c r="S18" s="667">
        <v>6703448</v>
      </c>
      <c r="T18" s="667">
        <v>6685659</v>
      </c>
      <c r="U18" s="667">
        <v>6843539</v>
      </c>
      <c r="V18" s="667">
        <v>7122582</v>
      </c>
      <c r="W18" s="129"/>
      <c r="X18" s="533">
        <f t="shared" ref="X18:X23" si="1">V18/U18-1</f>
        <v>4.0774663518392984E-2</v>
      </c>
      <c r="Y18" s="418">
        <f t="shared" ref="Y18:Y23" si="2">V18/R18-1</f>
        <v>0.10209839594500547</v>
      </c>
      <c r="Z18" s="129"/>
      <c r="AA18" s="517" t="str">
        <f>Names!CD20</f>
        <v>Banco Central do Brasil - SGS (20539)</v>
      </c>
      <c r="AB18" s="423"/>
    </row>
    <row r="19" spans="2:28" ht="13" customHeight="1">
      <c r="B19" s="414" t="str">
        <f>IF('Summary | Sumário'!D$6=Names!B$3,Names!CB22,Names!CC22)</f>
        <v>Credit Cards</v>
      </c>
      <c r="C19" s="407">
        <v>278610</v>
      </c>
      <c r="D19" s="407">
        <v>317579</v>
      </c>
      <c r="E19" s="407">
        <v>351862</v>
      </c>
      <c r="F19" s="407">
        <v>414773</v>
      </c>
      <c r="G19" s="407">
        <v>413819</v>
      </c>
      <c r="H19" s="407">
        <v>469222</v>
      </c>
      <c r="I19" s="407">
        <v>493089</v>
      </c>
      <c r="J19" s="407">
        <v>527816</v>
      </c>
      <c r="K19" s="407">
        <v>535027</v>
      </c>
      <c r="L19" s="407">
        <v>540525</v>
      </c>
      <c r="M19" s="407">
        <v>547583</v>
      </c>
      <c r="N19" s="407">
        <v>580074</v>
      </c>
      <c r="O19" s="407">
        <f>43410+536243</f>
        <v>579653</v>
      </c>
      <c r="P19" s="407">
        <f>39251+550273</f>
        <v>589524</v>
      </c>
      <c r="Q19" s="407">
        <f>565215+44459</f>
        <v>609674</v>
      </c>
      <c r="R19" s="407">
        <f>44122+610310</f>
        <v>654432</v>
      </c>
      <c r="S19" s="665">
        <f>620234+48738</f>
        <v>668972</v>
      </c>
      <c r="T19" s="665">
        <f>639247+51271</f>
        <v>690518</v>
      </c>
      <c r="U19" s="665">
        <f>53364+656464</f>
        <v>709828</v>
      </c>
      <c r="V19" s="665">
        <f>57684+714810</f>
        <v>772494</v>
      </c>
      <c r="X19" s="419">
        <f t="shared" si="1"/>
        <v>8.8283358785508526E-2</v>
      </c>
      <c r="Y19" s="419">
        <f t="shared" si="2"/>
        <v>0.18040376998679775</v>
      </c>
      <c r="AA19" s="428" t="str">
        <f>Names!CD22</f>
        <v>Banco Central do Brasil - SGS - Individual and Business / Pessoa Física  e Pessoa Jurídica (20564, 20590)</v>
      </c>
      <c r="AB19" s="423"/>
    </row>
    <row r="20" spans="2:28" ht="13" customHeight="1">
      <c r="B20" s="397" t="str">
        <f>IF('Summary | Sumário'!D$6=Names!B$3,Names!CB23,Names!CC23)</f>
        <v>Personal</v>
      </c>
      <c r="C20" s="420">
        <v>612728</v>
      </c>
      <c r="D20" s="420">
        <v>650567</v>
      </c>
      <c r="E20" s="420">
        <v>691718</v>
      </c>
      <c r="F20" s="420">
        <v>724296</v>
      </c>
      <c r="G20" s="420">
        <v>748808</v>
      </c>
      <c r="H20" s="420">
        <v>786241</v>
      </c>
      <c r="I20" s="420">
        <v>809720</v>
      </c>
      <c r="J20" s="420">
        <v>837832</v>
      </c>
      <c r="K20" s="420">
        <v>859173</v>
      </c>
      <c r="L20" s="420">
        <v>866769</v>
      </c>
      <c r="M20" s="420">
        <v>880768</v>
      </c>
      <c r="N20" s="420">
        <v>891312</v>
      </c>
      <c r="O20" s="420">
        <v>932847</v>
      </c>
      <c r="P20" s="420">
        <v>955170</v>
      </c>
      <c r="Q20" s="420">
        <v>985540</v>
      </c>
      <c r="R20" s="420">
        <v>1004539</v>
      </c>
      <c r="S20" s="664">
        <v>1045867</v>
      </c>
      <c r="T20" s="664">
        <v>1064284</v>
      </c>
      <c r="U20" s="664">
        <v>1091043</v>
      </c>
      <c r="V20" s="664">
        <v>1120537</v>
      </c>
      <c r="X20" s="313">
        <f t="shared" si="1"/>
        <v>2.7032848384527464E-2</v>
      </c>
      <c r="Y20" s="313">
        <f t="shared" si="2"/>
        <v>0.1154738641307107</v>
      </c>
      <c r="AA20" s="429" t="str">
        <f>Names!CD23</f>
        <v>Banco Central do Brasil - SGS - Total Personal Loans / Crédito pessoal total (20580)</v>
      </c>
      <c r="AB20" s="423"/>
    </row>
    <row r="21" spans="2:28" ht="13" customHeight="1">
      <c r="B21" s="415" t="str">
        <f>IF('Summary | Sumário'!D$6=Names!B$3,Names!CB24,Names!CC24)</f>
        <v>Real Estate</v>
      </c>
      <c r="C21" s="407">
        <v>759254</v>
      </c>
      <c r="D21" s="407">
        <v>786037</v>
      </c>
      <c r="E21" s="407">
        <v>791963</v>
      </c>
      <c r="F21" s="407">
        <v>843692</v>
      </c>
      <c r="G21" s="407">
        <v>870530</v>
      </c>
      <c r="H21" s="407">
        <v>901028</v>
      </c>
      <c r="I21" s="407">
        <v>934095</v>
      </c>
      <c r="J21" s="407">
        <v>966479</v>
      </c>
      <c r="K21" s="407">
        <v>994735</v>
      </c>
      <c r="L21" s="407">
        <v>1025134</v>
      </c>
      <c r="M21" s="407">
        <v>1057696</v>
      </c>
      <c r="N21" s="407">
        <v>1090054</v>
      </c>
      <c r="O21" s="407">
        <f>53707+1063357</f>
        <v>1117064</v>
      </c>
      <c r="P21" s="407">
        <f>55616+1097353</f>
        <v>1152969</v>
      </c>
      <c r="Q21" s="407">
        <f>57748+1135977</f>
        <v>1193725</v>
      </c>
      <c r="R21" s="407">
        <f>61653+1167335</f>
        <v>1228988</v>
      </c>
      <c r="S21" s="665">
        <f>63879+1199798</f>
        <v>1263677</v>
      </c>
      <c r="T21" s="665">
        <f>67475+1233366</f>
        <v>1300841</v>
      </c>
      <c r="U21" s="665">
        <f>70847+1267288</f>
        <v>1338135</v>
      </c>
      <c r="V21" s="665">
        <f>72280+1306104</f>
        <v>1378384</v>
      </c>
      <c r="X21" s="419">
        <f t="shared" si="1"/>
        <v>3.0078430053768868E-2</v>
      </c>
      <c r="Y21" s="419">
        <f t="shared" si="2"/>
        <v>0.12156017796756347</v>
      </c>
      <c r="AA21" s="430" t="str">
        <f>Names!CD24</f>
        <v>Banco Central do Brasil - SGS - Total Real Estate Loans  / Crédito Imobiliário Total (20600 e 20612)</v>
      </c>
      <c r="AB21" s="423"/>
    </row>
    <row r="22" spans="2:28" ht="13" customHeight="1">
      <c r="B22" s="397" t="str">
        <f>IF('Summary | Sumário'!D$6=Names!B$3,Names!CB25,Names!CC25)</f>
        <v>Business</v>
      </c>
      <c r="C22" s="420">
        <v>1135857</v>
      </c>
      <c r="D22" s="420">
        <v>1161495</v>
      </c>
      <c r="E22" s="420">
        <v>1212928</v>
      </c>
      <c r="F22" s="420">
        <v>1301459</v>
      </c>
      <c r="G22" s="420">
        <v>1328637</v>
      </c>
      <c r="H22" s="420">
        <v>1384359</v>
      </c>
      <c r="I22" s="420">
        <v>1354788</v>
      </c>
      <c r="J22" s="420">
        <v>1399002</v>
      </c>
      <c r="K22" s="420">
        <v>1374526</v>
      </c>
      <c r="L22" s="420">
        <v>1379862</v>
      </c>
      <c r="M22" s="420">
        <v>1385219</v>
      </c>
      <c r="N22" s="420">
        <v>1424128</v>
      </c>
      <c r="O22" s="420">
        <f>1470709-43410-53707</f>
        <v>1373592</v>
      </c>
      <c r="P22" s="420">
        <f>1501046-39251-55616</f>
        <v>1406179</v>
      </c>
      <c r="Q22" s="420">
        <f>1534714-44459-57748</f>
        <v>1432507</v>
      </c>
      <c r="R22" s="420">
        <f>1600740-44122-61653</f>
        <v>1494965</v>
      </c>
      <c r="S22" s="664">
        <f>1576967-48738-63879</f>
        <v>1464350</v>
      </c>
      <c r="T22" s="664">
        <f>1576967-50448-67475</f>
        <v>1459044</v>
      </c>
      <c r="U22" s="664">
        <f>1595850-70847-51271</f>
        <v>1473732</v>
      </c>
      <c r="V22" s="664">
        <v>1637593</v>
      </c>
      <c r="X22" s="313">
        <f t="shared" si="1"/>
        <v>0.11118778719604383</v>
      </c>
      <c r="Y22" s="313">
        <f t="shared" si="2"/>
        <v>9.5405578057011331E-2</v>
      </c>
      <c r="AA22" s="429" t="str">
        <f>Names!CD25</f>
        <v>Banco Central do Brasil - SGS - Total non-financial corporations, excluding cards and real estate / Pessoas jurídicas total, excluindo cartões e imob. (20543)</v>
      </c>
      <c r="AB22" s="423"/>
    </row>
    <row r="23" spans="2:28" ht="13" customHeight="1">
      <c r="B23" s="415" t="str">
        <f>IF('Summary | Sumário'!D$6=Names!B$3,Names!CB26,Names!CC26)</f>
        <v>Others</v>
      </c>
      <c r="C23" s="407">
        <v>1320000</v>
      </c>
      <c r="D23" s="407">
        <v>1296722</v>
      </c>
      <c r="E23" s="407">
        <v>1390650</v>
      </c>
      <c r="F23" s="407">
        <v>1395355</v>
      </c>
      <c r="G23" s="407">
        <v>1428565</v>
      </c>
      <c r="H23" s="407">
        <v>1420935</v>
      </c>
      <c r="I23" s="407">
        <v>2297292</v>
      </c>
      <c r="J23" s="407">
        <v>1626920</v>
      </c>
      <c r="K23" s="407">
        <v>1657339</v>
      </c>
      <c r="L23" s="407">
        <v>1664077</v>
      </c>
      <c r="M23" s="407">
        <v>1749317</v>
      </c>
      <c r="N23" s="407">
        <v>1808526</v>
      </c>
      <c r="O23" s="407">
        <f t="shared" ref="O23:Q23" si="3">O18-SUM(O19:O22)</f>
        <v>1896701</v>
      </c>
      <c r="P23" s="407">
        <f t="shared" si="3"/>
        <v>1936379</v>
      </c>
      <c r="Q23" s="407">
        <f t="shared" si="3"/>
        <v>1994732</v>
      </c>
      <c r="R23" s="407">
        <f>R18-SUM(R19:R22)</f>
        <v>2079822</v>
      </c>
      <c r="S23" s="665">
        <f>S18-SUM(S19:S22)</f>
        <v>2260582</v>
      </c>
      <c r="T23" s="665">
        <f>T18-SUM(T19:T22)</f>
        <v>2170972</v>
      </c>
      <c r="U23" s="665">
        <f>U18-SUM(U19:U22)</f>
        <v>2230801</v>
      </c>
      <c r="V23" s="665">
        <f>V18-SUM(V19:V22)</f>
        <v>2213574</v>
      </c>
      <c r="X23" s="419">
        <f t="shared" si="1"/>
        <v>-7.7223382991131739E-3</v>
      </c>
      <c r="Y23" s="419">
        <f t="shared" si="2"/>
        <v>6.4309349550105699E-2</v>
      </c>
      <c r="AA23" s="409"/>
    </row>
    <row r="24" spans="2:28" ht="13" customHeight="1">
      <c r="B24" s="161"/>
    </row>
    <row r="25" spans="2:28" ht="13" customHeight="1">
      <c r="B25" s="161"/>
    </row>
    <row r="26" spans="2:28" ht="13" customHeight="1">
      <c r="B26" s="161" t="str">
        <f>IF('Summary | Sumário'!D$6=Names!B$3,Names!CB29,Names!CC29)</f>
        <v>Note 1: Excluding transactions made outside the SPI</v>
      </c>
      <c r="T26" s="229"/>
      <c r="U26" s="229"/>
      <c r="V26" s="229"/>
    </row>
    <row r="27" spans="2:28" ht="13" customHeight="1">
      <c r="B27" s="116" t="str">
        <f>IF('Summary | Sumário'!D$6=Names!B$3,Names!CB30,Names!CC30)</f>
        <v>Note 2: Including both debit and prepaid cards</v>
      </c>
    </row>
    <row r="33" spans="3:22" ht="13" customHeight="1">
      <c r="C33"/>
      <c r="D33"/>
      <c r="E33"/>
      <c r="F33"/>
      <c r="G33"/>
      <c r="H33"/>
      <c r="I33"/>
      <c r="J33"/>
      <c r="K33"/>
      <c r="L33"/>
      <c r="M33"/>
      <c r="N33"/>
      <c r="O33"/>
      <c r="P33"/>
      <c r="Q33"/>
      <c r="R33"/>
      <c r="S33"/>
      <c r="T33"/>
      <c r="U33"/>
      <c r="V33"/>
    </row>
  </sheetData>
  <sheetProtection algorithmName="SHA-512" hashValue="dmP0i8P/mH0cIyspXEUutLKZLfjHfjET1yZ9OhwxD+r+BvrN3zC/7CfJmEpwEt40w+2df/P1iMxRBXKQbTL8Pw==" saltValue="Xx37dVZC5QE30jiRskmEAQ==" spinCount="100000" sheet="1" formatCells="0" formatColumns="0" formatRows="0" insertColumns="0" insertRows="0" insertHyperlinks="0" deleteColumns="0" deleteRows="0" sort="0" autoFilter="0" pivotTables="0"/>
  <hyperlinks>
    <hyperlink ref="AA5" r:id="rId1" display="https://www.bcb.gov.br/acessoinformacao/ccsestatisticas" xr:uid="{7F4CBBEA-AFE8-6D45-934C-93BBE883EBAE}"/>
    <hyperlink ref="AA6" r:id="rId2" display="https://www.bcb.gov.br/acessoinformacao/ccsestatisticas" xr:uid="{A536EC5D-0833-A747-A798-0DC1FDD495E3}"/>
    <hyperlink ref="AA9" r:id="rId3" display="https://www.bcb.gov.br/estabilidadefinanceira/estatisticaspix" xr:uid="{B5CAA6F5-5771-4E46-897A-5F7E3E1DC323}"/>
    <hyperlink ref="AA13" r:id="rId4" display="https://www.abecs.org.br/graficos" xr:uid="{93A15D28-D8DB-6A46-9A74-73E1E6281D14}"/>
  </hyperlinks>
  <pageMargins left="0.511811024" right="0.511811024" top="0.78740157499999996" bottom="0.78740157499999996" header="0.31496062000000002" footer="0.31496062000000002"/>
  <pageSetup paperSize="9" orientation="portrait" horizontalDpi="0" verticalDpi="0"/>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0FBE-BD91-484B-A196-2EBFD96B9D5E}">
  <sheetPr codeName="Sheet29">
    <tabColor theme="0" tint="-0.14999847407452621"/>
  </sheetPr>
  <dimension ref="A1:W66"/>
  <sheetViews>
    <sheetView showGridLines="0" topLeftCell="W1" zoomScale="125" zoomScaleNormal="100" workbookViewId="0">
      <selection sqref="A1:V1048576"/>
    </sheetView>
  </sheetViews>
  <sheetFormatPr baseColWidth="10" defaultColWidth="10.83203125" defaultRowHeight="15" customHeight="1"/>
  <cols>
    <col min="1" max="1" width="3.33203125" style="37" hidden="1" customWidth="1"/>
    <col min="2" max="2" width="2.1640625" style="37" hidden="1" customWidth="1"/>
    <col min="3" max="3" width="43.6640625" style="37" hidden="1" customWidth="1"/>
    <col min="4" max="4" width="16.83203125" style="37" hidden="1" customWidth="1"/>
    <col min="5" max="5" width="14" style="39" hidden="1" customWidth="1"/>
    <col min="6" max="6" width="2" style="39" hidden="1" customWidth="1"/>
    <col min="7" max="7" width="8.83203125" style="37" hidden="1" customWidth="1"/>
    <col min="8" max="8" width="2.83203125" style="37" hidden="1" customWidth="1"/>
    <col min="9" max="9" width="59.33203125" style="37" hidden="1" customWidth="1"/>
    <col min="10" max="14" width="9.83203125" style="37" hidden="1" customWidth="1"/>
    <col min="15" max="15" width="13.5" style="37" hidden="1" customWidth="1"/>
    <col min="16" max="16" width="2.5" style="37" hidden="1" customWidth="1"/>
    <col min="17" max="17" width="8.83203125" style="37" hidden="1" customWidth="1"/>
    <col min="18" max="18" width="10.83203125" style="37" hidden="1" customWidth="1"/>
    <col min="19" max="19" width="8.83203125" style="37" hidden="1" customWidth="1"/>
    <col min="20" max="20" width="10.83203125" style="37" hidden="1" customWidth="1"/>
    <col min="21" max="21" width="2.83203125" style="37" hidden="1" customWidth="1"/>
    <col min="22" max="22" width="0" style="37" hidden="1" customWidth="1"/>
    <col min="23" max="23" width="10.83203125" style="37"/>
    <col min="24" max="24" width="8.83203125" style="37" customWidth="1"/>
    <col min="25" max="25" width="10.83203125" style="37"/>
    <col min="26" max="26" width="8.83203125" style="37" customWidth="1"/>
    <col min="27" max="27" width="3.5" style="37" customWidth="1"/>
    <col min="28" max="16384" width="10.83203125" style="37"/>
  </cols>
  <sheetData>
    <row r="1" spans="2:23" ht="15" customHeight="1" thickBot="1"/>
    <row r="2" spans="2:23" ht="8" customHeight="1">
      <c r="B2" s="446"/>
      <c r="C2" s="447"/>
      <c r="D2" s="447"/>
      <c r="E2" s="448"/>
      <c r="F2" s="448"/>
      <c r="G2" s="447"/>
      <c r="H2" s="447"/>
      <c r="I2" s="447"/>
      <c r="J2" s="447"/>
      <c r="K2" s="447"/>
      <c r="L2" s="447"/>
      <c r="M2" s="447"/>
      <c r="N2" s="447"/>
      <c r="O2" s="447"/>
      <c r="P2" s="447"/>
      <c r="Q2" s="447"/>
      <c r="R2" s="447"/>
      <c r="S2" s="447"/>
      <c r="T2" s="447"/>
      <c r="U2" s="456"/>
    </row>
    <row r="3" spans="2:23" ht="15" customHeight="1">
      <c r="B3" s="457"/>
      <c r="C3" s="766" t="str">
        <f>IF('Summary | Sumário'!D6=Names!B3,Names!BZ1,Names!CA1)</f>
        <v>Managerial KPIs Effects in 2Q25 Financial Statements</v>
      </c>
      <c r="D3" s="766"/>
      <c r="E3" s="766"/>
      <c r="F3" s="766"/>
      <c r="G3" s="766"/>
      <c r="H3" s="766"/>
      <c r="I3" s="766"/>
      <c r="J3" s="766"/>
      <c r="K3" s="766"/>
      <c r="L3" s="766"/>
      <c r="M3" s="766"/>
      <c r="N3" s="766"/>
      <c r="O3" s="766"/>
      <c r="P3" s="766"/>
      <c r="Q3" s="766"/>
      <c r="R3" s="766"/>
      <c r="S3" s="766"/>
      <c r="T3" s="766"/>
      <c r="U3" s="458"/>
    </row>
    <row r="4" spans="2:23" ht="15" customHeight="1">
      <c r="B4" s="457"/>
      <c r="C4" s="766"/>
      <c r="D4" s="766"/>
      <c r="E4" s="766"/>
      <c r="F4" s="766"/>
      <c r="G4" s="766"/>
      <c r="H4" s="766"/>
      <c r="I4" s="766"/>
      <c r="J4" s="766"/>
      <c r="K4" s="766"/>
      <c r="L4" s="766"/>
      <c r="M4" s="766"/>
      <c r="N4" s="766"/>
      <c r="O4" s="766"/>
      <c r="P4" s="766"/>
      <c r="Q4" s="766"/>
      <c r="R4" s="766"/>
      <c r="S4" s="766"/>
      <c r="T4" s="766"/>
      <c r="U4" s="458"/>
    </row>
    <row r="5" spans="2:23" ht="77" customHeight="1">
      <c r="B5" s="457"/>
      <c r="C5" s="767" t="str">
        <f>IF('Summary | Sumário'!D6=Names!B3,Names!BZ2,Names!CA2)</f>
        <v>Instructions for Use:
1. Read the disclaimer bellow before using this sheet.
2. The simulation is pre-set with Q2'25 Key Performance Indicators (KPIs) in column D. You can modify the simulation by entering your desired KPI values in the green cells in Column D.
3. Once you input the new KPI values, the corresponding results will be updated in column O of the Income Statement, Balance Sheet, or both, depending on the specific KPI. The values that may alter are marked in orange.
4. Additionally, the KPI Output in column D will change dynamically based on your input, allowing you to observe the effects of different KPI values.</v>
      </c>
      <c r="D5" s="767"/>
      <c r="E5" s="767"/>
      <c r="F5" s="767"/>
      <c r="G5" s="767"/>
      <c r="H5" s="767"/>
      <c r="I5" s="767"/>
      <c r="J5" s="767"/>
      <c r="K5" s="767"/>
      <c r="L5" s="767"/>
      <c r="M5" s="767"/>
      <c r="N5" s="767"/>
      <c r="O5" s="767"/>
      <c r="P5" s="767"/>
      <c r="Q5" s="767"/>
      <c r="R5" s="767"/>
      <c r="S5" s="767"/>
      <c r="T5" s="767"/>
      <c r="U5" s="768"/>
    </row>
    <row r="6" spans="2:23" ht="8" customHeight="1" thickBot="1">
      <c r="B6" s="452"/>
      <c r="C6" s="459"/>
      <c r="D6" s="459"/>
      <c r="E6" s="459"/>
      <c r="F6" s="459"/>
      <c r="G6" s="459"/>
      <c r="H6" s="459"/>
      <c r="I6" s="459"/>
      <c r="J6" s="459"/>
      <c r="K6" s="459"/>
      <c r="L6" s="459"/>
      <c r="M6" s="459"/>
      <c r="N6" s="459"/>
      <c r="O6" s="453"/>
      <c r="P6" s="453"/>
      <c r="Q6" s="453"/>
      <c r="R6" s="453"/>
      <c r="S6" s="453"/>
      <c r="T6" s="453"/>
      <c r="U6" s="460"/>
    </row>
    <row r="7" spans="2:23" ht="15" customHeight="1" thickBot="1">
      <c r="C7" s="42"/>
      <c r="D7" s="42"/>
      <c r="E7" s="42"/>
      <c r="F7" s="42"/>
      <c r="G7" s="42"/>
      <c r="H7" s="42"/>
      <c r="I7" s="42"/>
      <c r="J7" s="42"/>
      <c r="K7" s="42"/>
      <c r="L7" s="42"/>
      <c r="M7" s="42"/>
      <c r="N7" s="42"/>
    </row>
    <row r="8" spans="2:23" ht="15" customHeight="1">
      <c r="B8" s="431"/>
      <c r="C8" s="432"/>
      <c r="D8" s="432"/>
      <c r="E8" s="432"/>
      <c r="F8" s="433"/>
      <c r="G8" s="43"/>
      <c r="H8" s="463"/>
      <c r="I8" s="432"/>
      <c r="J8" s="432"/>
      <c r="K8" s="432"/>
      <c r="L8" s="432"/>
      <c r="M8" s="432"/>
      <c r="N8" s="432"/>
      <c r="O8" s="464"/>
      <c r="P8" s="464"/>
      <c r="Q8" s="770" t="str">
        <f>IF('Summary | Sumário'!$D$6=Names!$B$3,Names!BZ53,Names!CA53)</f>
        <v>Variation %</v>
      </c>
      <c r="R8" s="770"/>
      <c r="S8" s="770"/>
      <c r="T8" s="770"/>
      <c r="U8" s="465"/>
    </row>
    <row r="9" spans="2:23" ht="15" customHeight="1">
      <c r="B9" s="434"/>
      <c r="C9" s="267" t="str">
        <f>IF('Summary | Sumário'!$D$6=Names!$B$3,Names!BZ3,Names!CA3)</f>
        <v>KPI Inputs</v>
      </c>
      <c r="D9" s="309" t="str">
        <f>IF('Summary | Sumário'!$D$6=Names!$B$3,Names!BZ18,Names!CA18)</f>
        <v>Input Values:</v>
      </c>
      <c r="E9" s="435" t="str">
        <f>IF('Summary | Sumário'!$D$6=Names!$B$3,Names!BZ19,Names!CA19)</f>
        <v>1Q25 Actual</v>
      </c>
      <c r="F9" s="436"/>
      <c r="H9" s="434"/>
      <c r="I9" s="267" t="str">
        <f>IF('Summary | Sumário'!$D$6=Names!$B$3,Names!BZ22,Names!CA22)</f>
        <v>Managerial Income Statement (R$ Millions)</v>
      </c>
      <c r="J9" s="435" t="str">
        <f>IF('Summary | Sumário'!D6=Names!B3,Names!C20,Names!D20)</f>
        <v>2Q24</v>
      </c>
      <c r="K9" s="435" t="str">
        <f>IF('Summary | Sumário'!D6=Names!B3,Names!C21,Names!D21)</f>
        <v>3Q24</v>
      </c>
      <c r="L9" s="435" t="str">
        <f>IF('Summary | Sumário'!D6=Names!B3,Names!C22,Names!D22)</f>
        <v>4Q24</v>
      </c>
      <c r="M9" s="435" t="str">
        <f>IF('Summary | Sumário'!D6=Names!B3,Names!C24,Names!D24)</f>
        <v>1Q25</v>
      </c>
      <c r="N9" s="435" t="str">
        <f>IF('Summary | Sumário'!D6=Names!B3,Names!C25,Names!D25)</f>
        <v>2Q25</v>
      </c>
      <c r="O9" s="310" t="str">
        <f>_xlfn.CONCAT(IF('Summary | Sumário'!D6=Names!B3,Names!C25,Names!D25),"S")</f>
        <v>2Q25S</v>
      </c>
      <c r="P9" s="466"/>
      <c r="Q9" s="90" t="str">
        <f>IF('Summary | Sumário'!$D$6=Names!$B$3,Names!BZ55,Names!CA55)</f>
        <v>Δ QoQS</v>
      </c>
      <c r="R9" s="90" t="str">
        <f>IF('Summary | Sumário'!$D$6=Names!$B$3,Names!BZ56,Names!CA56)</f>
        <v>Δ QoQ Actual</v>
      </c>
      <c r="S9" s="90" t="str">
        <f>IF('Summary | Sumário'!$D$6=Names!$B$3,Names!BZ57,Names!CA57)</f>
        <v>ΔYoYS</v>
      </c>
      <c r="T9" s="90" t="str">
        <f>IF('Summary | Sumário'!$D$6=Names!$B$3,Names!BZ58,Names!CA58)</f>
        <v>ΔYoY Actual</v>
      </c>
      <c r="U9" s="467"/>
    </row>
    <row r="10" spans="2:23" ht="15" customHeight="1">
      <c r="B10" s="434"/>
      <c r="C10" s="437" t="str">
        <f>IF('Summary | Sumário'!$D$6=Names!$B$3,Names!BZ4,Names!CA4)</f>
        <v>Income Statement</v>
      </c>
      <c r="D10" s="91"/>
      <c r="E10" s="91"/>
      <c r="F10" s="438"/>
      <c r="H10" s="434"/>
      <c r="I10" s="468" t="str">
        <f>IF('Summary | Sumário'!$D$6=Names!$B$3,Names!BZ23,Names!CA23)</f>
        <v>Interest income + income from securites and derivatives</v>
      </c>
      <c r="J10" s="469">
        <f>('3. IS | DRE'!X4+'3. IS | DRE'!X6)/1000</f>
        <v>1814.5083348038499</v>
      </c>
      <c r="K10" s="469">
        <f>('3. IS | DRE'!Y4+'3. IS | DRE'!Y6)/1000</f>
        <v>1999.9668495736332</v>
      </c>
      <c r="L10" s="469">
        <f>('3. IS | DRE'!Z4+'3. IS | DRE'!Z6)/1000</f>
        <v>2199.2400178025168</v>
      </c>
      <c r="M10" s="469">
        <f>('3. IS | DRE'!AA4+'3. IS | DRE'!AA6)/1000</f>
        <v>2541.6142999999997</v>
      </c>
      <c r="N10" s="469">
        <f>('3. IS | DRE'!AB4+'3. IS | DRE'!AB6)/1000</f>
        <v>2893.4650000000001</v>
      </c>
      <c r="O10" s="617">
        <f>O12-O11</f>
        <v>2895.424182880392</v>
      </c>
      <c r="P10" s="469"/>
      <c r="Q10" s="470">
        <f>O10/M10-1</f>
        <v>0.13920675646198255</v>
      </c>
      <c r="R10" s="470">
        <f>N10/M10-1</f>
        <v>0.13843591452880966</v>
      </c>
      <c r="S10" s="470">
        <f>O10/J10-1</f>
        <v>0.59570729290333624</v>
      </c>
      <c r="T10" s="470">
        <f>N10/J10-1</f>
        <v>0.59462756081127965</v>
      </c>
      <c r="U10" s="467"/>
    </row>
    <row r="11" spans="2:23" ht="15" customHeight="1">
      <c r="B11" s="434"/>
      <c r="C11" s="439" t="str">
        <f>IF('Summary | Sumário'!$D$6=Names!$B$3,Names!BZ5,Names!CA5)</f>
        <v>Cost of funding (%)</v>
      </c>
      <c r="D11" s="92">
        <f t="shared" ref="D11:D16" si="0">E11</f>
        <v>9.3900895924388036E-2</v>
      </c>
      <c r="E11" s="44">
        <f>'9.7 Cost of Funding'!AB10</f>
        <v>9.3900895924388036E-2</v>
      </c>
      <c r="F11" s="440"/>
      <c r="H11" s="434"/>
      <c r="I11" s="471" t="str">
        <f>IF('Summary | Sumário'!$D$6=Names!$B$3,Names!BZ24,Names!CA24)</f>
        <v>Interest expenses</v>
      </c>
      <c r="J11" s="621">
        <f>'3. IS | DRE'!X5/1000</f>
        <v>-772.64260900000011</v>
      </c>
      <c r="K11" s="621">
        <f>'3. IS | DRE'!Y5/1000</f>
        <v>-835.61671799999999</v>
      </c>
      <c r="L11" s="621">
        <f>'3. IS | DRE'!Z5/1000</f>
        <v>-941.13220175799984</v>
      </c>
      <c r="M11" s="621">
        <f>'3. IS | DRE'!AA5/1000</f>
        <v>-1179.02</v>
      </c>
      <c r="N11" s="621">
        <f>'3. IS | DRE'!AB5/1000</f>
        <v>-1423.9580000000001</v>
      </c>
      <c r="O11" s="617">
        <f>-(D11)*AVERAGE(O40,M40)/4*1000</f>
        <v>-1425.9171828803924</v>
      </c>
      <c r="P11" s="472"/>
      <c r="Q11" s="473">
        <f>O11/M11-1</f>
        <v>0.20940881654288512</v>
      </c>
      <c r="R11" s="473">
        <f>N11/M11-1</f>
        <v>0.20774711200827811</v>
      </c>
      <c r="S11" s="473">
        <f>O11/J11-1</f>
        <v>0.84550679223593295</v>
      </c>
      <c r="T11" s="473">
        <f>N11/J11-1</f>
        <v>0.84297110127406905</v>
      </c>
      <c r="U11" s="467"/>
    </row>
    <row r="12" spans="2:23" ht="15" customHeight="1">
      <c r="B12" s="434"/>
      <c r="C12" s="439" t="str">
        <f>IF('Summary | Sumário'!D$6=Names!B$3,Names!Q7,Names!R7)</f>
        <v>NIM 2.0 (%)</v>
      </c>
      <c r="D12" s="92">
        <f t="shared" si="0"/>
        <v>9.0695418380868989E-2</v>
      </c>
      <c r="E12" s="44">
        <f>'9.2 NIM &amp; Yields'!AB9</f>
        <v>9.0695418380868989E-2</v>
      </c>
      <c r="F12" s="440"/>
      <c r="H12" s="434"/>
      <c r="I12" s="35" t="str">
        <f>IF('Summary | Sumário'!$D$6=Names!$B$3,Names!BZ25,Names!CA25)</f>
        <v>Net interest income</v>
      </c>
      <c r="J12" s="615">
        <f>SUM(J10:J11)</f>
        <v>1041.8657258038497</v>
      </c>
      <c r="K12" s="615">
        <f>SUM(K10:K11)</f>
        <v>1164.3501315736332</v>
      </c>
      <c r="L12" s="615">
        <f>SUM(L10:L11)</f>
        <v>1258.107816044517</v>
      </c>
      <c r="M12" s="615">
        <f>SUM(M10:M11)</f>
        <v>1362.5942999999997</v>
      </c>
      <c r="N12" s="615">
        <f>SUM(N10:N11)</f>
        <v>1469.5070000000001</v>
      </c>
      <c r="O12" s="616">
        <f>(D12*AVERAGE(O34,M34)/4)*1000</f>
        <v>1469.5069999999996</v>
      </c>
      <c r="P12" s="32"/>
      <c r="Q12" s="93">
        <f>O12/M12-1</f>
        <v>7.8462606221088693E-2</v>
      </c>
      <c r="R12" s="93">
        <f>N12/M12-1</f>
        <v>7.8462606221088915E-2</v>
      </c>
      <c r="S12" s="93">
        <f>O12/J12-1</f>
        <v>0.41045718618510452</v>
      </c>
      <c r="T12" s="93">
        <f>N12/J12-1</f>
        <v>0.41045718618510496</v>
      </c>
      <c r="U12" s="467"/>
    </row>
    <row r="13" spans="2:23" ht="15" customHeight="1">
      <c r="B13" s="434"/>
      <c r="C13" s="439" t="str">
        <f>IF('Summary | Sumário'!$D$6=Names!$B$3,Names!BZ7,Names!CA7)</f>
        <v>Net fee income growth (%, QoQ)</v>
      </c>
      <c r="D13" s="92">
        <f t="shared" si="0"/>
        <v>0.1228277878178512</v>
      </c>
      <c r="E13" s="44">
        <f>N14/M14-1</f>
        <v>0.1228277878178512</v>
      </c>
      <c r="F13" s="440"/>
      <c r="H13" s="434"/>
      <c r="I13" s="471"/>
      <c r="J13" s="472"/>
      <c r="K13" s="472"/>
      <c r="L13" s="472"/>
      <c r="M13" s="472"/>
      <c r="O13" s="617"/>
      <c r="P13" s="474"/>
      <c r="Q13" s="475"/>
      <c r="R13" s="475"/>
      <c r="S13" s="475"/>
      <c r="T13" s="475"/>
      <c r="U13" s="467"/>
    </row>
    <row r="14" spans="2:23" ht="15" customHeight="1">
      <c r="B14" s="434"/>
      <c r="C14" s="439" t="str">
        <f>IF('Summary | Sumário'!$D$6=Names!$B$3,Names!BZ8,Names!CA8)</f>
        <v>Cost of risk (%)</v>
      </c>
      <c r="D14" s="92">
        <f t="shared" si="0"/>
        <v>4.9775789895540309E-2</v>
      </c>
      <c r="E14" s="44">
        <f>'9.1 Asset Quality'!AB43</f>
        <v>4.9775789895540309E-2</v>
      </c>
      <c r="F14" s="440"/>
      <c r="H14" s="434"/>
      <c r="I14" s="468" t="str">
        <f>IF('Summary | Sumário'!$D$6=Names!$B$3,Names!BZ27,Names!CA27)</f>
        <v>Net fee revenue + other revenues</v>
      </c>
      <c r="J14" s="469">
        <f>('3. IS | DRE'!X9+'3. IS | DRE'!X10+'3. IS | DRE'!X11)/1000</f>
        <v>436.73208523867993</v>
      </c>
      <c r="K14" s="469">
        <f>('3. IS | DRE'!Y9+'3. IS | DRE'!Y10+'3. IS | DRE'!Y11)/1000</f>
        <v>511.79311297993877</v>
      </c>
      <c r="L14" s="469">
        <f>('3. IS | DRE'!Z9+'3. IS | DRE'!Z10+'3. IS | DRE'!Z11)/1000</f>
        <v>586.37721019924902</v>
      </c>
      <c r="M14" s="469">
        <f>('3. IS | DRE'!AA9+'3. IS | DRE'!AA10+'3. IS | DRE'!AA11)/1000</f>
        <v>475.20680000000004</v>
      </c>
      <c r="N14" s="469">
        <f>('3. IS | DRE'!AB9+'3. IS | DRE'!AB10+'3. IS | DRE'!AB11)/1000</f>
        <v>533.57540000000006</v>
      </c>
      <c r="O14" s="617">
        <f>M14*(1+D13)</f>
        <v>533.57540000000006</v>
      </c>
      <c r="P14" s="476"/>
      <c r="Q14" s="477">
        <f t="shared" ref="Q14:Q15" si="1">O14/M14-1</f>
        <v>0.1228277878178512</v>
      </c>
      <c r="R14" s="477">
        <f t="shared" ref="R14:R15" si="2">N14/M14-1</f>
        <v>0.1228277878178512</v>
      </c>
      <c r="S14" s="477">
        <f t="shared" ref="S14:S15" si="3">O14/J14-1</f>
        <v>0.22174536296868119</v>
      </c>
      <c r="T14" s="477">
        <f t="shared" ref="T14:T15" si="4">N14/J14-1</f>
        <v>0.22174536296868119</v>
      </c>
      <c r="U14" s="467"/>
    </row>
    <row r="15" spans="2:23" ht="15" customHeight="1">
      <c r="B15" s="434"/>
      <c r="C15" s="439" t="str">
        <f>IF('Summary | Sumário'!$D$6=Names!$B$3,Names!BZ9,Names!CA9)</f>
        <v>Efficiency ratio (%)</v>
      </c>
      <c r="D15" s="92">
        <f t="shared" si="0"/>
        <v>0.47827415443673621</v>
      </c>
      <c r="E15" s="44">
        <f>'9.4 Efficiency | Eficiência'!AB26</f>
        <v>0.47827415443673621</v>
      </c>
      <c r="F15" s="440"/>
      <c r="H15" s="434"/>
      <c r="I15" s="36" t="str">
        <f>IF('Summary | Sumário'!$D$6=Names!$B$3,Names!BZ28,Names!CA28)</f>
        <v>Revenues</v>
      </c>
      <c r="J15" s="618">
        <f>J12+SUM(J14)</f>
        <v>1478.5978110425297</v>
      </c>
      <c r="K15" s="618">
        <f>K12+SUM(K14)</f>
        <v>1676.143244553572</v>
      </c>
      <c r="L15" s="618">
        <f>L12+SUM(L14)</f>
        <v>1844.485026243766</v>
      </c>
      <c r="M15" s="618">
        <f>M12+SUM(M14)</f>
        <v>1837.8010999999997</v>
      </c>
      <c r="N15" s="618">
        <f>N12+SUM(N14)</f>
        <v>2003.0824000000002</v>
      </c>
      <c r="O15" s="616">
        <f>SUM(O12,O14)</f>
        <v>2003.0823999999998</v>
      </c>
      <c r="P15" s="34"/>
      <c r="Q15" s="94">
        <f t="shared" si="1"/>
        <v>8.9934269818426005E-2</v>
      </c>
      <c r="R15" s="94">
        <f t="shared" si="2"/>
        <v>8.9934269818426227E-2</v>
      </c>
      <c r="S15" s="94">
        <f t="shared" si="3"/>
        <v>0.35471754728736316</v>
      </c>
      <c r="T15" s="94">
        <f t="shared" si="4"/>
        <v>0.35471754728736338</v>
      </c>
      <c r="U15" s="467"/>
      <c r="W15" s="84"/>
    </row>
    <row r="16" spans="2:23" ht="15" customHeight="1">
      <c r="B16" s="434"/>
      <c r="C16" s="439" t="str">
        <f>IF('Summary | Sumário'!$D$6=Names!$B$3,Names!BZ10,Names!CA10)</f>
        <v>Tax expenses as % of total revenues</v>
      </c>
      <c r="D16" s="92">
        <f t="shared" si="0"/>
        <v>8.8303706327807582E-2</v>
      </c>
      <c r="E16" s="44">
        <f>-N21/N15</f>
        <v>8.8303706327807582E-2</v>
      </c>
      <c r="F16" s="440"/>
      <c r="H16" s="434"/>
      <c r="I16" s="468"/>
      <c r="J16" s="469"/>
      <c r="K16" s="469"/>
      <c r="L16" s="469"/>
      <c r="M16" s="469"/>
      <c r="N16" s="469"/>
      <c r="O16" s="617"/>
      <c r="P16" s="476"/>
      <c r="Q16" s="477"/>
      <c r="R16" s="477"/>
      <c r="S16" s="477"/>
      <c r="T16" s="477"/>
      <c r="U16" s="467"/>
    </row>
    <row r="17" spans="2:21" ht="15" customHeight="1">
      <c r="B17" s="434"/>
      <c r="C17" s="437" t="str">
        <f>IF('Summary | Sumário'!$D$6=Names!$B$3,Names!BZ11,Names!CA11)</f>
        <v>Balance Sheet</v>
      </c>
      <c r="D17" s="91"/>
      <c r="E17" s="95"/>
      <c r="F17" s="438"/>
      <c r="H17" s="434"/>
      <c r="I17" s="471" t="str">
        <f>IF('Summary | Sumário'!$D$6=Names!$B$3,Names!BZ30,Names!CA30)</f>
        <v>Impairment losses on financial assets</v>
      </c>
      <c r="J17" s="472">
        <f>'3. IS | DRE'!X14/1000</f>
        <v>-421.24766099999999</v>
      </c>
      <c r="K17" s="472">
        <f>'3. IS | DRE'!Y14/1000</f>
        <v>-471.42665</v>
      </c>
      <c r="L17" s="472">
        <f>'3. IS | DRE'!Z14/1000</f>
        <v>-495.73002499999967</v>
      </c>
      <c r="M17" s="472">
        <f>'3. IS | DRE'!AA14/1000</f>
        <v>-513.68140000000005</v>
      </c>
      <c r="N17" s="472">
        <f>'3. IS | DRE'!AB14/1000</f>
        <v>-569.24900000000002</v>
      </c>
      <c r="O17" s="617">
        <f>-(D14*AVERAGE(O35,M35)/4)*1000</f>
        <v>-569.24900000000002</v>
      </c>
      <c r="P17" s="474"/>
      <c r="Q17" s="475">
        <f t="shared" ref="Q17:Q18" si="5">O17/M17-1</f>
        <v>0.10817522300787985</v>
      </c>
      <c r="R17" s="475">
        <f t="shared" ref="R17:R18" si="6">N17/M17-1</f>
        <v>0.10817522300787985</v>
      </c>
      <c r="S17" s="475">
        <f t="shared" ref="S17:S18" si="7">O17/J17-1</f>
        <v>0.35134044103333317</v>
      </c>
      <c r="T17" s="475">
        <f t="shared" ref="T17:T18" si="8">N17/J17-1</f>
        <v>0.35134044103333317</v>
      </c>
      <c r="U17" s="467"/>
    </row>
    <row r="18" spans="2:21" ht="15" customHeight="1">
      <c r="B18" s="434"/>
      <c r="C18" s="439" t="str">
        <f>IF('Summary | Sumário'!$D$6=Names!$B$3,Names!BZ12,Names!CA12)</f>
        <v>IEP growth (%, QoQ)</v>
      </c>
      <c r="D18" s="441">
        <f>E18</f>
        <v>5.6446335960781857E-2</v>
      </c>
      <c r="E18" s="44">
        <f>N34/M34-1</f>
        <v>5.6446335960781857E-2</v>
      </c>
      <c r="F18" s="440"/>
      <c r="H18" s="434"/>
      <c r="I18" s="35" t="str">
        <f>IF('Summary | Sumário'!$D$6=Names!$B$3,Names!BZ31,Names!CA31)</f>
        <v>Net result of losses</v>
      </c>
      <c r="J18" s="615">
        <f t="shared" ref="J18:O18" si="9">J15+J17</f>
        <v>1057.3501500425295</v>
      </c>
      <c r="K18" s="615">
        <f t="shared" si="9"/>
        <v>1204.7165945535721</v>
      </c>
      <c r="L18" s="615">
        <f t="shared" si="9"/>
        <v>1348.7550012437664</v>
      </c>
      <c r="M18" s="615">
        <f t="shared" si="9"/>
        <v>1324.1196999999997</v>
      </c>
      <c r="N18" s="615">
        <f t="shared" si="9"/>
        <v>1433.8334000000002</v>
      </c>
      <c r="O18" s="616">
        <f t="shared" si="9"/>
        <v>1433.8333999999998</v>
      </c>
      <c r="P18" s="32"/>
      <c r="Q18" s="93">
        <f t="shared" si="5"/>
        <v>8.2857841326581028E-2</v>
      </c>
      <c r="R18" s="93">
        <f t="shared" si="6"/>
        <v>8.285784132658125E-2</v>
      </c>
      <c r="S18" s="93">
        <f t="shared" si="7"/>
        <v>0.3560629843787575</v>
      </c>
      <c r="T18" s="93">
        <f t="shared" si="8"/>
        <v>0.35606298437875794</v>
      </c>
      <c r="U18" s="467"/>
    </row>
    <row r="19" spans="2:21" ht="15" customHeight="1">
      <c r="B19" s="434"/>
      <c r="C19" s="439" t="str">
        <f>IF('Summary | Sumário'!$D$6=Names!$B$3,Names!BZ13,Names!CA13)</f>
        <v>Funding growth (%, QoQ)</v>
      </c>
      <c r="D19" s="441">
        <f t="shared" ref="D19" si="10">E19</f>
        <v>5.3620818108671253E-2</v>
      </c>
      <c r="E19" s="44">
        <f>N40/M40-1</f>
        <v>5.3620818108671253E-2</v>
      </c>
      <c r="F19" s="440"/>
      <c r="H19" s="434"/>
      <c r="I19" s="471"/>
      <c r="J19" s="472"/>
      <c r="K19" s="472"/>
      <c r="L19" s="472"/>
      <c r="M19" s="472"/>
      <c r="O19" s="617"/>
      <c r="P19" s="474"/>
      <c r="Q19" s="475"/>
      <c r="R19" s="475"/>
      <c r="S19" s="475"/>
      <c r="T19" s="475"/>
      <c r="U19" s="467"/>
    </row>
    <row r="20" spans="2:21" ht="15" customHeight="1" thickBot="1">
      <c r="B20" s="442"/>
      <c r="C20" s="443"/>
      <c r="D20" s="443"/>
      <c r="E20" s="444"/>
      <c r="F20" s="445"/>
      <c r="H20" s="434"/>
      <c r="I20" s="468" t="str">
        <f>IF('Summary | Sumário'!$D$6=Names!$B$3,Names!BZ33,Names!CA33)</f>
        <v>Operational expenses</v>
      </c>
      <c r="J20" s="469">
        <f>('3. IS | DRE'!X18+'3. IS | DRE'!X19+'3. IS | DRE'!X21)/1000</f>
        <v>-660.06869852</v>
      </c>
      <c r="K20" s="469">
        <f>('3. IS | DRE'!Y18+'3. IS | DRE'!Y19+'3. IS | DRE'!Y21)/1000</f>
        <v>-787.12960448000001</v>
      </c>
      <c r="L20" s="469">
        <f>('3. IS | DRE'!Z18+'3. IS | DRE'!Z19+'3. IS | DRE'!Z21)/1000</f>
        <v>-840.84038400000009</v>
      </c>
      <c r="M20" s="469">
        <f>('3. IS | DRE'!AA18+'3. IS | DRE'!AA19+'3. IS | DRE'!AA21)/1000</f>
        <v>-830.51780000000008</v>
      </c>
      <c r="N20" s="469">
        <f>('3. IS | DRE'!AB18+'3. IS | DRE'!AB19+'3. IS | DRE'!AB21)/1000</f>
        <v>-873.42560000000003</v>
      </c>
      <c r="O20" s="617">
        <f>-D15*SUM(O12,O14,O21)</f>
        <v>-873.42560000000003</v>
      </c>
      <c r="P20" s="476"/>
      <c r="Q20" s="477">
        <f t="shared" ref="Q20:Q21" si="11">O20/M20-1</f>
        <v>5.1663913765604974E-2</v>
      </c>
      <c r="R20" s="477">
        <f t="shared" ref="R20:R21" si="12">N20/M20-1</f>
        <v>5.1663913765604974E-2</v>
      </c>
      <c r="S20" s="477">
        <f t="shared" ref="S20:S21" si="13">O20/J20-1</f>
        <v>0.32323438750903799</v>
      </c>
      <c r="T20" s="477">
        <f t="shared" ref="T20:T21" si="14">N20/J20-1</f>
        <v>0.32323438750903799</v>
      </c>
      <c r="U20" s="467"/>
    </row>
    <row r="21" spans="2:21" ht="15" customHeight="1">
      <c r="H21" s="434"/>
      <c r="I21" s="471" t="str">
        <f>IF('Summary | Sumário'!$D$6=Names!$B$3,Names!BZ34,Names!CA34)</f>
        <v>Tax expenses</v>
      </c>
      <c r="J21" s="472">
        <f>('3. IS | DRE'!X20)/1000</f>
        <v>-99.417271</v>
      </c>
      <c r="K21" s="472">
        <f>('3. IS | DRE'!Y20)/1000</f>
        <v>-123.632909</v>
      </c>
      <c r="L21" s="472">
        <f>('3. IS | DRE'!Z20)/1000</f>
        <v>-167.65621600000003</v>
      </c>
      <c r="M21" s="472">
        <f>('3. IS | DRE'!AA20)/1000</f>
        <v>-136.05500000000001</v>
      </c>
      <c r="N21" s="472">
        <f>('3. IS | DRE'!AB20)/1000</f>
        <v>-176.87960000000001</v>
      </c>
      <c r="O21" s="617">
        <f>-D16*O15</f>
        <v>-176.87959999999998</v>
      </c>
      <c r="P21" s="474"/>
      <c r="Q21" s="475">
        <f t="shared" si="11"/>
        <v>0.30005953474697722</v>
      </c>
      <c r="R21" s="475">
        <f t="shared" si="12"/>
        <v>0.30005953474697744</v>
      </c>
      <c r="S21" s="475">
        <f t="shared" si="13"/>
        <v>0.77916370285400394</v>
      </c>
      <c r="T21" s="475">
        <f t="shared" si="14"/>
        <v>0.77916370285400416</v>
      </c>
      <c r="U21" s="467"/>
    </row>
    <row r="22" spans="2:21" ht="15" customHeight="1" thickBot="1">
      <c r="H22" s="434"/>
      <c r="I22" s="468" t="str">
        <f>IF('Summary | Sumário'!$D$6=Names!$B$3,Names!BZ35,Names!CA35)</f>
        <v>Other expenses</v>
      </c>
      <c r="J22" s="469">
        <f>'3. IS | DRE'!X22/1000</f>
        <v>-0.25702199999999997</v>
      </c>
      <c r="K22" s="469">
        <f>'3. IS | DRE'!Y22/1000</f>
        <v>0</v>
      </c>
      <c r="L22" s="469">
        <f>'3. IS | DRE'!Z22/1000</f>
        <v>0</v>
      </c>
      <c r="M22" s="469">
        <f>'3. IS | DRE'!AA22/1000</f>
        <v>0</v>
      </c>
      <c r="N22" s="469">
        <f>'3. IS | DRE'!AB22/1000</f>
        <v>0</v>
      </c>
      <c r="O22" s="617">
        <f>IF(D12=0,0,M22)</f>
        <v>0</v>
      </c>
      <c r="P22" s="476"/>
      <c r="Q22" s="520" t="str">
        <f>IFERROR(O22/M22-1,"n.m")</f>
        <v>n.m</v>
      </c>
      <c r="R22" s="520" t="str">
        <f>IFERROR(N22/M22-1,"n.m.")</f>
        <v>n.m.</v>
      </c>
      <c r="S22" s="477">
        <f t="shared" ref="S22:S23" si="15">O22/J22-1</f>
        <v>-1</v>
      </c>
      <c r="T22" s="477">
        <f t="shared" ref="T22:T23" si="16">N22/J22-1</f>
        <v>-1</v>
      </c>
      <c r="U22" s="467"/>
    </row>
    <row r="23" spans="2:21" ht="15" customHeight="1">
      <c r="B23" s="446"/>
      <c r="C23" s="447"/>
      <c r="D23" s="447"/>
      <c r="E23" s="448"/>
      <c r="F23" s="449"/>
      <c r="H23" s="434"/>
      <c r="I23" s="36" t="str">
        <f>IF('Summary | Sumário'!$D$6=Names!$B$3,Names!BZ36,Names!CA36)</f>
        <v>Profit / (loss) before income tax</v>
      </c>
      <c r="J23" s="618">
        <f>J18+SUM(J20:J22)</f>
        <v>297.60715852252952</v>
      </c>
      <c r="K23" s="618">
        <f>K18+SUM(K20:K22)</f>
        <v>293.95408107357207</v>
      </c>
      <c r="L23" s="618">
        <f>L18+SUM(L20:L22)</f>
        <v>340.25840124376623</v>
      </c>
      <c r="M23" s="618">
        <f>M18+SUM(M20:M22)</f>
        <v>357.5468999999996</v>
      </c>
      <c r="N23" s="618">
        <f>N18+SUM(N20:N22)</f>
        <v>383.5282000000002</v>
      </c>
      <c r="O23" s="616">
        <f t="shared" ref="O23" si="17">O18+SUM(O20:O22)</f>
        <v>383.52819999999974</v>
      </c>
      <c r="P23" s="34"/>
      <c r="Q23" s="94">
        <f t="shared" ref="Q23" si="18">O23/M23-1</f>
        <v>7.2665432143308228E-2</v>
      </c>
      <c r="R23" s="94">
        <f t="shared" ref="R23" si="19">N23/M23-1</f>
        <v>7.2665432143309339E-2</v>
      </c>
      <c r="S23" s="94">
        <f t="shared" si="15"/>
        <v>0.28870623241734217</v>
      </c>
      <c r="T23" s="94">
        <f t="shared" si="16"/>
        <v>0.28870623241734372</v>
      </c>
      <c r="U23" s="467"/>
    </row>
    <row r="24" spans="2:21" ht="15" customHeight="1">
      <c r="B24" s="434"/>
      <c r="C24" s="267" t="str">
        <f>IF('Summary | Sumário'!$D$6=Names!$B$3,Names!BZ14,Names!CA14)</f>
        <v>KPI Outputs</v>
      </c>
      <c r="D24" s="461" t="str">
        <f>IF('Summary | Sumário'!$D$6=Names!$B$3,Names!BZ20,Names!CA20)</f>
        <v>Output</v>
      </c>
      <c r="E24" s="435" t="str">
        <f>IF('Summary | Sumário'!$D$6=Names!$B$3,Names!BZ21,Names!CA21)</f>
        <v>1Q25 Actual</v>
      </c>
      <c r="F24" s="450"/>
      <c r="H24" s="434"/>
      <c r="I24" s="478"/>
      <c r="J24" s="619"/>
      <c r="K24" s="619"/>
      <c r="L24" s="619"/>
      <c r="M24" s="619"/>
      <c r="N24" s="619"/>
      <c r="O24" s="620"/>
      <c r="P24" s="28"/>
      <c r="Q24" s="96"/>
      <c r="R24" s="96"/>
      <c r="S24" s="96"/>
      <c r="T24" s="96"/>
      <c r="U24" s="467"/>
    </row>
    <row r="25" spans="2:21" ht="15" customHeight="1">
      <c r="B25" s="434"/>
      <c r="C25" s="462" t="str">
        <f>IF('Summary | Sumário'!$D$6=Names!$B$3,Names!BZ15,Names!CA15)</f>
        <v>ROEA (%)</v>
      </c>
      <c r="D25" s="45">
        <f>O26*4/(AVERAGE(O42,L42)*1000)</f>
        <v>0.14672881884784372</v>
      </c>
      <c r="E25" s="30">
        <f>N26*4/(AVERAGE(N42,M42)*1000)</f>
        <v>0.14441516895949844</v>
      </c>
      <c r="F25" s="451"/>
      <c r="H25" s="434"/>
      <c r="I25" s="471" t="str">
        <f>IF('Summary | Sumário'!$D$6=Names!$B$3,Names!BZ38,Names!CA38)</f>
        <v>Income tax and social contribution</v>
      </c>
      <c r="J25" s="472">
        <f>'3. IS | DRE'!X25/1000</f>
        <v>-74.943733999999992</v>
      </c>
      <c r="K25" s="472">
        <f>'3. IS | DRE'!Y25/1000</f>
        <v>-33.942</v>
      </c>
      <c r="L25" s="472">
        <f>'3. IS | DRE'!Z25/1000</f>
        <v>-45.31105187989899</v>
      </c>
      <c r="M25" s="472">
        <f>'3. IS | DRE'!AA25/1000</f>
        <v>-50.759</v>
      </c>
      <c r="N25" s="472">
        <f>'3. IS | DRE'!AB25/1000</f>
        <v>-51.360999999999997</v>
      </c>
      <c r="O25" s="617">
        <f>IF(O23&lt;=N23,N25,N25+((N23-O23)*0.38))</f>
        <v>-51.360999999999997</v>
      </c>
      <c r="P25" s="474"/>
      <c r="Q25" s="475">
        <f t="shared" ref="Q25:Q26" si="20">O25/M25-1</f>
        <v>1.1859965720364851E-2</v>
      </c>
      <c r="R25" s="475">
        <f t="shared" ref="R25:R26" si="21">N25/M25-1</f>
        <v>1.1859965720364851E-2</v>
      </c>
      <c r="S25" s="475">
        <f t="shared" ref="S25:S26" si="22">O25/J25-1</f>
        <v>-0.31467252485711472</v>
      </c>
      <c r="T25" s="475">
        <f t="shared" ref="T25:T26" si="23">N25/J25-1</f>
        <v>-0.31467252485711472</v>
      </c>
      <c r="U25" s="467"/>
    </row>
    <row r="26" spans="2:21" ht="15" customHeight="1">
      <c r="B26" s="434"/>
      <c r="C26" s="462" t="str">
        <f>IF('Summary | Sumário'!$D$6=Names!$B$3,Names!BZ16,Names!CA16)</f>
        <v>ROAA (%)</v>
      </c>
      <c r="D26" s="45">
        <f>(O26*4)/(AVERAGE(L37,O37)*1000)</f>
        <v>1.6485609250685426E-2</v>
      </c>
      <c r="E26" s="30">
        <f>(N26*4)/(AVERAGE(N37,M37)*1000)</f>
        <v>1.607667569808573E-2</v>
      </c>
      <c r="F26" s="451"/>
      <c r="H26" s="434"/>
      <c r="I26" s="35" t="str">
        <f>IF('Summary | Sumário'!$D$6=Names!$B$3,Names!BZ39,Names!CA39)</f>
        <v>Profit / (loss) for the period</v>
      </c>
      <c r="J26" s="615">
        <f t="shared" ref="J26:O26" si="24">J23+J25</f>
        <v>222.66342452252951</v>
      </c>
      <c r="K26" s="615">
        <f t="shared" si="24"/>
        <v>260.01208107357206</v>
      </c>
      <c r="L26" s="615">
        <f t="shared" si="24"/>
        <v>294.94734936386726</v>
      </c>
      <c r="M26" s="615">
        <f t="shared" si="24"/>
        <v>306.78789999999958</v>
      </c>
      <c r="N26" s="615">
        <f t="shared" si="24"/>
        <v>332.16720000000021</v>
      </c>
      <c r="O26" s="616">
        <f t="shared" si="24"/>
        <v>332.16719999999975</v>
      </c>
      <c r="P26" s="32"/>
      <c r="Q26" s="93">
        <f t="shared" si="20"/>
        <v>8.2725883256804522E-2</v>
      </c>
      <c r="R26" s="93">
        <f t="shared" si="21"/>
        <v>8.2725883256805854E-2</v>
      </c>
      <c r="S26" s="93">
        <f t="shared" si="22"/>
        <v>0.49179058353335647</v>
      </c>
      <c r="T26" s="93">
        <f t="shared" si="23"/>
        <v>0.49179058353335847</v>
      </c>
      <c r="U26" s="467"/>
    </row>
    <row r="27" spans="2:21" ht="15" customHeight="1" thickBot="1">
      <c r="B27" s="434"/>
      <c r="C27" s="462" t="str">
        <f>IF('Summary | Sumário'!$D$6=Names!$B$3,Names!BZ17,Names!CA17)</f>
        <v>Fee income ratio (%)</v>
      </c>
      <c r="D27" s="45">
        <f>O14/O15</f>
        <v>0.26637715952174512</v>
      </c>
      <c r="E27" s="30">
        <f>N14/N15</f>
        <v>0.26637715952174507</v>
      </c>
      <c r="F27" s="451"/>
      <c r="H27" s="442"/>
      <c r="I27" s="479"/>
      <c r="J27" s="479"/>
      <c r="K27" s="479"/>
      <c r="L27" s="479"/>
      <c r="M27" s="479"/>
      <c r="N27" s="479"/>
      <c r="O27" s="480"/>
      <c r="P27" s="453"/>
      <c r="Q27" s="453"/>
      <c r="R27" s="453"/>
      <c r="S27" s="479"/>
      <c r="T27" s="479"/>
      <c r="U27" s="481"/>
    </row>
    <row r="28" spans="2:21" ht="15" customHeight="1" thickBot="1">
      <c r="B28" s="452"/>
      <c r="C28" s="453"/>
      <c r="D28" s="453"/>
      <c r="E28" s="454"/>
      <c r="F28" s="455"/>
      <c r="I28" s="33"/>
      <c r="J28" s="33"/>
      <c r="K28" s="33"/>
      <c r="L28" s="33"/>
      <c r="M28" s="33"/>
      <c r="O28" s="38"/>
      <c r="S28" s="33"/>
      <c r="T28" s="33"/>
    </row>
    <row r="29" spans="2:21" ht="15" customHeight="1">
      <c r="I29" s="33"/>
      <c r="J29" s="33"/>
      <c r="K29" s="33"/>
      <c r="L29" s="33"/>
      <c r="M29" s="33"/>
      <c r="O29" s="38"/>
      <c r="S29" s="33"/>
      <c r="T29" s="33"/>
    </row>
    <row r="30" spans="2:21" ht="15" customHeight="1" thickBot="1">
      <c r="I30" s="33"/>
      <c r="J30" s="33"/>
      <c r="K30" s="33"/>
      <c r="L30" s="33"/>
      <c r="M30" s="33"/>
      <c r="O30" s="38"/>
      <c r="S30" s="33"/>
      <c r="T30" s="33"/>
    </row>
    <row r="31" spans="2:21" ht="15" customHeight="1">
      <c r="H31" s="431"/>
      <c r="I31" s="482"/>
      <c r="J31" s="432"/>
      <c r="K31" s="432"/>
      <c r="L31" s="432"/>
      <c r="M31" s="432"/>
      <c r="N31" s="432"/>
      <c r="O31" s="483"/>
      <c r="P31" s="464"/>
      <c r="Q31" s="770" t="str">
        <f>Q8</f>
        <v>Variation %</v>
      </c>
      <c r="R31" s="770"/>
      <c r="S31" s="770"/>
      <c r="T31" s="770"/>
      <c r="U31" s="465"/>
    </row>
    <row r="32" spans="2:21" ht="15" customHeight="1">
      <c r="H32" s="434"/>
      <c r="I32" s="267" t="str">
        <f>IF('Summary | Sumário'!$D$6=Names!$B$3,Names!BZ41,Names!CA41)</f>
        <v>Managerial Balance Sheet (R$ Billions)</v>
      </c>
      <c r="J32" s="435" t="str">
        <f>J9</f>
        <v>2Q24</v>
      </c>
      <c r="K32" s="435" t="str">
        <f>K9</f>
        <v>3Q24</v>
      </c>
      <c r="L32" s="435" t="str">
        <f>L9</f>
        <v>4Q24</v>
      </c>
      <c r="M32" s="435" t="str">
        <f>M9</f>
        <v>1Q25</v>
      </c>
      <c r="N32" s="435" t="str">
        <f>N9</f>
        <v>2Q25</v>
      </c>
      <c r="O32" s="310" t="str">
        <f t="shared" ref="O32" si="25">O9</f>
        <v>2Q25S</v>
      </c>
      <c r="P32" s="466"/>
      <c r="Q32" s="90" t="str">
        <f>Q9</f>
        <v>Δ QoQS</v>
      </c>
      <c r="R32" s="90" t="str">
        <f>R9</f>
        <v>Δ QoQ Actual</v>
      </c>
      <c r="S32" s="90" t="str">
        <f>S9</f>
        <v>ΔYoYS</v>
      </c>
      <c r="T32" s="90" t="str">
        <f>T9</f>
        <v>ΔYoY Actual</v>
      </c>
      <c r="U32" s="467"/>
    </row>
    <row r="33" spans="2:21" ht="15" customHeight="1">
      <c r="H33" s="434"/>
      <c r="I33" s="484" t="str">
        <f>IF('Summary | Sumário'!$D$6=Names!$B$3,Names!BZ42,Names!CA42)</f>
        <v>Assets</v>
      </c>
      <c r="J33" s="439"/>
      <c r="K33" s="439"/>
      <c r="L33" s="439"/>
      <c r="M33" s="439"/>
      <c r="N33" s="439"/>
      <c r="O33" s="485"/>
      <c r="P33" s="439"/>
      <c r="Q33" s="470"/>
      <c r="R33" s="470"/>
      <c r="S33" s="470"/>
      <c r="T33" s="470"/>
      <c r="U33" s="467"/>
    </row>
    <row r="34" spans="2:21" ht="15" customHeight="1">
      <c r="H34" s="434"/>
      <c r="I34" s="486" t="str">
        <f>IF('Summary | Sumário'!$D$6=Names!$B$3,Names!BZ43,Names!CA43)</f>
        <v>Interest earning portfolio (IEP)</v>
      </c>
      <c r="J34" s="87">
        <f>'5. IEP'!X23/1000000</f>
        <v>52.472376744180004</v>
      </c>
      <c r="K34" s="87">
        <f>'5. IEP'!Y23/1000000</f>
        <v>54.893344456663563</v>
      </c>
      <c r="L34" s="87">
        <f>'5. IEP'!Z23/1000000</f>
        <v>60.232269321271602</v>
      </c>
      <c r="M34" s="87">
        <f>'5. IEP'!AA23/1000000</f>
        <v>63.031684951030002</v>
      </c>
      <c r="N34" s="87">
        <f>'5. IEP'!AB23/1000000</f>
        <v>66.589592615949996</v>
      </c>
      <c r="O34" s="85">
        <f>M34*(1+D18)</f>
        <v>66.589592615949996</v>
      </c>
      <c r="P34" s="87"/>
      <c r="Q34" s="97">
        <f t="shared" ref="Q34:Q37" si="26">O34/M34-1</f>
        <v>5.6446335960781857E-2</v>
      </c>
      <c r="R34" s="97">
        <f t="shared" ref="R34:R37" si="27">N34/M34-1</f>
        <v>5.6446335960781857E-2</v>
      </c>
      <c r="S34" s="97">
        <f t="shared" ref="S34:S37" si="28">O34/J34-1</f>
        <v>0.26904090776364176</v>
      </c>
      <c r="T34" s="97">
        <f t="shared" ref="T34:T37" si="29">N34/J34-1</f>
        <v>0.26904090776364176</v>
      </c>
      <c r="U34" s="467"/>
    </row>
    <row r="35" spans="2:21" ht="15" customHeight="1">
      <c r="H35" s="434"/>
      <c r="I35" s="487" t="str">
        <f>IF('Summary | Sumário'!D$6=Names!B$3,Names!R3,Names!S3)</f>
        <v>Portfolio that generates provision expenses</v>
      </c>
      <c r="J35" s="29">
        <f>'9.1 Asset Quality'!X40/1000000</f>
        <v>37.631799484619997</v>
      </c>
      <c r="K35" s="29">
        <f>'9.1 Asset Quality'!Y40/1000000</f>
        <v>40.010756746049999</v>
      </c>
      <c r="L35" s="29">
        <f>'9.1 Asset Quality'!Z40/1000000</f>
        <v>43.398567240160006</v>
      </c>
      <c r="M35" s="29">
        <f>'9.1 Asset Quality'!AA40/1000000</f>
        <v>45.026060999999999</v>
      </c>
      <c r="N35" s="29">
        <f>'9.1 Asset Quality'!AB40/1000000</f>
        <v>46.464039098000008</v>
      </c>
      <c r="O35" s="85">
        <f>N35/N34*O34</f>
        <v>46.464039098000008</v>
      </c>
      <c r="P35" s="29"/>
      <c r="Q35" s="98">
        <f t="shared" si="26"/>
        <v>3.1936573310288319E-2</v>
      </c>
      <c r="R35" s="98">
        <f t="shared" si="27"/>
        <v>3.1936573310288319E-2</v>
      </c>
      <c r="S35" s="98">
        <f t="shared" si="28"/>
        <v>0.23470149539327023</v>
      </c>
      <c r="T35" s="98">
        <f t="shared" si="29"/>
        <v>0.23470149539327023</v>
      </c>
      <c r="U35" s="467"/>
    </row>
    <row r="36" spans="2:21" ht="15" customHeight="1">
      <c r="D36" s="40"/>
      <c r="H36" s="434"/>
      <c r="I36" s="486" t="str">
        <f>IF('Summary | Sumário'!$D$6=Names!$B$3,Names!BZ44,Names!CA44)</f>
        <v>Other assets</v>
      </c>
      <c r="J36" s="87">
        <f>J37-J34</f>
        <v>14.101083661820006</v>
      </c>
      <c r="K36" s="87">
        <f>K37-K34</f>
        <v>15.034732949334447</v>
      </c>
      <c r="L36" s="87">
        <f>L37-L34</f>
        <v>16.226161030255298</v>
      </c>
      <c r="M36" s="87">
        <f t="shared" ref="M36:N36" si="30">M37-M34</f>
        <v>17.526881048969997</v>
      </c>
      <c r="N36" s="87">
        <f t="shared" si="30"/>
        <v>18.143326384049999</v>
      </c>
      <c r="O36" s="85">
        <f>N36</f>
        <v>18.143326384049999</v>
      </c>
      <c r="P36" s="87"/>
      <c r="Q36" s="97">
        <f t="shared" si="26"/>
        <v>3.5171422305980027E-2</v>
      </c>
      <c r="R36" s="97">
        <f t="shared" si="27"/>
        <v>3.5171422305980027E-2</v>
      </c>
      <c r="S36" s="97">
        <f t="shared" si="28"/>
        <v>0.28666184948428763</v>
      </c>
      <c r="T36" s="97">
        <f t="shared" si="29"/>
        <v>0.28666184948428763</v>
      </c>
      <c r="U36" s="467"/>
    </row>
    <row r="37" spans="2:21" ht="15" customHeight="1">
      <c r="D37" s="46"/>
      <c r="H37" s="434"/>
      <c r="I37" s="35" t="str">
        <f>IF('Summary | Sumário'!$D$6=Names!$B$3,Names!BZ45,Names!CA45)</f>
        <v>Total assets</v>
      </c>
      <c r="J37" s="32">
        <f>'2. BS | BP'!X17/1000000</f>
        <v>66.573460406000009</v>
      </c>
      <c r="K37" s="32">
        <f>'2. BS | BP'!Y17/1000000</f>
        <v>69.92807740599801</v>
      </c>
      <c r="L37" s="32">
        <f>'2. BS | BP'!Z17/1000000</f>
        <v>76.4584303515269</v>
      </c>
      <c r="M37" s="32">
        <f>'2. BS | BP'!AA17/1000000</f>
        <v>80.558565999999999</v>
      </c>
      <c r="N37" s="32">
        <f>'2. BS | BP'!AB17/1000000</f>
        <v>84.732918999999995</v>
      </c>
      <c r="O37" s="86">
        <f>O34+O36</f>
        <v>84.732918999999995</v>
      </c>
      <c r="P37" s="32"/>
      <c r="Q37" s="93">
        <f t="shared" si="26"/>
        <v>5.1817618004769361E-2</v>
      </c>
      <c r="R37" s="93">
        <f t="shared" si="27"/>
        <v>5.1817618004769361E-2</v>
      </c>
      <c r="S37" s="93">
        <f t="shared" si="28"/>
        <v>0.27277324151777682</v>
      </c>
      <c r="T37" s="93">
        <f t="shared" si="29"/>
        <v>0.27277324151777682</v>
      </c>
      <c r="U37" s="467"/>
    </row>
    <row r="38" spans="2:21" ht="15" customHeight="1">
      <c r="H38" s="434"/>
      <c r="I38" s="488"/>
      <c r="J38" s="488"/>
      <c r="K38" s="488"/>
      <c r="L38" s="488"/>
      <c r="M38" s="518"/>
      <c r="O38" s="519"/>
      <c r="P38" s="488"/>
      <c r="Q38" s="488"/>
      <c r="R38" s="488"/>
      <c r="S38" s="488"/>
      <c r="T38" s="488"/>
      <c r="U38" s="467"/>
    </row>
    <row r="39" spans="2:21" ht="15" customHeight="1">
      <c r="H39" s="434"/>
      <c r="I39" s="484" t="str">
        <f>IF('Summary | Sumário'!$D$6=Names!$B$3,Names!BZ47,Names!CA47)</f>
        <v>Liabilities + equity</v>
      </c>
      <c r="J39" s="439"/>
      <c r="K39" s="439"/>
      <c r="L39" s="439"/>
      <c r="M39" s="476"/>
      <c r="N39" s="476"/>
      <c r="O39" s="519"/>
      <c r="P39" s="439"/>
      <c r="Q39" s="470"/>
      <c r="R39" s="470"/>
      <c r="S39" s="470"/>
      <c r="T39" s="470"/>
      <c r="U39" s="467"/>
    </row>
    <row r="40" spans="2:21" ht="15" customHeight="1">
      <c r="H40" s="434"/>
      <c r="I40" s="486" t="str">
        <f>IF('Summary | Sumário'!$D$6=Names!$B$3,Names!BZ48,Names!CA48)</f>
        <v>Total funding</v>
      </c>
      <c r="J40" s="87">
        <f>'4. Funding'!X15/1000000</f>
        <v>47.759601090000004</v>
      </c>
      <c r="K40" s="87">
        <f>'4. Funding'!Y15/1000000</f>
        <v>50.267847091739995</v>
      </c>
      <c r="L40" s="87">
        <f>'4. Funding'!Z15/1000000</f>
        <v>55.065296396439997</v>
      </c>
      <c r="M40" s="87">
        <f>'4. Funding'!AA15/1000000</f>
        <v>59.074108000000003</v>
      </c>
      <c r="N40" s="87">
        <f>'4. Funding'!AB15/1000000</f>
        <v>62.241709999999998</v>
      </c>
      <c r="O40" s="85">
        <f>M40/M34*O34</f>
        <v>62.408624946751516</v>
      </c>
      <c r="P40" s="87"/>
      <c r="Q40" s="97">
        <f t="shared" ref="Q40:Q43" si="31">O40/M40-1</f>
        <v>5.6446335960781857E-2</v>
      </c>
      <c r="R40" s="97">
        <f t="shared" ref="R40:R43" si="32">N40/M40-1</f>
        <v>5.3620818108671253E-2</v>
      </c>
      <c r="S40" s="97">
        <f t="shared" ref="S40:S43" si="33">O40/J40-1</f>
        <v>0.3067241669197851</v>
      </c>
      <c r="T40" s="97">
        <f t="shared" ref="T40:T43" si="34">N40/J40-1</f>
        <v>0.30322926865970601</v>
      </c>
      <c r="U40" s="467"/>
    </row>
    <row r="41" spans="2:21" ht="15" customHeight="1">
      <c r="H41" s="434"/>
      <c r="I41" s="468" t="str">
        <f>IF('Summary | Sumário'!$D$6=Names!$B$3,Names!BZ49,Names!CA49)</f>
        <v>Other liabilities</v>
      </c>
      <c r="J41" s="29">
        <f>J43-J40-J42</f>
        <v>10.206323754000005</v>
      </c>
      <c r="K41" s="29">
        <f>K43-K40-K42</f>
        <v>10.792892314258015</v>
      </c>
      <c r="L41" s="29">
        <f>L43-L40-L42</f>
        <v>12.320826955086902</v>
      </c>
      <c r="M41" s="29">
        <f t="shared" ref="M41:N41" si="35">M43-M40-M42</f>
        <v>12.471607999999996</v>
      </c>
      <c r="N41" s="29">
        <f t="shared" si="35"/>
        <v>13.103376999999998</v>
      </c>
      <c r="O41" s="85">
        <f>O43-O40-O42</f>
        <v>13.286064753248478</v>
      </c>
      <c r="P41" s="29"/>
      <c r="Q41" s="98">
        <f t="shared" si="31"/>
        <v>6.5304871131972808E-2</v>
      </c>
      <c r="R41" s="98">
        <f t="shared" si="32"/>
        <v>5.0656579328022699E-2</v>
      </c>
      <c r="S41" s="98">
        <f t="shared" si="33"/>
        <v>0.30174831540509173</v>
      </c>
      <c r="T41" s="98">
        <f t="shared" si="34"/>
        <v>0.28384884859884996</v>
      </c>
      <c r="U41" s="467"/>
    </row>
    <row r="42" spans="2:21" ht="15" customHeight="1">
      <c r="H42" s="434"/>
      <c r="I42" s="486" t="str">
        <f>IF('Summary | Sumário'!$D$6=Names!$B$3,Names!BZ50,Names!CA50)</f>
        <v>Equity</v>
      </c>
      <c r="J42" s="87">
        <f>'2. BS | BP'!X38/1000000</f>
        <v>8.6075355620000007</v>
      </c>
      <c r="K42" s="87">
        <f>'2. BS | BP'!Y38/1000000</f>
        <v>8.8673380000000002</v>
      </c>
      <c r="L42" s="87">
        <f>'2. BS | BP'!Z38/1000000</f>
        <v>9.0723070000000003</v>
      </c>
      <c r="M42" s="87">
        <f>'2. BS | BP'!AA38/1000000</f>
        <v>9.0128500000000003</v>
      </c>
      <c r="N42" s="87">
        <f>'2. BS | BP'!AB38/1000000</f>
        <v>9.3878319999999995</v>
      </c>
      <c r="O42" s="85">
        <f>M42+(O26-M26)/1000</f>
        <v>9.0382293000000011</v>
      </c>
      <c r="P42" s="87"/>
      <c r="Q42" s="97">
        <f t="shared" si="31"/>
        <v>2.8159017402931141E-3</v>
      </c>
      <c r="R42" s="97">
        <f t="shared" si="32"/>
        <v>4.1605263595865916E-2</v>
      </c>
      <c r="S42" s="97">
        <f t="shared" si="33"/>
        <v>5.0036823536506736E-2</v>
      </c>
      <c r="T42" s="97">
        <f t="shared" si="34"/>
        <v>9.0652711496749694E-2</v>
      </c>
      <c r="U42" s="467"/>
    </row>
    <row r="43" spans="2:21" ht="15" customHeight="1">
      <c r="H43" s="434"/>
      <c r="I43" s="35" t="str">
        <f>IF('Summary | Sumário'!$D$6=Names!$B$3,Names!BZ51,Names!CA51)</f>
        <v>Total liabilities</v>
      </c>
      <c r="J43" s="32">
        <f>J37</f>
        <v>66.573460406000009</v>
      </c>
      <c r="K43" s="32">
        <f>K37</f>
        <v>69.92807740599801</v>
      </c>
      <c r="L43" s="32">
        <f>L37</f>
        <v>76.4584303515269</v>
      </c>
      <c r="M43" s="32">
        <f t="shared" ref="M43:N43" si="36">M37</f>
        <v>80.558565999999999</v>
      </c>
      <c r="N43" s="32">
        <f t="shared" si="36"/>
        <v>84.732918999999995</v>
      </c>
      <c r="O43" s="86">
        <f>O37</f>
        <v>84.732918999999995</v>
      </c>
      <c r="P43" s="83"/>
      <c r="Q43" s="93">
        <f t="shared" si="31"/>
        <v>5.1817618004769361E-2</v>
      </c>
      <c r="R43" s="93">
        <f t="shared" si="32"/>
        <v>5.1817618004769361E-2</v>
      </c>
      <c r="S43" s="93">
        <f t="shared" si="33"/>
        <v>0.27277324151777682</v>
      </c>
      <c r="T43" s="93">
        <f t="shared" si="34"/>
        <v>0.27277324151777682</v>
      </c>
      <c r="U43" s="467"/>
    </row>
    <row r="44" spans="2:21" ht="15" customHeight="1" thickBot="1">
      <c r="H44" s="442"/>
      <c r="I44" s="443"/>
      <c r="J44" s="443"/>
      <c r="K44" s="443"/>
      <c r="L44" s="443"/>
      <c r="M44" s="443"/>
      <c r="N44" s="443"/>
      <c r="O44" s="443"/>
      <c r="P44" s="443"/>
      <c r="Q44" s="443"/>
      <c r="R44" s="443"/>
      <c r="S44" s="443"/>
      <c r="T44" s="443"/>
      <c r="U44" s="481"/>
    </row>
    <row r="45" spans="2:21" ht="15" customHeight="1" thickBot="1"/>
    <row r="46" spans="2:21" ht="15" customHeight="1">
      <c r="B46" s="446"/>
      <c r="C46" s="447"/>
      <c r="D46" s="447"/>
      <c r="E46" s="448"/>
      <c r="F46" s="448"/>
      <c r="G46" s="447"/>
      <c r="H46" s="447"/>
      <c r="I46" s="447"/>
      <c r="J46" s="447"/>
      <c r="K46" s="447"/>
      <c r="L46" s="447"/>
      <c r="M46" s="447"/>
      <c r="N46" s="447"/>
      <c r="O46" s="447"/>
      <c r="P46" s="447"/>
      <c r="Q46" s="447"/>
      <c r="R46" s="447"/>
      <c r="S46" s="447"/>
      <c r="T46" s="447"/>
      <c r="U46" s="456"/>
    </row>
    <row r="47" spans="2:21" ht="49" customHeight="1">
      <c r="B47" s="457"/>
      <c r="C47" s="771" t="str">
        <f>IF('Summary | Sumário'!$D$6=Names!$B$3,Names!BZ60,Names!CA60)</f>
        <v>Disclaimer:
Please note that this simulation is for illustrative purposes only, does not represent actual financial data and the results may not accurately reflect real-world outcomes. The information provided is based on hypothetical scenarios and assumptions. The simulation is intended as a learning tool and does not provide any investment advice, recommendations, or guidance.
Users are advised to exercise caution when interpreting the results and are encouraged to consult with qualified financial professionals.</v>
      </c>
      <c r="D47" s="771"/>
      <c r="E47" s="771"/>
      <c r="F47" s="771"/>
      <c r="G47" s="771"/>
      <c r="H47" s="771"/>
      <c r="I47" s="771"/>
      <c r="J47" s="771"/>
      <c r="K47" s="771"/>
      <c r="L47" s="771"/>
      <c r="M47" s="771"/>
      <c r="N47" s="771"/>
      <c r="O47" s="771"/>
      <c r="P47" s="771"/>
      <c r="Q47" s="771"/>
      <c r="R47" s="771"/>
      <c r="S47" s="771"/>
      <c r="T47" s="771"/>
      <c r="U47" s="772"/>
    </row>
    <row r="48" spans="2:21" ht="15" customHeight="1" thickBot="1">
      <c r="B48" s="452"/>
      <c r="C48" s="453"/>
      <c r="D48" s="453"/>
      <c r="E48" s="454"/>
      <c r="F48" s="454"/>
      <c r="G48" s="453"/>
      <c r="H48" s="453"/>
      <c r="I48" s="453"/>
      <c r="J48" s="453"/>
      <c r="K48" s="453"/>
      <c r="L48" s="453"/>
      <c r="M48" s="453"/>
      <c r="N48" s="453"/>
      <c r="O48" s="453"/>
      <c r="P48" s="453"/>
      <c r="Q48" s="453"/>
      <c r="R48" s="453"/>
      <c r="S48" s="453"/>
      <c r="T48" s="453"/>
      <c r="U48" s="460"/>
    </row>
    <row r="64" spans="9:9" ht="15" customHeight="1">
      <c r="I64" s="40"/>
    </row>
    <row r="66" spans="3:16" ht="15" customHeight="1">
      <c r="C66" s="769"/>
      <c r="D66" s="769"/>
      <c r="E66" s="769"/>
      <c r="F66" s="769"/>
      <c r="G66" s="769"/>
      <c r="H66" s="769"/>
      <c r="I66" s="769"/>
      <c r="J66" s="769"/>
      <c r="K66" s="769"/>
      <c r="L66" s="769"/>
      <c r="M66" s="769"/>
      <c r="N66" s="769"/>
      <c r="O66" s="769"/>
      <c r="P66" s="41"/>
    </row>
  </sheetData>
  <sheetProtection algorithmName="SHA-512" hashValue="pa/8vzYsnGGEJpow7tuVqEoe4ChcBbyQCznpxEiA4+slmKeZ/rcH1tobLwe/Qc771tvdvmuvVtNW4FaUuSn/2Q==" saltValue="2UYedYymTrlGNn0iWEdyyg==" spinCount="100000" sheet="1" formatCells="0" formatColumns="0" formatRows="0" insertColumns="0" insertRows="0" insertHyperlinks="0" deleteColumns="0" deleteRows="0" sort="0" autoFilter="0" pivotTables="0"/>
  <mergeCells count="6">
    <mergeCell ref="C3:T4"/>
    <mergeCell ref="C5:U5"/>
    <mergeCell ref="C66:O66"/>
    <mergeCell ref="Q8:T8"/>
    <mergeCell ref="Q31:T31"/>
    <mergeCell ref="C47:U47"/>
  </mergeCells>
  <pageMargins left="0.511811024" right="0.511811024" top="0.78740157499999996" bottom="0.78740157499999996" header="0.31496062000000002" footer="0.31496062000000002"/>
  <pageSetup paperSize="9" orientation="portrait" horizontalDpi="0" verticalDpi="0"/>
  <ignoredErrors>
    <ignoredError sqref="G64 J64 D64:E64 D27 O19 O41 O23:O24 O43 O13 O10 O16 O20 O26 O38:O39 O37 K64:L64" unlockedFormula="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3AFE-1A05-E54A-9DA1-4A8675E3D330}">
  <sheetPr codeName="Sheet30">
    <tabColor theme="0" tint="-0.14999847407452621"/>
  </sheetPr>
  <dimension ref="A1:A33"/>
  <sheetViews>
    <sheetView showGridLines="0" zoomScaleNormal="100" workbookViewId="0"/>
  </sheetViews>
  <sheetFormatPr baseColWidth="10" defaultColWidth="10.83203125" defaultRowHeight="15" customHeight="1"/>
  <cols>
    <col min="1" max="16" width="10.83203125" style="2" customWidth="1"/>
    <col min="17" max="16384" width="10.83203125" style="2"/>
  </cols>
  <sheetData>
    <row r="1"/>
    <row r="2"/>
    <row r="3"/>
    <row r="4"/>
    <row r="5"/>
    <row r="6"/>
    <row r="7"/>
    <row r="8"/>
    <row r="9"/>
    <row r="10"/>
    <row r="11"/>
    <row r="12"/>
    <row r="13"/>
    <row r="14"/>
    <row r="15"/>
    <row r="16"/>
    <row r="17"/>
    <row r="18"/>
    <row r="19"/>
    <row r="20"/>
    <row r="21"/>
    <row r="22"/>
    <row r="23"/>
    <row r="24"/>
    <row r="25"/>
    <row r="26"/>
    <row r="27"/>
    <row r="28"/>
    <row r="29"/>
    <row r="30"/>
    <row r="31"/>
    <row r="32"/>
    <row r="33"/>
  </sheetData>
  <sheetProtection algorithmName="SHA-512" hashValue="zKs9tLWYgQ18dhOgHFYiZeGaZKF3aavVRfgAQNgp1lNu1SRxSAP3OhiAVdxbLZvFFuhmcvpvG/UE/tp1UTPJSg==" saltValue="GPmDQsGpXjRKDrtL/bla4Q==" spinCount="100000" sheet="1" scenarios="1" selectLockedCells="1" selectUnlockedCells="1"/>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F2FD-FBF4-9C48-B72B-97B3EE321880}">
  <sheetPr codeName="Sheet6">
    <tabColor rgb="FFEB7100"/>
  </sheetPr>
  <dimension ref="A1:AA40"/>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baseColWidth="10" defaultColWidth="10.83203125" defaultRowHeight="13" customHeight="1"/>
  <cols>
    <col min="1" max="1" width="3.33203125" style="161" customWidth="1"/>
    <col min="2" max="2" width="68.33203125" style="15" bestFit="1" customWidth="1"/>
    <col min="3" max="14" width="10.83203125" style="250" customWidth="1"/>
    <col min="15" max="15" width="4.83203125" style="250" customWidth="1"/>
    <col min="16" max="20" width="10.83203125" style="250" customWidth="1"/>
    <col min="21" max="24" width="10.83203125" style="250"/>
    <col min="25" max="16384" width="10.83203125" style="161"/>
  </cols>
  <sheetData>
    <row r="1" spans="1:27" s="238" customFormat="1" ht="13" customHeight="1">
      <c r="B1" s="9"/>
      <c r="C1" s="239"/>
      <c r="D1" s="239"/>
      <c r="E1" s="239"/>
      <c r="F1" s="239"/>
      <c r="G1" s="239"/>
      <c r="H1" s="239"/>
      <c r="I1" s="239"/>
      <c r="J1" s="239"/>
      <c r="K1" s="239"/>
      <c r="L1" s="239"/>
      <c r="M1" s="239"/>
      <c r="N1" s="239"/>
      <c r="O1" s="239"/>
      <c r="P1" s="239"/>
      <c r="Q1" s="239"/>
      <c r="R1" s="239"/>
      <c r="S1" s="239"/>
      <c r="T1" s="239"/>
      <c r="U1" s="239"/>
      <c r="V1" s="239"/>
      <c r="W1" s="239"/>
      <c r="X1" s="239"/>
    </row>
    <row r="2" spans="1:27" s="10" customFormat="1" ht="13" customHeight="1">
      <c r="B2" s="267" t="str">
        <f>IF('Summary | Sumário'!D6=Names!B3,Names!BV1,Names!BW1)</f>
        <v>Highlights of the Quarter | 4Q25</v>
      </c>
      <c r="C2" s="20" t="str">
        <f>IF('Summary | Sumário'!D6=Names!B3,Names!C14,Names!D14)</f>
        <v>1Q23</v>
      </c>
      <c r="D2" s="20" t="str">
        <f>IF('Summary | Sumário'!D6=Names!B3,Names!C15,Names!D15)</f>
        <v>2Q23</v>
      </c>
      <c r="E2" s="20" t="str">
        <f>IF('Summary | Sumário'!D6=Names!B3,Names!C16,Names!D16)</f>
        <v>3Q23</v>
      </c>
      <c r="F2" s="20" t="str">
        <f>IF('Summary | Sumário'!D6=Names!B3,Names!C17,Names!D17)</f>
        <v>4Q23</v>
      </c>
      <c r="G2" s="20" t="str">
        <f>IF('Summary | Sumário'!D6=Names!B3,Names!C19,Names!D19)</f>
        <v>1Q24</v>
      </c>
      <c r="H2" s="20" t="str">
        <f>IF('Summary | Sumário'!D6=Names!B3,Names!C20,Names!D20)</f>
        <v>2Q24</v>
      </c>
      <c r="I2" s="20" t="str">
        <f>IF('Summary | Sumário'!D6=Names!B3,Names!C21,Names!D21)</f>
        <v>3Q24</v>
      </c>
      <c r="J2" s="20" t="str">
        <f>IF('Summary | Sumário'!D6=Names!B3,Names!C22,Names!D22)</f>
        <v>4Q24</v>
      </c>
      <c r="K2" s="20" t="str">
        <f>IF('Summary | Sumário'!D6=Names!B3,Names!C24,Names!D24)</f>
        <v>1Q25</v>
      </c>
      <c r="L2" s="20" t="str">
        <f>IF('Summary | Sumário'!D6=Names!B3,Names!C25,Names!D25)</f>
        <v>2Q25</v>
      </c>
      <c r="M2" s="20" t="str">
        <f>IF('Summary | Sumário'!D6=Names!B3,Names!C26,Names!D26)</f>
        <v>3Q25</v>
      </c>
      <c r="N2" s="269" t="str">
        <f>IF('Summary | Sumário'!D6=Names!B3,Names!C27,Names!D27)</f>
        <v>4Q25</v>
      </c>
      <c r="O2" s="321"/>
      <c r="P2" s="104" t="str">
        <f>IF('Summary | Sumário'!$D$6=Names!$B$3,Names!$I$24,Names!$J$24)</f>
        <v>QoQ Variation</v>
      </c>
      <c r="Q2" s="104" t="str">
        <f>IF('Summary | Sumário'!D6=Names!$B$3,Names!$I$25,Names!$J$25)</f>
        <v>YoY Variation</v>
      </c>
      <c r="R2" s="21"/>
      <c r="S2" s="21"/>
      <c r="T2" s="21"/>
      <c r="U2" s="21"/>
      <c r="V2" s="21"/>
      <c r="W2" s="58"/>
      <c r="X2" s="11"/>
      <c r="Z2" s="12"/>
      <c r="AA2" s="13"/>
    </row>
    <row r="3" spans="1:27" s="122" customFormat="1" ht="13" customHeight="1">
      <c r="B3" s="19"/>
      <c r="C3" s="118"/>
      <c r="D3" s="119"/>
      <c r="E3" s="119"/>
      <c r="F3" s="119"/>
      <c r="G3" s="119"/>
      <c r="H3" s="119"/>
      <c r="I3" s="119"/>
      <c r="J3" s="119"/>
      <c r="K3" s="119"/>
      <c r="L3" s="119"/>
      <c r="M3" s="119"/>
      <c r="N3" s="119"/>
      <c r="O3" s="119"/>
      <c r="P3" s="118"/>
      <c r="Q3" s="118"/>
      <c r="R3" s="119"/>
      <c r="S3" s="119"/>
      <c r="T3" s="119"/>
      <c r="U3" s="119"/>
      <c r="V3" s="119"/>
      <c r="W3" s="120"/>
      <c r="X3" s="121"/>
      <c r="Z3" s="123"/>
      <c r="AA3" s="124"/>
    </row>
    <row r="4" spans="1:27" ht="13" customHeight="1">
      <c r="A4" s="235"/>
      <c r="B4" s="270" t="str">
        <f>IF('Summary | Sumário'!D6=Names!B3,Names!BV4,Names!BW4)</f>
        <v>Unit Economics</v>
      </c>
      <c r="C4" s="161"/>
      <c r="D4" s="161"/>
      <c r="E4" s="161"/>
      <c r="F4" s="161"/>
      <c r="G4" s="161"/>
      <c r="H4" s="161"/>
      <c r="I4" s="161"/>
      <c r="J4" s="161"/>
      <c r="K4" s="161"/>
      <c r="L4" s="161"/>
      <c r="M4" s="161"/>
      <c r="N4" s="161"/>
      <c r="O4" s="161"/>
      <c r="P4" s="161"/>
      <c r="Q4" s="161"/>
      <c r="S4" s="243"/>
      <c r="T4" s="243"/>
      <c r="U4" s="243"/>
      <c r="V4" s="243"/>
      <c r="W4" s="243"/>
      <c r="X4" s="243"/>
    </row>
    <row r="5" spans="1:27" ht="13" customHeight="1">
      <c r="A5" s="235"/>
      <c r="B5" s="271" t="str">
        <f>IF('Summary | Sumário'!D6=Names!B3,Names!BV5,Names!BW5)</f>
        <v>Total Clients (mm)</v>
      </c>
      <c r="C5" s="272">
        <f>'5. Oper. KPIs | KPIs Oper.'!M5</f>
        <v>26.288263000000001</v>
      </c>
      <c r="D5" s="272">
        <f>'5. Oper. KPIs | KPIs Oper.'!N5</f>
        <v>27.774601000000001</v>
      </c>
      <c r="E5" s="272">
        <f>'5. Oper. KPIs | KPIs Oper.'!O5</f>
        <v>29.374635000000001</v>
      </c>
      <c r="F5" s="272">
        <f>'5. Oper. KPIs | KPIs Oper.'!P5</f>
        <v>30.363865000000001</v>
      </c>
      <c r="G5" s="272">
        <f>'5. Oper. KPIs | KPIs Oper.'!Q5</f>
        <v>31.722895999999999</v>
      </c>
      <c r="H5" s="272">
        <f>'5. Oper. KPIs | KPIs Oper.'!R5</f>
        <v>33.270463999999997</v>
      </c>
      <c r="I5" s="272">
        <f>'5. Oper. KPIs | KPIs Oper.'!S5</f>
        <v>34.922488000000001</v>
      </c>
      <c r="J5" s="272">
        <f>'5. Oper. KPIs | KPIs Oper.'!T5</f>
        <v>36.142020000000002</v>
      </c>
      <c r="K5" s="272">
        <f>'5. Oper. KPIs | KPIs Oper.'!U5</f>
        <v>37.700344999999999</v>
      </c>
      <c r="L5" s="272">
        <f>'5. Oper. KPIs | KPIs Oper.'!V5</f>
        <v>39.328280999999997</v>
      </c>
      <c r="M5" s="272">
        <f>'5. Oper. KPIs | KPIs Oper.'!W5</f>
        <v>41.296011</v>
      </c>
      <c r="N5" s="272">
        <f>'5. Oper. KPIs | KPIs Oper.'!X5</f>
        <v>43.095855999999998</v>
      </c>
      <c r="O5" s="253"/>
      <c r="P5" s="273">
        <f>N5/M5-1</f>
        <v>4.3583991683845635E-2</v>
      </c>
      <c r="Q5" s="273">
        <f>N5/J5-1</f>
        <v>0.19240308095673675</v>
      </c>
      <c r="S5" s="243"/>
      <c r="T5" s="243"/>
      <c r="U5" s="243"/>
      <c r="V5" s="243"/>
      <c r="W5" s="243"/>
      <c r="X5" s="243"/>
    </row>
    <row r="6" spans="1:27" ht="13" customHeight="1">
      <c r="A6" s="235"/>
      <c r="B6" s="16" t="str">
        <f>IF('Summary | Sumário'!D6=Names!B3,Names!BV6,Names!BW6)</f>
        <v>Active Clients (mm)</v>
      </c>
      <c r="C6" s="253">
        <f>'5. Oper. KPIs | KPIs Oper.'!M6</f>
        <v>13.540568</v>
      </c>
      <c r="D6" s="253">
        <f>'5. Oper. KPIs | KPIs Oper.'!N6</f>
        <v>14.494907</v>
      </c>
      <c r="E6" s="253">
        <f>'5. Oper. KPIs | KPIs Oper.'!O6</f>
        <v>15.47322</v>
      </c>
      <c r="F6" s="253">
        <f>'5. Oper. KPIs | KPIs Oper.'!P6</f>
        <v>16.405394000000001</v>
      </c>
      <c r="G6" s="253">
        <f>'5. Oper. KPIs | KPIs Oper.'!Q6</f>
        <v>17.413702000000001</v>
      </c>
      <c r="H6" s="253">
        <f>'5. Oper. KPIs | KPIs Oper.'!R6</f>
        <v>18.401989</v>
      </c>
      <c r="I6" s="253">
        <f>'5. Oper. KPIs | KPIs Oper.'!S6</f>
        <v>19.538504</v>
      </c>
      <c r="J6" s="253">
        <f>'5. Oper. KPIs | KPIs Oper.'!T6</f>
        <v>20.561736</v>
      </c>
      <c r="K6" s="253">
        <f>'5. Oper. KPIs | KPIs Oper.'!U6</f>
        <v>21.578842000000002</v>
      </c>
      <c r="L6" s="253">
        <f>'5. Oper. KPIs | KPIs Oper.'!V6</f>
        <v>22.710922</v>
      </c>
      <c r="M6" s="253">
        <f>'5. Oper. KPIs | KPIs Oper.'!W6</f>
        <v>23.926410000000001</v>
      </c>
      <c r="N6" s="253">
        <f>'5. Oper. KPIs | KPIs Oper.'!X6</f>
        <v>24.984497000000001</v>
      </c>
      <c r="O6" s="253"/>
      <c r="P6" s="254">
        <f>N6/M6-1</f>
        <v>4.4222555744886094E-2</v>
      </c>
      <c r="Q6" s="254">
        <f>N6/J6-1</f>
        <v>0.21509667277120958</v>
      </c>
      <c r="S6" s="243"/>
      <c r="T6" s="243"/>
      <c r="U6" s="243"/>
      <c r="V6" s="243"/>
      <c r="W6" s="243"/>
      <c r="X6" s="243"/>
    </row>
    <row r="7" spans="1:27" ht="13" customHeight="1">
      <c r="A7" s="235"/>
      <c r="B7" s="22" t="str">
        <f>IF('Summary | Sumário'!D6=Names!B3,Names!BV7,Names!BW7)</f>
        <v>Gross ARPAC (R$)</v>
      </c>
      <c r="C7" s="251">
        <f>'9.6 ARPAC'!S16</f>
        <v>45.928754143736498</v>
      </c>
      <c r="D7" s="251">
        <f>'9.6 ARPAC'!T16</f>
        <v>46.097358198258931</v>
      </c>
      <c r="E7" s="251">
        <f>'9.6 ARPAC'!U16</f>
        <v>47.683229324275089</v>
      </c>
      <c r="F7" s="251">
        <f>'9.6 ARPAC'!V16</f>
        <v>45.943985472726851</v>
      </c>
      <c r="G7" s="251">
        <f>'9.6 ARPAC'!W16</f>
        <v>45.155471724025865</v>
      </c>
      <c r="H7" s="251">
        <f>'9.6 ARPAC'!X16</f>
        <v>44.744988009538986</v>
      </c>
      <c r="I7" s="251">
        <f>'9.6 ARPAC'!Y16</f>
        <v>47.164658772595494</v>
      </c>
      <c r="J7" s="251">
        <f>'9.6 ARPAC'!Z16</f>
        <v>49.265202333247132</v>
      </c>
      <c r="K7" s="251">
        <f>'9.6 ARPAC'!AA16</f>
        <v>50.018736493520954</v>
      </c>
      <c r="L7" s="251">
        <f>'9.6 ARPAC'!AB16</f>
        <v>53.691072576799762</v>
      </c>
      <c r="M7" s="251">
        <f>'9.6 ARPAC'!AC16</f>
        <v>56.844732598911676</v>
      </c>
      <c r="N7" s="251">
        <f>'9.6 ARPAC'!AD16</f>
        <v>58.522364619681532</v>
      </c>
      <c r="O7" s="253"/>
      <c r="P7" s="252">
        <f>N7/M7-1</f>
        <v>2.9512532543815251E-2</v>
      </c>
      <c r="Q7" s="252">
        <f>N7/J7-1</f>
        <v>0.18790468419911699</v>
      </c>
      <c r="T7" s="243"/>
      <c r="U7" s="243"/>
      <c r="V7" s="243"/>
      <c r="W7" s="243"/>
      <c r="X7" s="243"/>
    </row>
    <row r="8" spans="1:27" ht="13" customHeight="1">
      <c r="A8" s="235"/>
      <c r="B8" s="16" t="str">
        <f>IF('Summary | Sumário'!D6=Names!B3,Names!BV8,Names!BW8)</f>
        <v>CTS (R$)</v>
      </c>
      <c r="C8" s="253">
        <f>'9.5 CTS | Custo de servir '!S13</f>
        <v>15.198842445968298</v>
      </c>
      <c r="D8" s="253">
        <f>'9.5 CTS | Custo de servir '!T13</f>
        <v>13.67902630506528</v>
      </c>
      <c r="E8" s="253">
        <f>'9.5 CTS | Custo de servir '!U13</f>
        <v>13.661825890331194</v>
      </c>
      <c r="F8" s="253">
        <f>'9.5 CTS | Custo de servir '!V13</f>
        <v>13.123678045308578</v>
      </c>
      <c r="G8" s="253">
        <f>'9.5 CTS | Custo de servir '!W13</f>
        <v>12.371846564635158</v>
      </c>
      <c r="H8" s="253">
        <f>'9.5 CTS | Custo de servir '!X13</f>
        <v>12.286397015579938</v>
      </c>
      <c r="I8" s="253">
        <f>'9.5 CTS | Custo de servir '!Y13</f>
        <v>13.830950210724284</v>
      </c>
      <c r="J8" s="253">
        <f>'9.5 CTS | Custo de servir '!Z13</f>
        <v>13.978975088428397</v>
      </c>
      <c r="K8" s="253">
        <f>'9.5 CTS | Custo de servir '!AA13</f>
        <v>13.138845255832354</v>
      </c>
      <c r="L8" s="253">
        <f>'9.5 CTS | Custo de servir '!AB13</f>
        <v>13.147140123242322</v>
      </c>
      <c r="M8" s="253">
        <f>'9.5 CTS | Custo de servir '!AC13</f>
        <v>13.052704930319202</v>
      </c>
      <c r="N8" s="253">
        <f>'9.5 CTS | Custo de servir '!AD13</f>
        <v>13.829302599792996</v>
      </c>
      <c r="O8" s="253"/>
      <c r="P8" s="254">
        <f>N8/M8-1</f>
        <v>5.949706774339858E-2</v>
      </c>
      <c r="Q8" s="254">
        <f>N8/J8-1</f>
        <v>-1.0706971554681255E-2</v>
      </c>
      <c r="T8" s="243"/>
      <c r="U8" s="243"/>
      <c r="V8" s="243"/>
      <c r="W8" s="243"/>
      <c r="X8" s="243"/>
    </row>
    <row r="9" spans="1:27" ht="13" customHeight="1">
      <c r="A9" s="235"/>
      <c r="B9" s="22"/>
      <c r="C9" s="242"/>
      <c r="D9" s="242"/>
      <c r="E9" s="242"/>
      <c r="F9" s="242"/>
      <c r="G9" s="242"/>
      <c r="H9" s="242"/>
      <c r="I9" s="242"/>
      <c r="J9" s="242"/>
      <c r="K9" s="242"/>
      <c r="L9" s="242"/>
      <c r="M9" s="242"/>
      <c r="N9" s="242"/>
      <c r="O9" s="243"/>
      <c r="P9" s="534"/>
      <c r="Q9" s="534"/>
      <c r="T9" s="243"/>
      <c r="U9" s="243"/>
      <c r="V9" s="243"/>
      <c r="W9" s="243"/>
      <c r="X9" s="243"/>
    </row>
    <row r="10" spans="1:27" ht="13" customHeight="1">
      <c r="A10" s="235"/>
      <c r="B10" s="270" t="str">
        <f>IF('Summary | Sumário'!$D$6=Names!$B$3,Names!BV11,Names!BW11)</f>
        <v>Income Statement</v>
      </c>
      <c r="P10" s="541"/>
      <c r="Q10" s="541"/>
      <c r="T10" s="243"/>
      <c r="U10" s="243"/>
      <c r="V10" s="243"/>
      <c r="W10" s="243"/>
      <c r="X10" s="243"/>
    </row>
    <row r="11" spans="1:27" ht="13" customHeight="1">
      <c r="A11" s="235"/>
      <c r="B11" s="271" t="str">
        <f>IF('Summary | Sumário'!$D$6=Names!$B$3,Names!BV12,Names!BW12)</f>
        <v>Gross Revenue (R$ mm)</v>
      </c>
      <c r="C11" s="529">
        <f>'9.6 ARPAC'!S6/1000</f>
        <v>1799.831124</v>
      </c>
      <c r="D11" s="529">
        <f>'9.6 ARPAC'!T6/1000</f>
        <v>1938.5419999999999</v>
      </c>
      <c r="E11" s="529">
        <f>'9.6 ARPAC'!U6/1000</f>
        <v>2143.4656082400002</v>
      </c>
      <c r="F11" s="529">
        <f>'9.6 ARPAC'!V6/1000</f>
        <v>2196.9458677600005</v>
      </c>
      <c r="G11" s="529">
        <f>'9.6 ARPAC'!W6/1000</f>
        <v>2290.6758497401747</v>
      </c>
      <c r="H11" s="529">
        <f>'9.6 ARPAC'!X6/1000</f>
        <v>2403.8589965225306</v>
      </c>
      <c r="I11" s="529">
        <f>'9.6 ARPAC'!Y6/1000</f>
        <v>2684.1756090135718</v>
      </c>
      <c r="J11" s="529">
        <f>'9.6 ARPAC'!Z6/1000</f>
        <v>2963.3196558176555</v>
      </c>
      <c r="K11" s="529">
        <f>'9.6 ARPAC'!AA6/1000</f>
        <v>3161.7276999999999</v>
      </c>
      <c r="L11" s="529">
        <f>'9.6 ARPAC'!AB6/1000</f>
        <v>3566.9474</v>
      </c>
      <c r="M11" s="529">
        <f>'9.6 ARPAC'!AC6/1000</f>
        <v>3976.63</v>
      </c>
      <c r="N11" s="529">
        <f>'9.6 ARPAC'!AD6/1000</f>
        <v>4293.5729000000001</v>
      </c>
      <c r="O11" s="243"/>
      <c r="P11" s="273">
        <f>N11/M11-1</f>
        <v>7.970138031448748E-2</v>
      </c>
      <c r="Q11" s="273">
        <f>N11/J11-1</f>
        <v>0.44890642883252974</v>
      </c>
      <c r="T11" s="243"/>
      <c r="U11" s="243"/>
      <c r="V11" s="243"/>
      <c r="W11" s="243"/>
      <c r="X11" s="243"/>
    </row>
    <row r="12" spans="1:27" ht="13" customHeight="1">
      <c r="A12" s="235"/>
      <c r="B12" s="16" t="str">
        <f>IF('Summary | Sumário'!$D$6=Names!$B$3,Names!BV13,Names!BW13)</f>
        <v>Net Revenues (R$ mm)</v>
      </c>
      <c r="C12" s="215">
        <f>'3. IS | DRE'!S12/1000</f>
        <v>1024.1141240000002</v>
      </c>
      <c r="D12" s="215">
        <f>'3. IS | DRE'!T12/1000</f>
        <v>1150.0340000000001</v>
      </c>
      <c r="E12" s="215">
        <f>'3. IS | DRE'!U12/1000</f>
        <v>1265.4956082399999</v>
      </c>
      <c r="F12" s="215">
        <f>'3. IS | DRE'!V12/1000</f>
        <v>1312.93386276</v>
      </c>
      <c r="G12" s="215">
        <f>'3. IS | DRE'!W12/1000</f>
        <v>1400.9401153715321</v>
      </c>
      <c r="H12" s="215">
        <f>'3. IS | DRE'!X12/1000</f>
        <v>1478.5978110425297</v>
      </c>
      <c r="I12" s="215">
        <f>'3. IS | DRE'!Y12/1000</f>
        <v>1676.142244553572</v>
      </c>
      <c r="J12" s="215">
        <f>'3. IS | DRE'!Z12/1000</f>
        <v>1844.4850262437662</v>
      </c>
      <c r="K12" s="215">
        <f>'3. IS | DRE'!AA12/1000</f>
        <v>1837.8011000000001</v>
      </c>
      <c r="L12" s="215">
        <f>'3. IS | DRE'!AB12/1000</f>
        <v>2003.0824</v>
      </c>
      <c r="M12" s="215">
        <f>'3. IS | DRE'!AC12/1000</f>
        <v>2162.1640000000002</v>
      </c>
      <c r="N12" s="215">
        <f>'3. IS | DRE'!AD12/1000</f>
        <v>2397.8905</v>
      </c>
      <c r="O12" s="215"/>
      <c r="P12" s="254">
        <f>N12/M12-1</f>
        <v>0.10902341358009826</v>
      </c>
      <c r="Q12" s="254">
        <f>N12/J12-1</f>
        <v>0.3000325109080586</v>
      </c>
      <c r="T12" s="243"/>
      <c r="U12" s="243"/>
      <c r="V12" s="243"/>
      <c r="W12" s="243"/>
      <c r="X12" s="243"/>
    </row>
    <row r="13" spans="1:27" ht="13" customHeight="1">
      <c r="A13" s="235"/>
      <c r="B13" s="22" t="str">
        <f>IF('Summary | Sumário'!$D$6=Names!$B$3,Names!BV14,Names!BW14)</f>
        <v>Pre Tax Net Income (R$ mm)</v>
      </c>
      <c r="C13" s="535">
        <f>'3. IS | DRE'!S23/1000</f>
        <v>5.8971240000000691</v>
      </c>
      <c r="D13" s="535">
        <f>'3. IS | DRE'!T23/1000</f>
        <v>80.299000000000007</v>
      </c>
      <c r="E13" s="535">
        <f>'3. IS | DRE'!U23/1000</f>
        <v>145.35400000000001</v>
      </c>
      <c r="F13" s="535">
        <f>'3. IS | DRE'!V23/1000</f>
        <v>208.29187599999995</v>
      </c>
      <c r="G13" s="535">
        <f>'3. IS | DRE'!W23/1000</f>
        <v>273.73200000000003</v>
      </c>
      <c r="H13" s="535">
        <f>'3. IS | DRE'!X23/1000</f>
        <v>297.60700000000003</v>
      </c>
      <c r="I13" s="535">
        <f>'3. IS | DRE'!Y23/1000</f>
        <v>293.95208107357217</v>
      </c>
      <c r="J13" s="535">
        <f>'3. IS | DRE'!Z23/1000</f>
        <v>340.25850124376643</v>
      </c>
      <c r="K13" s="535">
        <f>'3. IS | DRE'!AA23/1000</f>
        <v>357.54690000000016</v>
      </c>
      <c r="L13" s="535">
        <f>'3. IS | DRE'!AB23/1000</f>
        <v>383.52819999999997</v>
      </c>
      <c r="M13" s="535">
        <f>'3. IS | DRE'!AC23/1000</f>
        <v>417.92540000000002</v>
      </c>
      <c r="N13" s="535">
        <f>'3. IS | DRE'!AD23/1000</f>
        <v>465.18649999999974</v>
      </c>
      <c r="O13" s="255"/>
      <c r="P13" s="252">
        <f>N13/M13-1</f>
        <v>0.11308501469400922</v>
      </c>
      <c r="Q13" s="252">
        <f>N13/J13-1</f>
        <v>0.36715614246103123</v>
      </c>
      <c r="T13" s="243"/>
      <c r="U13" s="243"/>
      <c r="V13" s="243"/>
      <c r="W13" s="243"/>
      <c r="X13" s="243"/>
    </row>
    <row r="14" spans="1:27" ht="13" customHeight="1">
      <c r="A14" s="235"/>
      <c r="B14" s="16" t="str">
        <f>IF('Summary | Sumário'!$D$6=Names!$B$3,Names!BV16,Names!BW16)</f>
        <v>Net Income (R$ mm)</v>
      </c>
      <c r="C14" s="215">
        <f>'3. IS | DRE'!S29/1000</f>
        <v>11.404999999999999</v>
      </c>
      <c r="D14" s="215">
        <f>'3. IS | DRE'!T29/1000</f>
        <v>48.746000000000002</v>
      </c>
      <c r="E14" s="215">
        <f>'3. IS | DRE'!U29/1000</f>
        <v>91.290999999999997</v>
      </c>
      <c r="F14" s="215">
        <f>'3. IS | DRE'!V29/1000</f>
        <v>150.90100000000001</v>
      </c>
      <c r="G14" s="215">
        <f>'3. IS | DRE'!W29/1000</f>
        <v>182.79300000000001</v>
      </c>
      <c r="H14" s="215">
        <f>'3. IS | DRE'!X29/1000</f>
        <v>206.47900000000001</v>
      </c>
      <c r="I14" s="215">
        <f>'3. IS | DRE'!Y29/1000</f>
        <v>242.67099999999999</v>
      </c>
      <c r="J14" s="215">
        <f>'3. IS | DRE'!Z29/1000</f>
        <v>275.18900000000002</v>
      </c>
      <c r="K14" s="215">
        <f>'3. IS | DRE'!AA29/1000</f>
        <v>286.52199999999999</v>
      </c>
      <c r="L14" s="215">
        <f>'3. IS | DRE'!AB29/1000</f>
        <v>315.13079999999997</v>
      </c>
      <c r="M14" s="215">
        <f>'3. IS | DRE'!AC29/1000</f>
        <v>336.34520000000003</v>
      </c>
      <c r="N14" s="215">
        <f>'3. IS | DRE'!AD29/1000</f>
        <v>374.392</v>
      </c>
      <c r="O14" s="215"/>
      <c r="P14" s="254">
        <f>N14/M14-1</f>
        <v>0.1131183082142988</v>
      </c>
      <c r="Q14" s="254">
        <f>N14/J14-1</f>
        <v>0.36049042657955077</v>
      </c>
      <c r="T14" s="243"/>
      <c r="U14" s="243"/>
      <c r="V14" s="243"/>
      <c r="W14" s="243"/>
      <c r="X14" s="243"/>
    </row>
    <row r="15" spans="1:27" s="705" customFormat="1" ht="13" customHeight="1">
      <c r="A15" s="701"/>
      <c r="B15" s="697"/>
      <c r="C15" s="702"/>
      <c r="D15" s="702"/>
      <c r="E15" s="702"/>
      <c r="F15" s="702"/>
      <c r="G15" s="702"/>
      <c r="H15" s="702"/>
      <c r="I15" s="702"/>
      <c r="J15" s="702"/>
      <c r="K15" s="702"/>
      <c r="L15" s="702"/>
      <c r="M15" s="702"/>
      <c r="N15" s="702"/>
      <c r="O15" s="215"/>
      <c r="P15" s="703"/>
      <c r="Q15" s="703"/>
      <c r="R15" s="704"/>
      <c r="S15" s="704"/>
      <c r="T15" s="702"/>
      <c r="U15" s="702"/>
      <c r="V15" s="702"/>
      <c r="W15" s="702"/>
      <c r="X15" s="702"/>
    </row>
    <row r="16" spans="1:27" s="705" customFormat="1" ht="13" customHeight="1">
      <c r="A16" s="701"/>
      <c r="B16" s="24" t="str">
        <f>IF('Summary | Sumário'!$D$6=Names!$B$3,Names!BV17,Names!BW17)</f>
        <v>Balance Sheet &amp; Capital</v>
      </c>
      <c r="C16" s="274"/>
      <c r="D16" s="274"/>
      <c r="E16" s="274"/>
      <c r="F16" s="274"/>
      <c r="G16" s="274"/>
      <c r="H16" s="274"/>
      <c r="I16" s="274"/>
      <c r="J16" s="274"/>
      <c r="K16" s="274"/>
      <c r="L16" s="274"/>
      <c r="M16" s="274"/>
      <c r="N16" s="274"/>
      <c r="O16" s="250"/>
      <c r="P16" s="644"/>
      <c r="Q16" s="644"/>
      <c r="R16" s="704"/>
      <c r="S16" s="704"/>
      <c r="T16" s="706"/>
      <c r="U16" s="706"/>
      <c r="V16" s="706"/>
      <c r="W16" s="706"/>
      <c r="X16" s="706"/>
      <c r="Y16" s="707"/>
    </row>
    <row r="17" spans="1:25" s="705" customFormat="1" ht="13" customHeight="1">
      <c r="A17" s="701"/>
      <c r="B17" s="708" t="str">
        <f>IF('Summary | Sumário'!$D$6=Names!$B$3,Names!BV18,Names!BW18)</f>
        <v>Gross Loan Portfolio (R$ bn)</v>
      </c>
      <c r="C17" s="709">
        <f>'9.1 Asset Quality'!S5/1000000</f>
        <v>23.832874</v>
      </c>
      <c r="D17" s="709">
        <f>'9.1 Asset Quality'!T5/1000000</f>
        <v>25.141383000000001</v>
      </c>
      <c r="E17" s="709">
        <f>'9.1 Asset Quality'!U5/1000000</f>
        <v>27.043600999999999</v>
      </c>
      <c r="F17" s="709">
        <f>'9.1 Asset Quality'!V5/1000000</f>
        <v>29.784300999999999</v>
      </c>
      <c r="G17" s="709">
        <f>'9.1 Asset Quality'!W5/1000000</f>
        <v>30.858626881090203</v>
      </c>
      <c r="H17" s="709">
        <f>'9.1 Asset Quality'!X5/1000000</f>
        <v>32.971552000000003</v>
      </c>
      <c r="I17" s="709">
        <f>'9.1 Asset Quality'!Y5/1000000</f>
        <v>33.705888000000002</v>
      </c>
      <c r="J17" s="709">
        <f>'9.1 Asset Quality'!Z5/1000000</f>
        <v>35.596293000000003</v>
      </c>
      <c r="K17" s="709">
        <f>'9.1 Asset Quality'!AA5/1000000</f>
        <v>37.395324000000002</v>
      </c>
      <c r="L17" s="709">
        <f>'9.1 Asset Quality'!AB5/1000000</f>
        <v>40.236766000000003</v>
      </c>
      <c r="M17" s="709">
        <f>'9.1 Asset Quality'!AC5/1000000</f>
        <v>43.81812</v>
      </c>
      <c r="N17" s="709">
        <f>'9.1 Asset Quality'!AD5/1000000</f>
        <v>48.251179999999998</v>
      </c>
      <c r="O17" s="253"/>
      <c r="P17" s="711">
        <f>N17/M17-1</f>
        <v>0.10116956181597936</v>
      </c>
      <c r="Q17" s="712">
        <f>N17/J17-1</f>
        <v>0.35551137305224434</v>
      </c>
      <c r="R17" s="704"/>
      <c r="S17" s="704"/>
      <c r="T17" s="706"/>
      <c r="U17" s="706"/>
      <c r="V17" s="706"/>
      <c r="W17" s="706"/>
      <c r="X17" s="706"/>
    </row>
    <row r="18" spans="1:25" s="705" customFormat="1" ht="13" customHeight="1">
      <c r="A18" s="701"/>
      <c r="B18" s="22" t="str">
        <f>IF('Summary | Sumário'!$D$6=Names!$B$3,Names!BV19,Names!BW19)</f>
        <v>Funding (R$ bn)</v>
      </c>
      <c r="C18" s="251">
        <f>'4. Funding'!S15/1000000</f>
        <v>33.532685000000001</v>
      </c>
      <c r="D18" s="251">
        <f>'4. Funding'!T15/1000000</f>
        <v>35.665087040739998</v>
      </c>
      <c r="E18" s="251">
        <f>'4. Funding'!U15/1000000</f>
        <v>39.571626560479999</v>
      </c>
      <c r="F18" s="251">
        <f>'4. Funding'!V15/1000000</f>
        <v>43.513032000000003</v>
      </c>
      <c r="G18" s="251">
        <f>'4. Funding'!W15/1000000</f>
        <v>43.783581005715945</v>
      </c>
      <c r="H18" s="251">
        <f>'4. Funding'!X15/1000000</f>
        <v>47.759601090000004</v>
      </c>
      <c r="I18" s="251">
        <f>'4. Funding'!Y15/1000000</f>
        <v>50.267847091739995</v>
      </c>
      <c r="J18" s="251">
        <f>'4. Funding'!Z15/1000000</f>
        <v>55.065296396439997</v>
      </c>
      <c r="K18" s="251">
        <f>'4. Funding'!AA15/1000000</f>
        <v>59.074108000000003</v>
      </c>
      <c r="L18" s="251">
        <f>'4. Funding'!AB15/1000000</f>
        <v>62.241709999999998</v>
      </c>
      <c r="M18" s="251">
        <f>'4. Funding'!AC15/1000000</f>
        <v>67.948663999999994</v>
      </c>
      <c r="N18" s="251">
        <f>'4. Funding'!AD15/1000000</f>
        <v>72.919606000000002</v>
      </c>
      <c r="O18" s="253"/>
      <c r="P18" s="252">
        <f>N18/M18-1</f>
        <v>7.3157317706791236E-2</v>
      </c>
      <c r="Q18" s="538">
        <f>N18/J18-1</f>
        <v>0.3242388722475722</v>
      </c>
      <c r="R18" s="704"/>
      <c r="S18" s="704"/>
      <c r="T18" s="702"/>
      <c r="U18" s="702"/>
      <c r="V18" s="702"/>
      <c r="W18" s="702"/>
      <c r="X18" s="702"/>
    </row>
    <row r="19" spans="1:25" s="705" customFormat="1" ht="13" customHeight="1">
      <c r="A19" s="701"/>
      <c r="B19" s="697" t="str">
        <f>IF('Summary | Sumário'!$D$6=Names!$B$3,Names!BV20,Names!BW20)</f>
        <v>Shareholders` Equity (R$ bn)</v>
      </c>
      <c r="C19" s="710">
        <f>'2. BS | BP'!S38/1000000</f>
        <v>7.1399059999999999</v>
      </c>
      <c r="D19" s="710">
        <f>'2. BS | BP'!T38/1000000</f>
        <v>7.3176579999999998</v>
      </c>
      <c r="E19" s="710">
        <f>'2. BS | BP'!U38/1000000</f>
        <v>7.3682270000000001</v>
      </c>
      <c r="F19" s="710">
        <f>'2. BS | BP'!V38/1000000</f>
        <v>7.5966909999999999</v>
      </c>
      <c r="G19" s="710">
        <f>'2. BS | BP'!W38/1000000</f>
        <v>8.5384520009060338</v>
      </c>
      <c r="H19" s="710">
        <f>'2. BS | BP'!X38/1000000</f>
        <v>8.6075355620000007</v>
      </c>
      <c r="I19" s="710">
        <f>'2. BS | BP'!Y38/1000000</f>
        <v>8.8673380000000002</v>
      </c>
      <c r="J19" s="710">
        <f>'2. BS | BP'!Z38/1000000</f>
        <v>9.0723070000000003</v>
      </c>
      <c r="K19" s="710">
        <f>'2. BS | BP'!AA38/1000000</f>
        <v>9.0128500000000003</v>
      </c>
      <c r="L19" s="710">
        <f>'2. BS | BP'!AB38/1000000</f>
        <v>9.3878319999999995</v>
      </c>
      <c r="M19" s="710">
        <f>'2. BS | BP'!AC38/1000000</f>
        <v>9.8081320000000005</v>
      </c>
      <c r="N19" s="710">
        <f>'2. BS | BP'!AD38/1000000</f>
        <v>10.392962000000001</v>
      </c>
      <c r="O19" s="253"/>
      <c r="P19" s="703">
        <f>N19/M19-1</f>
        <v>5.9627052327599239E-2</v>
      </c>
      <c r="Q19" s="713">
        <f>N19/J19-1</f>
        <v>0.14556991953645304</v>
      </c>
      <c r="R19" s="704"/>
      <c r="S19" s="704"/>
      <c r="T19" s="702"/>
      <c r="U19" s="702"/>
      <c r="V19" s="702"/>
      <c r="W19" s="702"/>
      <c r="X19" s="702"/>
      <c r="Y19" s="714"/>
    </row>
    <row r="20" spans="1:25" s="705" customFormat="1" ht="13" customHeight="1">
      <c r="A20" s="701"/>
      <c r="B20" s="22"/>
      <c r="C20" s="242"/>
      <c r="D20" s="242"/>
      <c r="E20" s="242"/>
      <c r="F20" s="242"/>
      <c r="G20" s="242"/>
      <c r="H20" s="242"/>
      <c r="I20" s="242"/>
      <c r="J20" s="242"/>
      <c r="K20" s="242"/>
      <c r="L20" s="242"/>
      <c r="M20" s="242"/>
      <c r="N20" s="242"/>
      <c r="O20" s="243"/>
      <c r="P20" s="534"/>
      <c r="Q20" s="260"/>
      <c r="R20" s="704"/>
      <c r="S20" s="704"/>
      <c r="T20" s="702"/>
      <c r="U20" s="702"/>
      <c r="V20" s="702"/>
      <c r="W20" s="702"/>
      <c r="X20" s="702"/>
    </row>
    <row r="21" spans="1:25" s="705" customFormat="1" ht="13" customHeight="1">
      <c r="A21" s="701"/>
      <c r="B21" s="717" t="str">
        <f>IF('Summary | Sumário'!$D$6=Names!$B$3,Names!BV23,Names!BW23)</f>
        <v>Volume KPIs</v>
      </c>
      <c r="C21" s="704"/>
      <c r="D21" s="704"/>
      <c r="E21" s="704"/>
      <c r="F21" s="704"/>
      <c r="G21" s="704"/>
      <c r="H21" s="704"/>
      <c r="I21" s="704"/>
      <c r="J21" s="704"/>
      <c r="K21" s="704"/>
      <c r="L21" s="704"/>
      <c r="M21" s="704"/>
      <c r="N21" s="704"/>
      <c r="O21" s="250"/>
      <c r="P21" s="718"/>
      <c r="Q21" s="718"/>
      <c r="R21" s="704"/>
      <c r="S21" s="704"/>
      <c r="T21" s="702"/>
      <c r="U21" s="702"/>
      <c r="V21" s="702"/>
      <c r="W21" s="702"/>
      <c r="X21" s="702"/>
    </row>
    <row r="22" spans="1:25" s="705" customFormat="1" ht="13" customHeight="1">
      <c r="A22" s="701"/>
      <c r="B22" s="271" t="str">
        <f>IF('Summary | Sumário'!$D$6=Names!$B$3,Names!BV24,Names!BW24)</f>
        <v>Cards + PIX TPV (R$ bn)</v>
      </c>
      <c r="C22" s="529">
        <f>'4. Digital Acou. | Conta Di'!M12/1000</f>
        <v>181.36133153205003</v>
      </c>
      <c r="D22" s="529">
        <f>'4. Digital Acou. | Conta Di'!N12/1000</f>
        <v>196.99198220933999</v>
      </c>
      <c r="E22" s="529">
        <f>'4. Digital Acou. | Conta Di'!O12/1000</f>
        <v>219.41885998934995</v>
      </c>
      <c r="F22" s="529">
        <f>'4. Digital Acou. | Conta Di'!P12/1000</f>
        <v>253.47963343943999</v>
      </c>
      <c r="G22" s="529">
        <f>'4. Digital Acou. | Conta Di'!Q12/1000</f>
        <v>257.10899231503004</v>
      </c>
      <c r="H22" s="529">
        <f>'4. Digital Acou. | Conta Di'!R12/1000</f>
        <v>290.18742066855003</v>
      </c>
      <c r="I22" s="529">
        <f>'4. Digital Acou. | Conta Di'!S12/1000</f>
        <v>319.71058588529996</v>
      </c>
      <c r="J22" s="529">
        <f>'4. Digital Acou. | Conta Di'!T12/1000</f>
        <v>364.31774689758004</v>
      </c>
      <c r="K22" s="529">
        <f>'4. Digital Acou. | Conta Di'!U12/1000</f>
        <v>341.92426954028292</v>
      </c>
      <c r="L22" s="529">
        <f>'4. Digital Acou. | Conta Di'!V12/1000</f>
        <v>374.24418784519935</v>
      </c>
      <c r="M22" s="529">
        <f>'4. Digital Acou. | Conta Di'!W12/1000</f>
        <v>412.46515871629356</v>
      </c>
      <c r="N22" s="529">
        <f>'4. Digital Acou. | Conta Di'!X12/1000</f>
        <v>462.44141148133485</v>
      </c>
      <c r="O22" s="243"/>
      <c r="P22" s="273">
        <f>N22/M22-1</f>
        <v>0.121164786186017</v>
      </c>
      <c r="Q22" s="537">
        <f>N22/J22-1</f>
        <v>0.2693353958717255</v>
      </c>
      <c r="R22" s="704"/>
      <c r="S22" s="704"/>
      <c r="T22" s="702"/>
      <c r="U22" s="702"/>
      <c r="V22" s="702"/>
      <c r="W22" s="702"/>
      <c r="X22" s="702"/>
    </row>
    <row r="23" spans="1:25" s="705" customFormat="1" ht="13" customHeight="1">
      <c r="A23" s="701"/>
      <c r="B23" s="697" t="str">
        <f>IF('Summary | Sumário'!$D$6=Names!$B$3,Names!BV25,Names!BW25)</f>
        <v>GMV Inter Shop (R$ mm)</v>
      </c>
      <c r="C23" s="702">
        <f>'3. Inter Shop'!L5</f>
        <v>829.25831872000003</v>
      </c>
      <c r="D23" s="702">
        <f>'3. Inter Shop'!M5</f>
        <v>755.63938086500002</v>
      </c>
      <c r="E23" s="702">
        <f>'3. Inter Shop'!N5</f>
        <v>869.35878100000002</v>
      </c>
      <c r="F23" s="702">
        <f>'3. Inter Shop'!O5</f>
        <v>1049.8873619999999</v>
      </c>
      <c r="G23" s="702">
        <f>'3. Inter Shop'!P5</f>
        <v>993.72802863999993</v>
      </c>
      <c r="H23" s="702">
        <f>'3. Inter Shop'!Q5</f>
        <v>1136.3548290000001</v>
      </c>
      <c r="I23" s="702">
        <f>'3. Inter Shop'!R5</f>
        <v>1381.38672453</v>
      </c>
      <c r="J23" s="702">
        <f>'3. Inter Shop'!S5</f>
        <v>1468.9165743599999</v>
      </c>
      <c r="K23" s="702">
        <f>'3. Inter Shop'!T5</f>
        <v>1282.482403</v>
      </c>
      <c r="L23" s="702">
        <f>'3. Inter Shop'!U5</f>
        <v>1236.6965090000001</v>
      </c>
      <c r="M23" s="702">
        <f>'3. Inter Shop'!V5</f>
        <v>1402.1078505799999</v>
      </c>
      <c r="N23" s="702">
        <f>'3. Inter Shop'!W5</f>
        <v>1493.7681507100001</v>
      </c>
      <c r="O23" s="215"/>
      <c r="P23" s="703">
        <f>N23/M23-1</f>
        <v>6.5373216541141144E-2</v>
      </c>
      <c r="Q23" s="713">
        <f>N23/J23-1</f>
        <v>1.6918303451527228E-2</v>
      </c>
      <c r="R23" s="704"/>
      <c r="S23" s="704"/>
      <c r="T23" s="702"/>
      <c r="U23" s="702"/>
      <c r="V23" s="702"/>
      <c r="W23" s="702"/>
      <c r="X23" s="702"/>
    </row>
    <row r="24" spans="1:25" s="705" customFormat="1" ht="13" customHeight="1">
      <c r="A24" s="701"/>
      <c r="B24" s="22" t="str">
        <f>IF('Summary | Sumário'!$D$6=Names!$B$3,Names!BV26,Names!BW26)</f>
        <v>AUC  (R$ bn)</v>
      </c>
      <c r="C24" s="539">
        <f>'1. Inter Invest'!M5/1000</f>
        <v>67.986417997459967</v>
      </c>
      <c r="D24" s="539">
        <f>'1. Inter Invest'!N5/1000</f>
        <v>76.842170568875446</v>
      </c>
      <c r="E24" s="539">
        <f>'1. Inter Invest'!O5/1000</f>
        <v>82.892927662269997</v>
      </c>
      <c r="F24" s="539">
        <f>'1. Inter Invest'!P5/1000</f>
        <v>91.798553433999999</v>
      </c>
      <c r="G24" s="539">
        <f>'1. Inter Invest'!Q5/1000</f>
        <v>94.882291527389754</v>
      </c>
      <c r="H24" s="539">
        <f>'1. Inter Invest'!R5/1000</f>
        <v>105.21894690225135</v>
      </c>
      <c r="I24" s="539">
        <f>'1. Inter Invest'!S5/1000</f>
        <v>122.4895022303232</v>
      </c>
      <c r="J24" s="539">
        <f>'1. Inter Invest'!T5/1000</f>
        <v>141.24089867975749</v>
      </c>
      <c r="K24" s="539">
        <f>'1. Inter Invest'!U5/1000</f>
        <v>145.96675700367001</v>
      </c>
      <c r="L24" s="539">
        <f>'1. Inter Invest'!V5/1000</f>
        <v>154.46903082499998</v>
      </c>
      <c r="M24" s="539">
        <f>'1. Inter Invest'!W5/1000</f>
        <v>169.97936709708</v>
      </c>
      <c r="N24" s="539">
        <f>'1. Inter Invest'!X5/1000</f>
        <v>179.59760017005999</v>
      </c>
      <c r="O24" s="259"/>
      <c r="P24" s="252">
        <f>N24/M24-1</f>
        <v>5.658470929290349E-2</v>
      </c>
      <c r="Q24" s="538">
        <f>N24/J24-1</f>
        <v>0.27156936729261805</v>
      </c>
      <c r="R24" s="704"/>
      <c r="S24" s="704"/>
      <c r="T24" s="702"/>
      <c r="U24" s="702"/>
      <c r="V24" s="702"/>
      <c r="W24" s="702"/>
      <c r="X24" s="702"/>
    </row>
    <row r="25" spans="1:25" s="705" customFormat="1" ht="13" customHeight="1">
      <c r="A25" s="701"/>
      <c r="B25" s="697"/>
      <c r="C25" s="702"/>
      <c r="D25" s="702"/>
      <c r="E25" s="702"/>
      <c r="F25" s="702"/>
      <c r="G25" s="702"/>
      <c r="H25" s="702"/>
      <c r="I25" s="702"/>
      <c r="J25" s="702"/>
      <c r="K25" s="702"/>
      <c r="L25" s="702"/>
      <c r="M25" s="702"/>
      <c r="N25" s="702"/>
      <c r="O25" s="215"/>
      <c r="P25" s="716"/>
      <c r="Q25" s="716"/>
      <c r="R25" s="704"/>
      <c r="S25" s="704"/>
      <c r="T25" s="702"/>
      <c r="U25" s="702"/>
      <c r="V25" s="702"/>
      <c r="W25" s="702"/>
      <c r="X25" s="702"/>
    </row>
    <row r="26" spans="1:25" s="705" customFormat="1" ht="13" customHeight="1">
      <c r="A26" s="701"/>
      <c r="B26" s="536" t="str">
        <f>IF('Summary | Sumário'!$D$6=Names!$B$3,Names!BV28,Names!BW28)</f>
        <v>Asset Quality</v>
      </c>
      <c r="C26" s="274"/>
      <c r="D26" s="274"/>
      <c r="E26" s="274"/>
      <c r="F26" s="274"/>
      <c r="G26" s="274"/>
      <c r="H26" s="274"/>
      <c r="I26" s="274"/>
      <c r="J26" s="274"/>
      <c r="K26" s="274"/>
      <c r="L26" s="274"/>
      <c r="M26" s="274"/>
      <c r="N26" s="274"/>
      <c r="O26" s="250"/>
      <c r="P26" s="275"/>
      <c r="Q26" s="275"/>
      <c r="R26" s="704"/>
      <c r="S26" s="704"/>
      <c r="T26" s="719"/>
      <c r="U26" s="719"/>
      <c r="V26" s="719"/>
      <c r="W26" s="719"/>
      <c r="X26" s="706"/>
    </row>
    <row r="27" spans="1:25" s="705" customFormat="1" ht="13" customHeight="1">
      <c r="A27" s="701"/>
      <c r="B27" s="720" t="str">
        <f>IF('Summary | Sumário'!$D$6=Names!$B$3,Names!BV29,Names!BW29)</f>
        <v>NPL &gt; 90 days (%)</v>
      </c>
      <c r="C27" s="721">
        <f>'9.1 Asset Quality'!S26</f>
        <v>4.425561390533074E-2</v>
      </c>
      <c r="D27" s="721">
        <f>'9.1 Asset Quality'!T26</f>
        <v>4.6937273988870744E-2</v>
      </c>
      <c r="E27" s="721">
        <f>'9.1 Asset Quality'!U26</f>
        <v>4.6873218175344886E-2</v>
      </c>
      <c r="F27" s="721">
        <f>'9.1 Asset Quality'!V26</f>
        <v>4.5948866208864708E-2</v>
      </c>
      <c r="G27" s="721">
        <f>'9.1 Asset Quality'!W26</f>
        <v>4.8307930395170035E-2</v>
      </c>
      <c r="H27" s="721">
        <f>'9.1 Asset Quality'!X26</f>
        <v>4.6618172011492563E-2</v>
      </c>
      <c r="I27" s="721">
        <f>'9.1 Asset Quality'!Y26</f>
        <v>4.5182000499596732E-2</v>
      </c>
      <c r="J27" s="721">
        <f>'9.1 Asset Quality'!Z26</f>
        <v>4.2179708903771096E-2</v>
      </c>
      <c r="K27" s="721">
        <f>'9.1 Asset Quality'!AA26</f>
        <v>4.0718360845246861E-2</v>
      </c>
      <c r="L27" s="721">
        <f>'9.1 Asset Quality'!AB26</f>
        <v>4.2012384903609853E-2</v>
      </c>
      <c r="M27" s="721">
        <f>'9.1 Asset Quality'!AC26</f>
        <v>4.2470166612367834E-2</v>
      </c>
      <c r="N27" s="721">
        <f>'9.1 Asset Quality'!AD26</f>
        <v>4.3104860050226429E-2</v>
      </c>
      <c r="O27" s="261"/>
      <c r="P27" s="723">
        <f>(N27-M27)*100</f>
        <v>6.3469343785859528E-2</v>
      </c>
      <c r="Q27" s="724">
        <f>(N27-J27)*100</f>
        <v>9.2515114645533303E-2</v>
      </c>
      <c r="R27" s="704"/>
      <c r="S27" s="704"/>
      <c r="T27" s="706"/>
      <c r="U27" s="706"/>
      <c r="V27" s="706"/>
      <c r="W27" s="706"/>
      <c r="X27" s="706"/>
    </row>
    <row r="28" spans="1:25" s="705" customFormat="1" ht="13" customHeight="1">
      <c r="A28" s="701"/>
      <c r="B28" s="540" t="str">
        <f>IF('Summary | Sumário'!$D$6=Names!$B$3,Names!BV30,Names!BW30)</f>
        <v>NPL 15-90 days (%)</v>
      </c>
      <c r="C28" s="256">
        <f>'9.1 Asset Quality'!S21</f>
        <v>4.3458095606172524E-2</v>
      </c>
      <c r="D28" s="256">
        <f>'9.1 Asset Quality'!T21</f>
        <v>4.1964720582480561E-2</v>
      </c>
      <c r="E28" s="256">
        <f>'9.1 Asset Quality'!U21</f>
        <v>4.2636576262433189E-2</v>
      </c>
      <c r="F28" s="256">
        <f>'9.1 Asset Quality'!V21</f>
        <v>4.0071198175600488E-2</v>
      </c>
      <c r="G28" s="256">
        <f>'9.1 Asset Quality'!W21</f>
        <v>4.4087392795071748E-2</v>
      </c>
      <c r="H28" s="256">
        <f>'9.1 Asset Quality'!X21</f>
        <v>3.9289590020879214E-2</v>
      </c>
      <c r="I28" s="256">
        <f>'9.1 Asset Quality'!Y21</f>
        <v>3.6008983670181932E-2</v>
      </c>
      <c r="J28" s="256">
        <f>'9.1 Asset Quality'!Z21</f>
        <v>3.4280430547543803E-2</v>
      </c>
      <c r="K28" s="256">
        <f>'9.1 Asset Quality'!AA21</f>
        <v>3.7539033898415307E-2</v>
      </c>
      <c r="L28" s="256">
        <f>'9.1 Asset Quality'!AB21</f>
        <v>3.7498374725471094E-2</v>
      </c>
      <c r="M28" s="256">
        <f>'9.1 Asset Quality'!AC21</f>
        <v>3.8018117748348602E-2</v>
      </c>
      <c r="N28" s="256">
        <f>'9.1 Asset Quality'!AD21</f>
        <v>3.6843038419415323E-2</v>
      </c>
      <c r="O28" s="261"/>
      <c r="P28" s="257">
        <f>(N28-M28)*100</f>
        <v>-0.11750793289332789</v>
      </c>
      <c r="Q28" s="258">
        <f>(N28-J28)*100</f>
        <v>0.25626078718715206</v>
      </c>
      <c r="R28" s="704"/>
      <c r="S28" s="704"/>
      <c r="T28" s="706"/>
      <c r="U28" s="706"/>
      <c r="V28" s="706"/>
      <c r="W28" s="706"/>
      <c r="X28" s="706"/>
    </row>
    <row r="29" spans="1:25" s="705" customFormat="1" ht="13" customHeight="1">
      <c r="A29" s="701"/>
      <c r="B29" s="697" t="str">
        <f>IF('Summary | Sumário'!$D$6=Names!$B$3,Names!BV31,Names!BW31)</f>
        <v>Coverage Ratio (%)</v>
      </c>
      <c r="C29" s="722">
        <f>'9.1 Asset Quality'!S34</f>
        <v>1.3416430321424944</v>
      </c>
      <c r="D29" s="722">
        <f>'9.1 Asset Quality'!T34</f>
        <v>1.3296856642590198</v>
      </c>
      <c r="E29" s="722">
        <f>'9.1 Asset Quality'!U34</f>
        <v>1.3188960574080884</v>
      </c>
      <c r="F29" s="722">
        <f>'9.1 Asset Quality'!V34</f>
        <v>1.343397801947867</v>
      </c>
      <c r="G29" s="722">
        <f>'9.1 Asset Quality'!W34</f>
        <v>1.325796015185797</v>
      </c>
      <c r="H29" s="722">
        <f>'9.1 Asset Quality'!X34</f>
        <v>1.3017531336546826</v>
      </c>
      <c r="I29" s="722">
        <f>'9.1 Asset Quality'!Y34</f>
        <v>1.2953231740838689</v>
      </c>
      <c r="J29" s="722">
        <f>'9.1 Asset Quality'!Z34</f>
        <v>1.3625649121395018</v>
      </c>
      <c r="K29" s="722">
        <f>'9.1 Asset Quality'!AA34</f>
        <v>1.4254534411552315</v>
      </c>
      <c r="L29" s="722">
        <f>'9.1 Asset Quality'!AB34</f>
        <v>1.4339593935505011</v>
      </c>
      <c r="M29" s="722">
        <f>'9.1 Asset Quality'!AC34</f>
        <v>1.4631857564609239</v>
      </c>
      <c r="N29" s="722">
        <f>'9.1 Asset Quality'!AD34</f>
        <v>1.4144886243011037</v>
      </c>
      <c r="O29" s="261"/>
      <c r="P29" s="726">
        <f>(N29-M29)*100</f>
        <v>-4.8697132159820189</v>
      </c>
      <c r="Q29" s="727">
        <f>(N29-J29)*100</f>
        <v>5.1923712161601854</v>
      </c>
      <c r="R29" s="704"/>
      <c r="S29" s="704"/>
      <c r="T29" s="715"/>
      <c r="U29" s="715"/>
      <c r="V29" s="715"/>
      <c r="W29" s="715"/>
      <c r="X29" s="715"/>
    </row>
    <row r="30" spans="1:25" s="705" customFormat="1" ht="13" customHeight="1">
      <c r="A30" s="701"/>
      <c r="B30" s="730"/>
      <c r="C30" s="242"/>
      <c r="D30" s="242"/>
      <c r="E30" s="242"/>
      <c r="F30" s="242"/>
      <c r="G30" s="242"/>
      <c r="H30" s="242"/>
      <c r="I30" s="242"/>
      <c r="J30" s="242"/>
      <c r="K30" s="242"/>
      <c r="L30" s="242"/>
      <c r="M30" s="242"/>
      <c r="N30" s="242"/>
      <c r="O30" s="243"/>
      <c r="P30" s="534"/>
      <c r="Q30" s="260"/>
      <c r="R30" s="704"/>
      <c r="S30" s="704"/>
      <c r="T30" s="702"/>
      <c r="U30" s="702"/>
      <c r="V30" s="702"/>
      <c r="W30" s="702"/>
      <c r="X30" s="702"/>
    </row>
    <row r="31" spans="1:25" s="705" customFormat="1" ht="13" customHeight="1">
      <c r="A31" s="701"/>
      <c r="B31" s="717" t="str">
        <f>IF('Summary | Sumário'!$D$6=Names!$B$3,Names!BV33,Names!BW33)</f>
        <v>Performance KPIs</v>
      </c>
      <c r="C31" s="704"/>
      <c r="D31" s="704"/>
      <c r="E31" s="704"/>
      <c r="F31" s="704"/>
      <c r="G31" s="704"/>
      <c r="H31" s="704"/>
      <c r="I31" s="704"/>
      <c r="J31" s="704"/>
      <c r="K31" s="704"/>
      <c r="L31" s="704"/>
      <c r="M31" s="704"/>
      <c r="N31" s="704"/>
      <c r="O31" s="250"/>
      <c r="P31" s="718"/>
      <c r="Q31" s="718"/>
      <c r="R31" s="704"/>
      <c r="S31" s="704"/>
      <c r="T31" s="702"/>
      <c r="U31" s="702"/>
      <c r="V31" s="702"/>
      <c r="W31" s="702"/>
      <c r="X31" s="702"/>
    </row>
    <row r="32" spans="1:25" s="705" customFormat="1" ht="13" customHeight="1">
      <c r="A32" s="701"/>
      <c r="B32" s="271" t="str">
        <f>IF('Summary | Sumário'!D$6=Names!B$3,Names!Q7,Names!R7)</f>
        <v>NIM 2.0 (%)</v>
      </c>
      <c r="C32" s="731">
        <f>'9.2 NIM &amp; Yields'!S9</f>
        <v>7.7923974174730459E-2</v>
      </c>
      <c r="D32" s="731">
        <f>'9.2 NIM &amp; Yields'!T9</f>
        <v>8.5539472440613981E-2</v>
      </c>
      <c r="E32" s="731">
        <f>'9.2 NIM &amp; Yields'!U9</f>
        <v>8.1482839464113735E-2</v>
      </c>
      <c r="F32" s="731">
        <f>'9.2 NIM &amp; Yields'!V9</f>
        <v>7.8697434892860935E-2</v>
      </c>
      <c r="G32" s="731">
        <f>'9.2 NIM &amp; Yields'!W9</f>
        <v>8.2180472229888515E-2</v>
      </c>
      <c r="H32" s="731">
        <f>'9.2 NIM &amp; Yields'!X9</f>
        <v>8.2371027681412398E-2</v>
      </c>
      <c r="I32" s="731">
        <f>'9.2 NIM &amp; Yields'!Y9</f>
        <v>8.6757681580365315E-2</v>
      </c>
      <c r="J32" s="731">
        <f>'9.2 NIM &amp; Yields'!Z9</f>
        <v>8.7425087440085245E-2</v>
      </c>
      <c r="K32" s="731">
        <f>'9.2 NIM &amp; Yields'!AA9</f>
        <v>8.8434242308333022E-2</v>
      </c>
      <c r="L32" s="731">
        <f>'9.2 NIM &amp; Yields'!AB9</f>
        <v>9.0695418380868989E-2</v>
      </c>
      <c r="M32" s="731">
        <f>'9.2 NIM &amp; Yields'!AC9</f>
        <v>9.279500492766278E-2</v>
      </c>
      <c r="N32" s="731">
        <f>'9.2 NIM &amp; Yields'!AD9</f>
        <v>9.5655044278617249E-2</v>
      </c>
      <c r="O32" s="243"/>
      <c r="P32" s="732">
        <f>(N32-M32)*100</f>
        <v>0.28600393509544686</v>
      </c>
      <c r="Q32" s="733">
        <f>(N32-J32)*100</f>
        <v>0.82299568385320043</v>
      </c>
      <c r="R32" s="704"/>
      <c r="S32" s="704"/>
      <c r="T32" s="702"/>
      <c r="U32" s="702"/>
      <c r="V32" s="702"/>
      <c r="W32" s="702"/>
      <c r="X32" s="702"/>
    </row>
    <row r="33" spans="1:24" s="705" customFormat="1" ht="13" customHeight="1">
      <c r="A33" s="701"/>
      <c r="B33" s="697" t="str">
        <f>IF('Summary | Sumário'!D$6=Names!B$3,Names!Q9,Names!R9)</f>
        <v>Risk-Adjusted NIM 2.0 (%)</v>
      </c>
      <c r="C33" s="728">
        <f>'9.2 NIM &amp; Yields'!S18</f>
        <v>4.0309153521016335E-2</v>
      </c>
      <c r="D33" s="728">
        <f>'9.2 NIM &amp; Yields'!T18</f>
        <v>4.4378043460152256E-2</v>
      </c>
      <c r="E33" s="728">
        <f>'9.2 NIM &amp; Yields'!U18</f>
        <v>4.2159442262429708E-2</v>
      </c>
      <c r="F33" s="728">
        <f>'9.2 NIM &amp; Yields'!V18</f>
        <v>4.4962357215369848E-2</v>
      </c>
      <c r="G33" s="728">
        <f>'9.2 NIM &amp; Yields'!W18</f>
        <v>4.8142369184789452E-2</v>
      </c>
      <c r="H33" s="728">
        <f>'9.2 NIM &amp; Yields'!X18</f>
        <v>4.9066733389372438E-2</v>
      </c>
      <c r="I33" s="728">
        <f>'9.2 NIM &amp; Yields'!Y18</f>
        <v>5.163089103848454E-2</v>
      </c>
      <c r="J33" s="728">
        <f>'9.2 NIM &amp; Yields'!Z18</f>
        <v>5.2977147751792485E-2</v>
      </c>
      <c r="K33" s="728">
        <f>'9.2 NIM &amp; Yields'!AA18</f>
        <v>5.5095613637360492E-2</v>
      </c>
      <c r="L33" s="728">
        <f>'9.2 NIM &amp; Yields'!AB18</f>
        <v>5.5562359322360734E-2</v>
      </c>
      <c r="M33" s="728">
        <f>'9.2 NIM &amp; Yields'!AC18</f>
        <v>5.615052487716235E-2</v>
      </c>
      <c r="N33" s="728">
        <f>'9.2 NIM &amp; Yields'!AD18</f>
        <v>5.9232693748222001E-2</v>
      </c>
      <c r="O33" s="318"/>
      <c r="P33" s="726">
        <f>(N33-M33)*100</f>
        <v>0.30821688710596512</v>
      </c>
      <c r="Q33" s="727">
        <f>(N33-J33)*100</f>
        <v>0.62555459964295168</v>
      </c>
      <c r="R33" s="704"/>
      <c r="S33" s="704"/>
      <c r="T33" s="702"/>
      <c r="U33" s="702"/>
      <c r="V33" s="702"/>
      <c r="W33" s="702"/>
      <c r="X33" s="702"/>
    </row>
    <row r="34" spans="1:24" s="705" customFormat="1" ht="13" customHeight="1">
      <c r="A34" s="701"/>
      <c r="B34" s="22" t="str">
        <f>IF('Summary | Sumário'!$D$6=Names!$B$3,Names!BV36,Names!BW36)</f>
        <v>All-in Cost of Funding (% of CDI)</v>
      </c>
      <c r="C34" s="225">
        <f>'9.7 Cost of Funding'!S12</f>
        <v>0.59697348816995932</v>
      </c>
      <c r="D34" s="225">
        <f>'9.7 Cost of Funding'!T12</f>
        <v>0.5862739307988849</v>
      </c>
      <c r="E34" s="225">
        <f>'9.7 Cost of Funding'!U12</f>
        <v>0.61707902823666128</v>
      </c>
      <c r="F34" s="225">
        <f>'9.7 Cost of Funding'!V12</f>
        <v>0.59171705967014232</v>
      </c>
      <c r="G34" s="225">
        <f>'9.7 Cost of Funding'!W12</f>
        <v>0.61920574215306567</v>
      </c>
      <c r="H34" s="225">
        <f>'9.7 Cost of Funding'!X12</f>
        <v>0.64262556661987569</v>
      </c>
      <c r="I34" s="225">
        <f>'9.7 Cost of Funding'!Y12</f>
        <v>0.65381139242560993</v>
      </c>
      <c r="J34" s="225">
        <f>'9.7 Cost of Funding'!Z12</f>
        <v>0.64151962469828561</v>
      </c>
      <c r="K34" s="225">
        <f>'9.7 Cost of Funding'!AA12</f>
        <v>0.63796352317117477</v>
      </c>
      <c r="L34" s="225">
        <f>'9.7 Cost of Funding'!AB12</f>
        <v>0.64839876062799318</v>
      </c>
      <c r="M34" s="225">
        <f>'9.7 Cost of Funding'!AC12</f>
        <v>0.68201992821835933</v>
      </c>
      <c r="N34" s="225">
        <f>'9.7 Cost of Funding'!AD12</f>
        <v>0.6557185155032148</v>
      </c>
      <c r="O34" s="222"/>
      <c r="P34" s="257">
        <f>(N34-M34)*100</f>
        <v>-2.6301412715144523</v>
      </c>
      <c r="Q34" s="258">
        <f>(N34-J34)*100</f>
        <v>1.4198890804929198</v>
      </c>
      <c r="R34" s="704"/>
      <c r="S34" s="704"/>
      <c r="T34" s="702"/>
      <c r="U34" s="702"/>
      <c r="V34" s="702"/>
      <c r="W34" s="702"/>
      <c r="X34" s="702"/>
    </row>
    <row r="35" spans="1:24" s="705" customFormat="1" ht="13" customHeight="1">
      <c r="A35" s="701"/>
      <c r="B35" s="725" t="str">
        <f>IF('Summary | Sumário'!$D$6=Names!$B$3,Names!BV37,Names!BW37)</f>
        <v>Efficiency Ratio (%)</v>
      </c>
      <c r="C35" s="729">
        <f>'9.4 Efficiency | Eficiência'!S15</f>
        <v>0.62351037661067732</v>
      </c>
      <c r="D35" s="729">
        <f>'9.4 Efficiency | Eficiência'!T15</f>
        <v>0.53383674950420901</v>
      </c>
      <c r="E35" s="729">
        <f>'9.4 Efficiency | Eficiência'!U15</f>
        <v>0.51720803695273643</v>
      </c>
      <c r="F35" s="729">
        <f>'9.4 Efficiency | Eficiência'!V15</f>
        <v>0.51364353479126668</v>
      </c>
      <c r="G35" s="729">
        <f>'9.4 Efficiency | Eficiência'!W15</f>
        <v>0.47740995408553893</v>
      </c>
      <c r="H35" s="729">
        <f>'9.4 Efficiency | Eficiência'!X15</f>
        <v>0.47563347568986319</v>
      </c>
      <c r="I35" s="729">
        <f>'9.4 Efficiency | Eficiência'!Y15</f>
        <v>0.50211589888730823</v>
      </c>
      <c r="J35" s="729">
        <f>'9.4 Efficiency | Eficiência'!Z15</f>
        <v>0.48382626494846404</v>
      </c>
      <c r="K35" s="729">
        <f>'9.4 Efficiency | Eficiência'!AA15</f>
        <v>0.48281649047197628</v>
      </c>
      <c r="L35" s="729">
        <f>'9.4 Efficiency | Eficiência'!AB15</f>
        <v>0.47147874699369585</v>
      </c>
      <c r="M35" s="729">
        <f>'9.4 Efficiency | Eficiência'!AC15</f>
        <v>0.45172619796749802</v>
      </c>
      <c r="N35" s="729">
        <f>'9.4 Efficiency | Eficiência'!AD15</f>
        <v>0.45485613628967569</v>
      </c>
      <c r="O35" s="262"/>
      <c r="P35" s="726">
        <f>(N35-M35)*100</f>
        <v>0.31299383221776722</v>
      </c>
      <c r="Q35" s="727">
        <f>(N35-J35)*100</f>
        <v>-2.8970128658788341</v>
      </c>
      <c r="R35" s="704"/>
      <c r="S35" s="704"/>
      <c r="T35" s="719"/>
      <c r="U35" s="719"/>
      <c r="V35" s="719"/>
      <c r="W35" s="719"/>
      <c r="X35" s="706"/>
    </row>
    <row r="36" spans="1:24" s="705" customFormat="1" ht="13" customHeight="1">
      <c r="A36" s="701"/>
      <c r="B36" s="22" t="str">
        <f>IF('Summary | Sumário'!$D$6=Names!$B$3,Names!BV42,Names!BW42)</f>
        <v>ROE (%)</v>
      </c>
      <c r="C36" s="225">
        <f>'9.8 ROE'!S16</f>
        <v>6.506292220659432E-3</v>
      </c>
      <c r="D36" s="225">
        <f>'9.8 ROE'!T16</f>
        <v>2.7395160479617629E-2</v>
      </c>
      <c r="E36" s="225">
        <f>'9.8 ROE'!U16</f>
        <v>5.0491675207795732E-2</v>
      </c>
      <c r="F36" s="225">
        <f>'9.8 ROE'!V16</f>
        <v>8.194362028479428E-2</v>
      </c>
      <c r="G36" s="225">
        <f>'9.8 ROE'!W16</f>
        <v>9.2178380059035961E-2</v>
      </c>
      <c r="H36" s="225">
        <f>'9.8 ROE'!X16</f>
        <v>9.8005602972595141E-2</v>
      </c>
      <c r="I36" s="225">
        <f>'9.8 ROE'!Y16</f>
        <v>0.1130724353464666</v>
      </c>
      <c r="J36" s="225">
        <f>'9.8 ROE'!Z16</f>
        <v>0.12506866951180479</v>
      </c>
      <c r="K36" s="225">
        <f>'9.8 ROE'!AA16</f>
        <v>0.12880482403335947</v>
      </c>
      <c r="L36" s="225">
        <f>'9.8 ROE'!AB16</f>
        <v>0.13859393461213435</v>
      </c>
      <c r="M36" s="225">
        <f>'9.8 ROE'!AC16</f>
        <v>0.1418473086925206</v>
      </c>
      <c r="N36" s="225">
        <f>'9.8 ROE'!AD16</f>
        <v>0.15089299406672363</v>
      </c>
      <c r="O36" s="222"/>
      <c r="P36" s="257">
        <f>(N36-M36)*100</f>
        <v>0.90456853742030274</v>
      </c>
      <c r="Q36" s="258">
        <f>(N36-J36)*100</f>
        <v>2.582432455491884</v>
      </c>
      <c r="R36" s="704"/>
      <c r="S36" s="704"/>
      <c r="T36" s="702"/>
      <c r="U36" s="702"/>
      <c r="V36" s="702"/>
      <c r="W36" s="702"/>
      <c r="X36" s="702"/>
    </row>
    <row r="37" spans="1:24" ht="13" customHeight="1">
      <c r="B37" s="18"/>
      <c r="C37" s="248"/>
      <c r="D37" s="248"/>
      <c r="E37" s="248"/>
      <c r="F37" s="248"/>
      <c r="G37" s="248"/>
      <c r="H37" s="248"/>
      <c r="I37" s="248"/>
      <c r="J37" s="248"/>
      <c r="K37" s="248"/>
      <c r="L37" s="248"/>
      <c r="M37" s="248"/>
      <c r="N37" s="248"/>
      <c r="O37" s="248"/>
      <c r="P37" s="248"/>
      <c r="Q37" s="248"/>
      <c r="R37" s="248"/>
      <c r="S37" s="248"/>
      <c r="T37" s="248"/>
      <c r="U37" s="248"/>
      <c r="V37" s="248"/>
      <c r="W37" s="248"/>
      <c r="X37" s="248"/>
    </row>
    <row r="38" spans="1:24" ht="13" customHeight="1">
      <c r="B38" s="18"/>
      <c r="C38" s="248"/>
      <c r="D38" s="248"/>
      <c r="E38" s="248"/>
      <c r="F38" s="248"/>
      <c r="G38" s="248"/>
      <c r="H38" s="248"/>
      <c r="I38" s="248"/>
      <c r="J38" s="248"/>
      <c r="K38" s="248"/>
      <c r="L38" s="248"/>
      <c r="M38" s="248"/>
      <c r="N38" s="248"/>
      <c r="O38" s="248"/>
      <c r="P38" s="248"/>
      <c r="Q38" s="248"/>
      <c r="R38" s="248"/>
      <c r="S38" s="248"/>
      <c r="T38" s="248"/>
      <c r="U38" s="248"/>
      <c r="V38" s="248"/>
      <c r="W38" s="248"/>
      <c r="X38" s="248"/>
    </row>
    <row r="40" spans="1:24" ht="13" customHeight="1">
      <c r="C40" s="249"/>
    </row>
  </sheetData>
  <sheetProtection algorithmName="SHA-512" hashValue="8KBolYEVkN89NJfHau6NUTrV2Awve8pf/8PSUZUdn+dVdCCRN/BWAj8P3mTgOyyydjzoOrjZEqF747ZbFVP7xQ==" saltValue="zvwxZNfr++Grc3McZQfBL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B4C1-B1C1-1C41-9FFC-03C030DA8A9B}">
  <sheetPr codeName="Sheet31">
    <tabColor theme="0" tint="-0.14999847407452621"/>
  </sheetPr>
  <dimension ref="A1"/>
  <sheetViews>
    <sheetView showGridLines="0" zoomScaleNormal="100" workbookViewId="0"/>
  </sheetViews>
  <sheetFormatPr baseColWidth="10" defaultColWidth="10.83203125" defaultRowHeight="15"/>
  <cols>
    <col min="1" max="31" width="10.83203125" customWidth="1"/>
  </cols>
  <sheetData/>
  <sheetProtection algorithmName="SHA-512" hashValue="RRNHBUSHeOC7ftmaBXDTB50wG5SNZklLl1CSGkRj9V1oEhs9XqFNy4xdKxIP9i0Py7DaBgRU+vL1qA3YNAxIHQ==" saltValue="I5/4EZD+xPcXZOasA3WTtw==" spinCount="100000" sheet="1" scenarios="1" selectLockedCells="1" selectUnlockedCells="1"/>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3347-86B6-1F4F-BD4E-8994EF4F3A57}">
  <sheetPr codeName="Sheet3">
    <tabColor rgb="FFEB7100"/>
  </sheetPr>
  <dimension ref="A1:AK47"/>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61" customWidth="1"/>
    <col min="2" max="2" width="79" style="15" bestFit="1" customWidth="1"/>
    <col min="3" max="9" width="10.83203125" style="250" customWidth="1"/>
    <col min="10" max="10" width="2.83203125" style="250" customWidth="1"/>
    <col min="11" max="30" width="10.83203125" style="250" customWidth="1"/>
    <col min="31" max="31" width="4.83203125" style="250" customWidth="1"/>
    <col min="32" max="34" width="10.83203125" style="250" customWidth="1"/>
    <col min="35" max="35" width="10.83203125" style="161"/>
    <col min="36" max="37" width="10.83203125" style="161" customWidth="1"/>
    <col min="38" max="16384" width="10.83203125" style="161"/>
  </cols>
  <sheetData>
    <row r="1" spans="1:37" s="238" customFormat="1" ht="13" customHeight="1">
      <c r="B1" s="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row>
    <row r="2" spans="1:37" s="10" customFormat="1" ht="13" customHeight="1">
      <c r="B2" s="267" t="str">
        <f>IF('Summary | Sumário'!D6=Names!B3,Names!K1,Names!L1)</f>
        <v>Balance Sheet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1:37" s="238" customFormat="1" ht="13" customHeight="1">
      <c r="B3" s="14"/>
      <c r="C3" s="126"/>
      <c r="D3" s="126"/>
      <c r="E3" s="126"/>
      <c r="F3" s="126"/>
      <c r="G3" s="126"/>
      <c r="H3" s="126"/>
      <c r="I3" s="126"/>
      <c r="J3" s="127"/>
      <c r="K3" s="127"/>
      <c r="L3" s="127"/>
      <c r="M3" s="127"/>
      <c r="N3" s="127"/>
      <c r="O3" s="127"/>
      <c r="P3" s="127"/>
      <c r="Q3" s="127"/>
      <c r="R3" s="127"/>
      <c r="S3" s="127"/>
      <c r="T3" s="127"/>
      <c r="U3" s="127"/>
      <c r="V3" s="127"/>
      <c r="W3" s="127"/>
      <c r="X3" s="127"/>
      <c r="Y3" s="127"/>
      <c r="Z3" s="127"/>
      <c r="AA3" s="127"/>
      <c r="AB3" s="127"/>
      <c r="AC3" s="127"/>
      <c r="AD3" s="127"/>
      <c r="AE3" s="127"/>
      <c r="AF3" s="118"/>
      <c r="AG3" s="118"/>
      <c r="AH3" s="127"/>
    </row>
    <row r="4" spans="1:37" ht="13" customHeight="1">
      <c r="A4" s="235"/>
      <c r="B4" s="9" t="str">
        <f>IF('Summary | Sumário'!D6=Names!B3,Names!K2,Names!L2)</f>
        <v>Assets</v>
      </c>
      <c r="C4" s="240"/>
      <c r="D4" s="240"/>
      <c r="E4" s="240"/>
      <c r="F4" s="240"/>
      <c r="G4" s="240"/>
      <c r="H4" s="240"/>
      <c r="I4" s="240"/>
      <c r="J4" s="241"/>
      <c r="K4" s="240"/>
      <c r="L4" s="240"/>
      <c r="M4" s="240"/>
      <c r="N4" s="240"/>
      <c r="O4" s="240"/>
      <c r="P4" s="240"/>
      <c r="Q4" s="241"/>
      <c r="R4" s="241"/>
      <c r="S4" s="241"/>
      <c r="T4" s="241"/>
      <c r="U4" s="241"/>
      <c r="V4" s="241"/>
      <c r="W4" s="241"/>
      <c r="X4" s="241"/>
      <c r="Y4" s="241"/>
      <c r="Z4" s="241"/>
      <c r="AA4" s="241"/>
      <c r="AB4" s="241"/>
      <c r="AC4" s="241"/>
      <c r="AD4" s="241"/>
      <c r="AE4" s="241"/>
      <c r="AF4" s="161"/>
      <c r="AG4" s="161"/>
      <c r="AH4" s="241"/>
    </row>
    <row r="5" spans="1:37" ht="13" customHeight="1">
      <c r="A5" s="235"/>
      <c r="B5" s="22" t="str">
        <f>IF('Summary | Sumário'!D6=Names!B3,Names!K3,Names!L3)</f>
        <v>Cash and equivalents</v>
      </c>
      <c r="C5" s="242">
        <v>3114789</v>
      </c>
      <c r="D5" s="242">
        <v>2154687</v>
      </c>
      <c r="E5" s="242">
        <f>N5</f>
        <v>500446</v>
      </c>
      <c r="F5" s="242">
        <f>R5</f>
        <v>1331648</v>
      </c>
      <c r="G5" s="242">
        <f>V5</f>
        <v>4259379</v>
      </c>
      <c r="H5" s="242">
        <f>Z5</f>
        <v>1108393.9463064999</v>
      </c>
      <c r="I5" s="242">
        <f t="shared" ref="I5:I17" si="0">AD5</f>
        <v>3801513</v>
      </c>
      <c r="J5" s="243"/>
      <c r="K5" s="242">
        <v>906123</v>
      </c>
      <c r="L5" s="242">
        <v>5731007.0010000002</v>
      </c>
      <c r="M5" s="242">
        <v>451774.29800000001</v>
      </c>
      <c r="N5" s="242">
        <v>500446</v>
      </c>
      <c r="O5" s="242">
        <v>1171654</v>
      </c>
      <c r="P5" s="242">
        <v>1549158</v>
      </c>
      <c r="Q5" s="242">
        <v>838310</v>
      </c>
      <c r="R5" s="242">
        <v>1331648</v>
      </c>
      <c r="S5" s="242">
        <v>1791707</v>
      </c>
      <c r="T5" s="242">
        <v>3672219</v>
      </c>
      <c r="U5" s="242">
        <v>4297077.8057988677</v>
      </c>
      <c r="V5" s="242">
        <v>4259379</v>
      </c>
      <c r="W5" s="242">
        <v>2830309.989293688</v>
      </c>
      <c r="X5" s="242">
        <v>2797339.324</v>
      </c>
      <c r="Y5" s="242">
        <v>2273564.7124805599</v>
      </c>
      <c r="Z5" s="242">
        <v>1108393.9463064999</v>
      </c>
      <c r="AA5" s="242">
        <v>1458588</v>
      </c>
      <c r="AB5" s="242">
        <v>4834125</v>
      </c>
      <c r="AC5" s="242">
        <v>5695320</v>
      </c>
      <c r="AD5" s="242">
        <v>3801513</v>
      </c>
      <c r="AE5" s="243"/>
      <c r="AF5" s="256">
        <f t="shared" ref="AF5:AF17" si="1">AD5/AC5-1</f>
        <v>-0.33251985841006304</v>
      </c>
      <c r="AG5" s="256">
        <f t="shared" ref="AG5:AG17" si="2">AD5/Z5-1</f>
        <v>2.4297489738804314</v>
      </c>
      <c r="AH5" s="243"/>
    </row>
    <row r="6" spans="1:37" ht="13" customHeight="1">
      <c r="A6" s="235"/>
      <c r="B6" s="16" t="str">
        <f>IF('Summary | Sumário'!D6=Names!B3,Names!K4,Names!L4)</f>
        <v>Amounts due from financial institutions, net of provisions for expected credit losses</v>
      </c>
      <c r="C6" s="243">
        <v>256097</v>
      </c>
      <c r="D6" s="243">
        <v>502369</v>
      </c>
      <c r="E6" s="243">
        <f t="shared" ref="E6:E17" si="3">N6</f>
        <v>2051862</v>
      </c>
      <c r="F6" s="243">
        <f t="shared" ref="F6:F17" si="4">R6</f>
        <v>4258856</v>
      </c>
      <c r="G6" s="243">
        <f t="shared" ref="G6:G17" si="5">V6</f>
        <v>3718505.7949100002</v>
      </c>
      <c r="H6" s="243">
        <f t="shared" ref="H6:H17" si="6">Z6</f>
        <v>6194960.1520200009</v>
      </c>
      <c r="I6" s="243">
        <f t="shared" si="0"/>
        <v>4600218</v>
      </c>
      <c r="J6" s="243"/>
      <c r="K6" s="243">
        <v>578499</v>
      </c>
      <c r="L6" s="243">
        <v>646905</v>
      </c>
      <c r="M6" s="243">
        <v>1408183</v>
      </c>
      <c r="N6" s="243">
        <v>2051862</v>
      </c>
      <c r="O6" s="243">
        <v>1807258</v>
      </c>
      <c r="P6" s="243">
        <v>1825289</v>
      </c>
      <c r="Q6" s="243">
        <v>3417500</v>
      </c>
      <c r="R6" s="243">
        <v>4258856</v>
      </c>
      <c r="S6" s="243">
        <v>3770074</v>
      </c>
      <c r="T6" s="243">
        <v>2556811</v>
      </c>
      <c r="U6" s="243">
        <v>3474243.8523399998</v>
      </c>
      <c r="V6" s="243">
        <v>3718505.7949100002</v>
      </c>
      <c r="W6" s="243">
        <v>4051287.3041199995</v>
      </c>
      <c r="X6" s="243">
        <v>5280321.6449999996</v>
      </c>
      <c r="Y6" s="243">
        <v>5225481.9997899998</v>
      </c>
      <c r="Z6" s="243">
        <v>6194960.1520200009</v>
      </c>
      <c r="AA6" s="243">
        <v>6595073</v>
      </c>
      <c r="AB6" s="243">
        <v>4952995</v>
      </c>
      <c r="AC6" s="243">
        <v>3275871</v>
      </c>
      <c r="AD6" s="243">
        <v>4600218</v>
      </c>
      <c r="AE6" s="243"/>
      <c r="AF6" s="261">
        <f t="shared" si="1"/>
        <v>0.40427324519188934</v>
      </c>
      <c r="AG6" s="261">
        <f t="shared" si="2"/>
        <v>-0.25742573202831676</v>
      </c>
      <c r="AH6" s="243"/>
    </row>
    <row r="7" spans="1:37" ht="13" customHeight="1">
      <c r="A7" s="235"/>
      <c r="B7" s="22" t="str">
        <f>IF('Summary | Sumário'!D6=Names!B3,Names!K5,Names!L5)</f>
        <v>Deposits at Central Bank of Brazil</v>
      </c>
      <c r="C7" s="242">
        <v>392280</v>
      </c>
      <c r="D7" s="242">
        <v>1709729</v>
      </c>
      <c r="E7" s="242">
        <f t="shared" si="3"/>
        <v>2399488</v>
      </c>
      <c r="F7" s="242">
        <f t="shared" si="4"/>
        <v>2854778</v>
      </c>
      <c r="G7" s="242">
        <f t="shared" si="5"/>
        <v>2664415</v>
      </c>
      <c r="H7" s="242">
        <f t="shared" si="6"/>
        <v>5285401.7280000001</v>
      </c>
      <c r="I7" s="242">
        <f t="shared" si="0"/>
        <v>7867658</v>
      </c>
      <c r="J7" s="243"/>
      <c r="K7" s="242">
        <v>1644359</v>
      </c>
      <c r="L7" s="242">
        <v>1593298</v>
      </c>
      <c r="M7" s="242">
        <v>2331697</v>
      </c>
      <c r="N7" s="242">
        <v>2399488</v>
      </c>
      <c r="O7" s="242">
        <v>2361774</v>
      </c>
      <c r="P7" s="242">
        <v>2580989</v>
      </c>
      <c r="Q7" s="242">
        <v>2686243</v>
      </c>
      <c r="R7" s="242">
        <v>2854778</v>
      </c>
      <c r="S7" s="242">
        <v>2993616</v>
      </c>
      <c r="T7" s="242">
        <v>1703869</v>
      </c>
      <c r="U7" s="242">
        <v>2190872.3033499997</v>
      </c>
      <c r="V7" s="242">
        <v>2664415</v>
      </c>
      <c r="W7" s="242">
        <v>2925658.3690599999</v>
      </c>
      <c r="X7" s="242">
        <v>3725774.7710000002</v>
      </c>
      <c r="Y7" s="242">
        <v>4185155.9511100003</v>
      </c>
      <c r="Z7" s="242">
        <v>5285401.7280000001</v>
      </c>
      <c r="AA7" s="242">
        <v>5648238</v>
      </c>
      <c r="AB7" s="242">
        <v>6179662</v>
      </c>
      <c r="AC7" s="242">
        <v>7072746</v>
      </c>
      <c r="AD7" s="242">
        <v>7867658</v>
      </c>
      <c r="AE7" s="243"/>
      <c r="AF7" s="256">
        <f t="shared" si="1"/>
        <v>0.11239085922214653</v>
      </c>
      <c r="AG7" s="256">
        <f t="shared" si="2"/>
        <v>0.48856386040066013</v>
      </c>
      <c r="AH7" s="243"/>
    </row>
    <row r="8" spans="1:37" ht="13" customHeight="1">
      <c r="A8" s="235"/>
      <c r="B8" s="697" t="str">
        <f>IF('Summary | Sumário'!D6=Names!B3,Names!K6,Names!L6)</f>
        <v>Securities, net of provisions for expected credit losses</v>
      </c>
      <c r="C8" s="243">
        <v>1155094</v>
      </c>
      <c r="D8" s="243">
        <v>5812622</v>
      </c>
      <c r="E8" s="243">
        <f t="shared" si="3"/>
        <v>12757687</v>
      </c>
      <c r="F8" s="243">
        <f t="shared" si="4"/>
        <v>12448565</v>
      </c>
      <c r="G8" s="243">
        <f t="shared" si="5"/>
        <v>16868112</v>
      </c>
      <c r="H8" s="243">
        <f t="shared" si="6"/>
        <v>23899551.020405103</v>
      </c>
      <c r="I8" s="243">
        <f t="shared" si="0"/>
        <v>29010323</v>
      </c>
      <c r="J8" s="243"/>
      <c r="K8" s="243">
        <v>6619726</v>
      </c>
      <c r="L8" s="243">
        <v>8230481</v>
      </c>
      <c r="M8" s="243">
        <v>13241180</v>
      </c>
      <c r="N8" s="243">
        <v>12757687</v>
      </c>
      <c r="O8" s="243">
        <v>12335401</v>
      </c>
      <c r="P8" s="243">
        <v>12710051</v>
      </c>
      <c r="Q8" s="243">
        <v>13373465</v>
      </c>
      <c r="R8" s="243">
        <v>12448565</v>
      </c>
      <c r="S8" s="243">
        <v>12535351</v>
      </c>
      <c r="T8" s="243">
        <v>14169684</v>
      </c>
      <c r="U8" s="243">
        <v>14908297</v>
      </c>
      <c r="V8" s="243">
        <v>16868112</v>
      </c>
      <c r="W8" s="243">
        <v>18167251</v>
      </c>
      <c r="X8" s="243">
        <v>18276425.519000001</v>
      </c>
      <c r="Y8" s="243">
        <v>20586354.700983003</v>
      </c>
      <c r="Z8" s="243">
        <v>23899551.020405103</v>
      </c>
      <c r="AA8" s="243">
        <v>24703003</v>
      </c>
      <c r="AB8" s="243">
        <v>23860348</v>
      </c>
      <c r="AC8" s="243">
        <v>27078010</v>
      </c>
      <c r="AD8" s="243">
        <v>29010323</v>
      </c>
      <c r="AE8" s="243"/>
      <c r="AF8" s="261">
        <f t="shared" si="1"/>
        <v>7.1360967811149978E-2</v>
      </c>
      <c r="AG8" s="261">
        <f t="shared" si="2"/>
        <v>0.21384384900081987</v>
      </c>
      <c r="AH8" s="243"/>
    </row>
    <row r="9" spans="1:37" ht="13" customHeight="1">
      <c r="A9" s="235"/>
      <c r="B9" s="22" t="str">
        <f>IF('Summary | Sumário'!D6=Names!B3,Names!K7,Names!L7)</f>
        <v>Derivative financial assets</v>
      </c>
      <c r="C9" s="242">
        <v>0</v>
      </c>
      <c r="D9" s="242">
        <v>27513</v>
      </c>
      <c r="E9" s="242">
        <f t="shared" si="3"/>
        <v>86948</v>
      </c>
      <c r="F9" s="242">
        <f t="shared" si="4"/>
        <v>0</v>
      </c>
      <c r="G9" s="242">
        <f t="shared" si="5"/>
        <v>4238</v>
      </c>
      <c r="H9" s="242">
        <f t="shared" si="6"/>
        <v>562.80100000000004</v>
      </c>
      <c r="I9" s="242">
        <f t="shared" si="0"/>
        <v>58915</v>
      </c>
      <c r="J9" s="243"/>
      <c r="K9" s="242">
        <v>18603</v>
      </c>
      <c r="L9" s="242">
        <v>11684</v>
      </c>
      <c r="M9" s="242">
        <v>7643</v>
      </c>
      <c r="N9" s="242">
        <v>86948</v>
      </c>
      <c r="O9" s="242">
        <v>10410</v>
      </c>
      <c r="P9" s="242">
        <v>3212</v>
      </c>
      <c r="Q9" s="242">
        <v>581</v>
      </c>
      <c r="R9" s="242">
        <v>0</v>
      </c>
      <c r="S9" s="242">
        <v>1122</v>
      </c>
      <c r="T9" s="242">
        <v>3625</v>
      </c>
      <c r="U9" s="242">
        <v>9388.5369900000005</v>
      </c>
      <c r="V9" s="242">
        <v>4238</v>
      </c>
      <c r="W9" s="242">
        <v>7392.1129600000004</v>
      </c>
      <c r="X9" s="242">
        <v>7177.4260000000004</v>
      </c>
      <c r="Y9" s="242">
        <v>18488.90812</v>
      </c>
      <c r="Z9" s="242">
        <v>562.80100000000004</v>
      </c>
      <c r="AA9" s="242">
        <v>8163</v>
      </c>
      <c r="AB9" s="242">
        <v>690</v>
      </c>
      <c r="AC9" s="242">
        <v>2493</v>
      </c>
      <c r="AD9" s="242">
        <v>58915</v>
      </c>
      <c r="AE9" s="243"/>
      <c r="AF9" s="256">
        <f t="shared" si="1"/>
        <v>22.632170076213399</v>
      </c>
      <c r="AG9" s="256">
        <f t="shared" si="2"/>
        <v>103.68176140411974</v>
      </c>
      <c r="AH9" s="243"/>
    </row>
    <row r="10" spans="1:37" ht="13" customHeight="1">
      <c r="A10" s="235"/>
      <c r="B10" s="697" t="str">
        <f>IF('Summary | Sumário'!D$6=Names!B$3,Names!K8,Names!L8)</f>
        <v>Loans and advances to customers, net of provisions for expected credit losses</v>
      </c>
      <c r="C10" s="243">
        <v>4561824</v>
      </c>
      <c r="D10" s="243">
        <v>8507703</v>
      </c>
      <c r="E10" s="243">
        <f t="shared" si="3"/>
        <v>16535430</v>
      </c>
      <c r="F10" s="243">
        <f t="shared" si="4"/>
        <v>21379916</v>
      </c>
      <c r="G10" s="243">
        <f t="shared" si="5"/>
        <v>27900543</v>
      </c>
      <c r="H10" s="243">
        <f t="shared" si="6"/>
        <v>33327355.1973699</v>
      </c>
      <c r="I10" s="243">
        <f t="shared" si="0"/>
        <v>45251104</v>
      </c>
      <c r="J10" s="243"/>
      <c r="K10" s="243">
        <v>9908120</v>
      </c>
      <c r="L10" s="243">
        <v>12040483</v>
      </c>
      <c r="M10" s="243">
        <v>14301537</v>
      </c>
      <c r="N10" s="243">
        <v>16535430</v>
      </c>
      <c r="O10" s="243">
        <v>17374632</v>
      </c>
      <c r="P10" s="243">
        <v>18510189</v>
      </c>
      <c r="Q10" s="243">
        <v>19820903</v>
      </c>
      <c r="R10" s="243">
        <v>21379916</v>
      </c>
      <c r="S10" s="243">
        <v>22371167</v>
      </c>
      <c r="T10" s="243">
        <v>23523982</v>
      </c>
      <c r="U10" s="243">
        <v>25296620</v>
      </c>
      <c r="V10" s="243">
        <v>27900543</v>
      </c>
      <c r="W10" s="243">
        <v>28826998.881090201</v>
      </c>
      <c r="X10" s="243">
        <v>30806640.206</v>
      </c>
      <c r="Y10" s="243">
        <v>31478421.7243573</v>
      </c>
      <c r="Z10" s="243">
        <v>33327355.1973699</v>
      </c>
      <c r="AA10" s="243">
        <v>35088280</v>
      </c>
      <c r="AB10" s="243">
        <v>37779506</v>
      </c>
      <c r="AC10" s="243">
        <v>41113584</v>
      </c>
      <c r="AD10" s="243">
        <v>45251104</v>
      </c>
      <c r="AE10" s="243"/>
      <c r="AF10" s="261">
        <f t="shared" si="1"/>
        <v>0.10063632496743646</v>
      </c>
      <c r="AG10" s="261">
        <f t="shared" si="2"/>
        <v>0.35777662919891973</v>
      </c>
      <c r="AH10" s="243"/>
    </row>
    <row r="11" spans="1:37" ht="13" customHeight="1">
      <c r="A11" s="235"/>
      <c r="B11" s="22" t="str">
        <f>IF('Summary | Sumário'!D$6=Names!B$3,Names!K9,Names!L9)</f>
        <v>Non-current assets held for sale</v>
      </c>
      <c r="C11" s="242">
        <v>121632</v>
      </c>
      <c r="D11" s="242">
        <v>119929</v>
      </c>
      <c r="E11" s="242">
        <f t="shared" si="3"/>
        <v>129793</v>
      </c>
      <c r="F11" s="242">
        <f t="shared" si="4"/>
        <v>166943</v>
      </c>
      <c r="G11" s="242">
        <f t="shared" si="5"/>
        <v>174355</v>
      </c>
      <c r="H11" s="242">
        <f t="shared" si="6"/>
        <v>234611.397</v>
      </c>
      <c r="I11" s="242">
        <f t="shared" si="0"/>
        <v>366398</v>
      </c>
      <c r="J11" s="243"/>
      <c r="K11" s="242">
        <v>114385</v>
      </c>
      <c r="L11" s="242">
        <v>136305</v>
      </c>
      <c r="M11" s="242">
        <v>134931</v>
      </c>
      <c r="N11" s="242">
        <v>129793</v>
      </c>
      <c r="O11" s="242">
        <v>136641</v>
      </c>
      <c r="P11" s="242">
        <v>161254</v>
      </c>
      <c r="Q11" s="242">
        <v>165703</v>
      </c>
      <c r="R11" s="242">
        <v>166943</v>
      </c>
      <c r="S11" s="242">
        <v>178413</v>
      </c>
      <c r="T11" s="242">
        <v>176866</v>
      </c>
      <c r="U11" s="242">
        <v>169346.87808000002</v>
      </c>
      <c r="V11" s="242">
        <v>174355</v>
      </c>
      <c r="W11" s="242">
        <v>173712.38881</v>
      </c>
      <c r="X11" s="242">
        <v>179954.223</v>
      </c>
      <c r="Y11" s="242">
        <v>184823.49188999998</v>
      </c>
      <c r="Z11" s="242">
        <v>234611.397</v>
      </c>
      <c r="AA11" s="242">
        <v>257696</v>
      </c>
      <c r="AB11" s="242">
        <v>260516</v>
      </c>
      <c r="AC11" s="242">
        <v>313776</v>
      </c>
      <c r="AD11" s="242">
        <v>366398</v>
      </c>
      <c r="AE11" s="243"/>
      <c r="AF11" s="256">
        <f t="shared" si="1"/>
        <v>0.16770562439447256</v>
      </c>
      <c r="AG11" s="256">
        <f t="shared" si="2"/>
        <v>0.56172293710011023</v>
      </c>
      <c r="AH11" s="243"/>
    </row>
    <row r="12" spans="1:37" ht="13" customHeight="1">
      <c r="A12" s="235"/>
      <c r="B12" s="16" t="str">
        <f>IF('Summary | Sumário'!D$6=Names!B$3,Names!K10,Names!L10)</f>
        <v>Equity accounted investees</v>
      </c>
      <c r="C12" s="243">
        <v>0</v>
      </c>
      <c r="D12" s="243">
        <v>0</v>
      </c>
      <c r="E12" s="243">
        <f t="shared" si="3"/>
        <v>82445</v>
      </c>
      <c r="F12" s="243">
        <f t="shared" si="4"/>
        <v>72090</v>
      </c>
      <c r="G12" s="243">
        <f t="shared" si="5"/>
        <v>90634</v>
      </c>
      <c r="H12" s="243">
        <f t="shared" si="6"/>
        <v>10401.1976397009</v>
      </c>
      <c r="I12" s="243">
        <f t="shared" si="0"/>
        <v>10401</v>
      </c>
      <c r="J12" s="243"/>
      <c r="K12" s="243">
        <v>91162</v>
      </c>
      <c r="L12" s="243">
        <v>95055</v>
      </c>
      <c r="M12" s="243">
        <v>148434</v>
      </c>
      <c r="N12" s="243">
        <v>82445</v>
      </c>
      <c r="O12" s="243">
        <v>85231</v>
      </c>
      <c r="P12" s="243">
        <v>80741</v>
      </c>
      <c r="Q12" s="243">
        <v>76849</v>
      </c>
      <c r="R12" s="243">
        <v>72090</v>
      </c>
      <c r="S12" s="243">
        <v>70820</v>
      </c>
      <c r="T12" s="243">
        <v>71900</v>
      </c>
      <c r="U12" s="243">
        <v>71884.022609999229</v>
      </c>
      <c r="V12" s="243">
        <v>90634</v>
      </c>
      <c r="W12" s="243">
        <v>89569</v>
      </c>
      <c r="X12" s="243">
        <v>88154.67</v>
      </c>
      <c r="Y12" s="243">
        <v>10402.331405201901</v>
      </c>
      <c r="Z12" s="243">
        <v>10401.1976397009</v>
      </c>
      <c r="AA12" s="243">
        <v>10401</v>
      </c>
      <c r="AB12" s="243">
        <v>10402</v>
      </c>
      <c r="AC12" s="243">
        <v>10401</v>
      </c>
      <c r="AD12" s="243">
        <v>10401</v>
      </c>
      <c r="AE12" s="243"/>
      <c r="AF12" s="261">
        <f t="shared" si="1"/>
        <v>0</v>
      </c>
      <c r="AG12" s="261">
        <f t="shared" si="2"/>
        <v>-1.9001629210979587E-5</v>
      </c>
      <c r="AH12" s="243"/>
    </row>
    <row r="13" spans="1:37" ht="13" customHeight="1">
      <c r="A13" s="235"/>
      <c r="B13" s="22" t="str">
        <f>IF('Summary | Sumário'!D$6=Names!B$3,Names!K11,Names!L11)</f>
        <v>Property and equipment</v>
      </c>
      <c r="C13" s="242">
        <v>91851</v>
      </c>
      <c r="D13" s="242">
        <v>137846</v>
      </c>
      <c r="E13" s="242">
        <f t="shared" si="3"/>
        <v>163475</v>
      </c>
      <c r="F13" s="242">
        <f t="shared" si="4"/>
        <v>188019</v>
      </c>
      <c r="G13" s="242">
        <f t="shared" si="5"/>
        <v>167547</v>
      </c>
      <c r="H13" s="242">
        <f t="shared" si="6"/>
        <v>369941.72452466295</v>
      </c>
      <c r="I13" s="242">
        <f t="shared" si="0"/>
        <v>381404</v>
      </c>
      <c r="J13" s="243"/>
      <c r="K13" s="242">
        <v>149132</v>
      </c>
      <c r="L13" s="242">
        <v>158686</v>
      </c>
      <c r="M13" s="242">
        <v>379252</v>
      </c>
      <c r="N13" s="242">
        <v>163475</v>
      </c>
      <c r="O13" s="242">
        <v>204039</v>
      </c>
      <c r="P13" s="242">
        <v>200804</v>
      </c>
      <c r="Q13" s="242">
        <v>193905</v>
      </c>
      <c r="R13" s="242">
        <v>188019</v>
      </c>
      <c r="S13" s="242">
        <v>180923</v>
      </c>
      <c r="T13" s="242">
        <v>179317</v>
      </c>
      <c r="U13" s="242">
        <v>173677</v>
      </c>
      <c r="V13" s="242">
        <v>167547</v>
      </c>
      <c r="W13" s="242">
        <v>187076.45079360603</v>
      </c>
      <c r="X13" s="242">
        <v>193646.723</v>
      </c>
      <c r="Y13" s="242">
        <v>360062.75075838901</v>
      </c>
      <c r="Z13" s="242">
        <v>369941.72452466295</v>
      </c>
      <c r="AA13" s="242">
        <v>359211</v>
      </c>
      <c r="AB13" s="242">
        <v>377545</v>
      </c>
      <c r="AC13" s="242">
        <v>367318</v>
      </c>
      <c r="AD13" s="242">
        <v>381404</v>
      </c>
      <c r="AE13" s="243"/>
      <c r="AF13" s="319">
        <f t="shared" si="1"/>
        <v>3.8348243211604016E-2</v>
      </c>
      <c r="AG13" s="319">
        <f t="shared" si="2"/>
        <v>3.098400292658221E-2</v>
      </c>
      <c r="AH13" s="243"/>
    </row>
    <row r="14" spans="1:37" ht="13" customHeight="1">
      <c r="A14" s="235"/>
      <c r="B14" s="16" t="str">
        <f>IF('Summary | Sumário'!D$6=Names!B$3,Names!K12,Names!L12)</f>
        <v>Intangible assets</v>
      </c>
      <c r="C14" s="243">
        <v>79248</v>
      </c>
      <c r="D14" s="243">
        <v>224516</v>
      </c>
      <c r="E14" s="243">
        <f t="shared" si="3"/>
        <v>430504</v>
      </c>
      <c r="F14" s="243">
        <f t="shared" si="4"/>
        <v>1238629</v>
      </c>
      <c r="G14" s="243">
        <f t="shared" si="5"/>
        <v>1345304</v>
      </c>
      <c r="H14" s="243">
        <f t="shared" si="6"/>
        <v>1836052.5846471</v>
      </c>
      <c r="I14" s="243">
        <f t="shared" si="0"/>
        <v>2023939</v>
      </c>
      <c r="J14" s="243"/>
      <c r="K14" s="243">
        <v>303418</v>
      </c>
      <c r="L14" s="243">
        <v>348745</v>
      </c>
      <c r="M14" s="243">
        <v>569127.75</v>
      </c>
      <c r="N14" s="243">
        <v>430504</v>
      </c>
      <c r="O14" s="243">
        <v>1316366</v>
      </c>
      <c r="P14" s="243">
        <v>1189909</v>
      </c>
      <c r="Q14" s="243">
        <v>1209471</v>
      </c>
      <c r="R14" s="243">
        <v>1238629</v>
      </c>
      <c r="S14" s="243">
        <v>1274423</v>
      </c>
      <c r="T14" s="243">
        <v>1303182</v>
      </c>
      <c r="U14" s="243">
        <v>1322350</v>
      </c>
      <c r="V14" s="243">
        <v>1345304</v>
      </c>
      <c r="W14" s="243">
        <v>1596177</v>
      </c>
      <c r="X14" s="243">
        <v>1661858.0249999999</v>
      </c>
      <c r="Y14" s="243">
        <v>1711148.26883</v>
      </c>
      <c r="Z14" s="243">
        <v>1836052.5846471</v>
      </c>
      <c r="AA14" s="243">
        <v>1925819</v>
      </c>
      <c r="AB14" s="243">
        <v>1970727</v>
      </c>
      <c r="AC14" s="243">
        <v>2006644</v>
      </c>
      <c r="AD14" s="243">
        <v>2023939</v>
      </c>
      <c r="AE14" s="243"/>
      <c r="AF14" s="261">
        <f t="shared" si="1"/>
        <v>8.6188681201049278E-3</v>
      </c>
      <c r="AG14" s="261">
        <f t="shared" si="2"/>
        <v>0.10233171801504426</v>
      </c>
      <c r="AH14" s="243"/>
    </row>
    <row r="15" spans="1:37" ht="13" customHeight="1">
      <c r="A15" s="235"/>
      <c r="B15" s="22" t="str">
        <f>IF('Summary | Sumário'!D$6=Names!B$3,Names!K13,Names!L13)</f>
        <v>Deferred tax assets</v>
      </c>
      <c r="C15" s="242">
        <v>112217</v>
      </c>
      <c r="D15" s="242">
        <v>206018</v>
      </c>
      <c r="E15" s="242">
        <f t="shared" si="3"/>
        <v>695525.47689649905</v>
      </c>
      <c r="F15" s="242">
        <f t="shared" si="4"/>
        <v>978148</v>
      </c>
      <c r="G15" s="242">
        <f t="shared" si="5"/>
        <v>1033535</v>
      </c>
      <c r="H15" s="242">
        <f t="shared" si="6"/>
        <v>1705054.04740591</v>
      </c>
      <c r="I15" s="242">
        <f t="shared" si="0"/>
        <v>1789304</v>
      </c>
      <c r="J15" s="243"/>
      <c r="K15" s="242">
        <v>374673</v>
      </c>
      <c r="L15" s="242">
        <v>512637</v>
      </c>
      <c r="M15" s="242">
        <v>89648</v>
      </c>
      <c r="N15" s="242">
        <v>695525.47689649905</v>
      </c>
      <c r="O15" s="242">
        <v>831698</v>
      </c>
      <c r="P15" s="242">
        <v>931537</v>
      </c>
      <c r="Q15" s="242">
        <v>872798</v>
      </c>
      <c r="R15" s="242">
        <v>978148</v>
      </c>
      <c r="S15" s="242">
        <v>1008370</v>
      </c>
      <c r="T15" s="242">
        <v>940399</v>
      </c>
      <c r="U15" s="242">
        <v>1071248</v>
      </c>
      <c r="V15" s="242">
        <v>1033535</v>
      </c>
      <c r="W15" s="242">
        <v>1082102</v>
      </c>
      <c r="X15" s="242">
        <v>1218264.611</v>
      </c>
      <c r="Y15" s="242">
        <v>1411485.33995961</v>
      </c>
      <c r="Z15" s="242">
        <v>1705054.04740591</v>
      </c>
      <c r="AA15" s="242">
        <v>1848861</v>
      </c>
      <c r="AB15" s="242">
        <v>1719491</v>
      </c>
      <c r="AC15" s="242">
        <v>1702928</v>
      </c>
      <c r="AD15" s="242">
        <v>1789304</v>
      </c>
      <c r="AE15" s="243"/>
      <c r="AF15" s="256">
        <f t="shared" si="1"/>
        <v>5.0722050491858628E-2</v>
      </c>
      <c r="AG15" s="256">
        <f t="shared" si="2"/>
        <v>4.9411895606634282E-2</v>
      </c>
      <c r="AH15" s="243"/>
    </row>
    <row r="16" spans="1:37" ht="13" customHeight="1">
      <c r="A16" s="235"/>
      <c r="B16" s="16" t="str">
        <f>IF('Summary | Sumário'!D$6=Names!B$3,Names!K14,Names!L14)</f>
        <v>Other assets</v>
      </c>
      <c r="C16" s="215">
        <v>192054</v>
      </c>
      <c r="D16" s="215">
        <v>518681</v>
      </c>
      <c r="E16" s="215">
        <f t="shared" si="3"/>
        <v>792734.63349000004</v>
      </c>
      <c r="F16" s="215">
        <f t="shared" si="4"/>
        <v>1425508</v>
      </c>
      <c r="G16" s="215">
        <f t="shared" si="5"/>
        <v>2125231</v>
      </c>
      <c r="H16" s="215">
        <f t="shared" si="6"/>
        <v>2486144.5552079803</v>
      </c>
      <c r="I16" s="215">
        <f t="shared" si="0"/>
        <v>3450341</v>
      </c>
      <c r="J16" s="215"/>
      <c r="K16" s="215">
        <v>728467</v>
      </c>
      <c r="L16" s="215">
        <v>804207.20399999991</v>
      </c>
      <c r="M16" s="215">
        <v>699185.75381999998</v>
      </c>
      <c r="N16" s="215">
        <v>792734.63349000004</v>
      </c>
      <c r="O16" s="215">
        <v>977090</v>
      </c>
      <c r="P16" s="215">
        <v>1190646</v>
      </c>
      <c r="Q16" s="215">
        <v>1188339</v>
      </c>
      <c r="R16" s="215">
        <v>1425508</v>
      </c>
      <c r="S16" s="215">
        <v>1525108</v>
      </c>
      <c r="T16" s="215">
        <v>1701475</v>
      </c>
      <c r="U16" s="215">
        <v>2093833</v>
      </c>
      <c r="V16" s="215">
        <v>2125231</v>
      </c>
      <c r="W16" s="215">
        <v>2609027</v>
      </c>
      <c r="X16" s="215">
        <v>2337903.2629999998</v>
      </c>
      <c r="Y16" s="215">
        <v>2482687.2263140101</v>
      </c>
      <c r="Z16" s="215">
        <v>2486144.5552079803</v>
      </c>
      <c r="AA16" s="215">
        <v>2655231</v>
      </c>
      <c r="AB16" s="215">
        <v>2786912</v>
      </c>
      <c r="AC16" s="215">
        <v>3169417</v>
      </c>
      <c r="AD16" s="215">
        <v>3450341</v>
      </c>
      <c r="AE16" s="215"/>
      <c r="AF16" s="261">
        <f t="shared" si="1"/>
        <v>8.8635859528739758E-2</v>
      </c>
      <c r="AG16" s="261">
        <f t="shared" si="2"/>
        <v>0.38782798963649112</v>
      </c>
      <c r="AH16" s="215"/>
    </row>
    <row r="17" spans="1:35" ht="13" customHeight="1">
      <c r="A17" s="235"/>
      <c r="B17" s="277" t="str">
        <f>IF('Summary | Sumário'!D$6=Names!B$3,Names!K15,Names!L15)</f>
        <v>Total assets</v>
      </c>
      <c r="C17" s="278">
        <v>10077086</v>
      </c>
      <c r="D17" s="278">
        <v>19921613</v>
      </c>
      <c r="E17" s="278">
        <f t="shared" si="3"/>
        <v>36626337.428616509</v>
      </c>
      <c r="F17" s="278">
        <f t="shared" si="4"/>
        <v>46343100</v>
      </c>
      <c r="G17" s="278">
        <f t="shared" si="5"/>
        <v>60351797</v>
      </c>
      <c r="H17" s="278">
        <f t="shared" si="6"/>
        <v>76458430.351526901</v>
      </c>
      <c r="I17" s="278">
        <f t="shared" si="0"/>
        <v>98611518</v>
      </c>
      <c r="J17" s="247"/>
      <c r="K17" s="278">
        <v>21436667</v>
      </c>
      <c r="L17" s="278">
        <v>30309493.204999998</v>
      </c>
      <c r="M17" s="278">
        <v>33762592.801820002</v>
      </c>
      <c r="N17" s="278">
        <v>36626337.428616509</v>
      </c>
      <c r="O17" s="278">
        <v>38612194</v>
      </c>
      <c r="P17" s="278">
        <v>40933779</v>
      </c>
      <c r="Q17" s="278">
        <v>43844067</v>
      </c>
      <c r="R17" s="278">
        <v>46343100</v>
      </c>
      <c r="S17" s="278">
        <v>47701094</v>
      </c>
      <c r="T17" s="278">
        <v>50003329</v>
      </c>
      <c r="U17" s="278">
        <v>55078840</v>
      </c>
      <c r="V17" s="278">
        <v>60351797</v>
      </c>
      <c r="W17" s="278">
        <v>62546562.496127494</v>
      </c>
      <c r="X17" s="278">
        <v>66573460.406000003</v>
      </c>
      <c r="Y17" s="278">
        <v>69928077.405998006</v>
      </c>
      <c r="Z17" s="278">
        <v>76458430.351526901</v>
      </c>
      <c r="AA17" s="278">
        <v>80558566</v>
      </c>
      <c r="AB17" s="278">
        <v>84732919</v>
      </c>
      <c r="AC17" s="278">
        <v>91808508</v>
      </c>
      <c r="AD17" s="278">
        <v>98611518</v>
      </c>
      <c r="AE17" s="247"/>
      <c r="AF17" s="329">
        <f t="shared" si="1"/>
        <v>7.4099995176917677E-2</v>
      </c>
      <c r="AG17" s="329">
        <f t="shared" si="2"/>
        <v>0.28974028824057196</v>
      </c>
      <c r="AH17" s="227"/>
    </row>
    <row r="18" spans="1:35" ht="13" customHeight="1">
      <c r="A18" s="235"/>
      <c r="B18" s="3"/>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330"/>
      <c r="AG18" s="330"/>
      <c r="AH18" s="227"/>
      <c r="AI18" s="244"/>
    </row>
    <row r="19" spans="1:35" ht="13" customHeight="1">
      <c r="A19" s="235"/>
      <c r="B19" s="31" t="str">
        <f>IF('Summary | Sumário'!D$6=Names!B$3,Names!K16,Names!L16)</f>
        <v>Liabilities</v>
      </c>
      <c r="C19" s="236"/>
      <c r="D19" s="236"/>
      <c r="E19" s="236"/>
      <c r="F19" s="236"/>
      <c r="G19" s="236"/>
      <c r="H19" s="236"/>
      <c r="I19" s="236"/>
      <c r="J19" s="227"/>
      <c r="K19" s="236"/>
      <c r="L19" s="236"/>
      <c r="M19" s="236"/>
      <c r="N19" s="236"/>
      <c r="O19" s="236"/>
      <c r="P19" s="236"/>
      <c r="Q19" s="236"/>
      <c r="R19" s="236"/>
      <c r="S19" s="236"/>
      <c r="T19" s="236"/>
      <c r="U19" s="236"/>
      <c r="V19" s="236"/>
      <c r="W19" s="236"/>
      <c r="X19" s="236"/>
      <c r="Y19" s="236"/>
      <c r="Z19" s="236"/>
      <c r="AA19" s="236"/>
      <c r="AB19" s="236"/>
      <c r="AC19" s="236"/>
      <c r="AD19" s="236"/>
      <c r="AE19" s="227"/>
      <c r="AF19" s="325"/>
      <c r="AG19" s="325"/>
      <c r="AH19" s="227"/>
    </row>
    <row r="20" spans="1:35" ht="13" customHeight="1">
      <c r="A20" s="235"/>
      <c r="B20" s="697" t="str">
        <f>IF('Summary | Sumário'!D$6=Names!B$3,Names!K17,Names!L17)</f>
        <v>Deposits from banks</v>
      </c>
      <c r="C20" s="243">
        <v>1152492</v>
      </c>
      <c r="D20" s="243">
        <v>1756913</v>
      </c>
      <c r="E20" s="243">
        <f t="shared" ref="E20:E28" si="7">N20</f>
        <v>5341464</v>
      </c>
      <c r="F20" s="243">
        <f t="shared" ref="F20:F28" si="8">R20</f>
        <v>7906897</v>
      </c>
      <c r="G20" s="243">
        <f t="shared" ref="G20:G29" si="9">V20</f>
        <v>9522469</v>
      </c>
      <c r="H20" s="243">
        <f t="shared" ref="H20:H29" si="10">Z20</f>
        <v>11319577</v>
      </c>
      <c r="I20" s="243">
        <f t="shared" ref="I20:I29" si="11">AD20</f>
        <v>14585704</v>
      </c>
      <c r="J20" s="215"/>
      <c r="K20" s="243">
        <v>2236178</v>
      </c>
      <c r="L20" s="243">
        <v>3003367</v>
      </c>
      <c r="M20" s="243">
        <v>4235618</v>
      </c>
      <c r="N20" s="243">
        <v>5341464</v>
      </c>
      <c r="O20" s="243">
        <v>5917844</v>
      </c>
      <c r="P20" s="215">
        <v>6945236</v>
      </c>
      <c r="Q20" s="215">
        <v>7349464</v>
      </c>
      <c r="R20" s="215">
        <v>7906897</v>
      </c>
      <c r="S20" s="215">
        <v>8216538</v>
      </c>
      <c r="T20" s="215">
        <v>8023953</v>
      </c>
      <c r="U20" s="215">
        <v>9418244.5561900008</v>
      </c>
      <c r="V20" s="215">
        <v>9522469</v>
      </c>
      <c r="W20" s="215">
        <v>10483086.949449999</v>
      </c>
      <c r="X20" s="215">
        <v>10913779.435000001</v>
      </c>
      <c r="Y20" s="215">
        <v>10403853</v>
      </c>
      <c r="Z20" s="215">
        <v>11319577</v>
      </c>
      <c r="AA20" s="215">
        <v>13807683</v>
      </c>
      <c r="AB20" s="215">
        <v>13885147</v>
      </c>
      <c r="AC20" s="215">
        <v>14253393</v>
      </c>
      <c r="AD20" s="215">
        <v>14585704</v>
      </c>
      <c r="AE20" s="215"/>
      <c r="AF20" s="222">
        <f t="shared" ref="AF20:AF29" si="12">AD20/AC20-1</f>
        <v>2.3314518865788614E-2</v>
      </c>
      <c r="AG20" s="222">
        <f t="shared" ref="AG20:AG29" si="13">AD20/Z20-1</f>
        <v>0.28853790207884966</v>
      </c>
      <c r="AH20" s="215"/>
    </row>
    <row r="21" spans="1:35" ht="13" customHeight="1">
      <c r="A21" s="235"/>
      <c r="B21" s="22" t="str">
        <f>IF('Summary | Sumário'!D$6=Names!B$3,Names!K18,Names!L18)</f>
        <v>Deposits from customers</v>
      </c>
      <c r="C21" s="242">
        <v>4714439</v>
      </c>
      <c r="D21" s="242">
        <v>12436632</v>
      </c>
      <c r="E21" s="242">
        <f t="shared" si="7"/>
        <v>18333543</v>
      </c>
      <c r="F21" s="242">
        <f t="shared" si="8"/>
        <v>23642804</v>
      </c>
      <c r="G21" s="242">
        <f t="shared" si="9"/>
        <v>32651620</v>
      </c>
      <c r="H21" s="242">
        <f t="shared" si="10"/>
        <v>42803229</v>
      </c>
      <c r="I21" s="242">
        <f t="shared" si="11"/>
        <v>54883084</v>
      </c>
      <c r="J21" s="215"/>
      <c r="K21" s="242">
        <v>13392679</v>
      </c>
      <c r="L21" s="242">
        <v>15629130.619999999</v>
      </c>
      <c r="M21" s="242">
        <v>17093473.298</v>
      </c>
      <c r="N21" s="242">
        <v>18333543</v>
      </c>
      <c r="O21" s="242">
        <v>18958118</v>
      </c>
      <c r="P21" s="214">
        <v>19746409</v>
      </c>
      <c r="Q21" s="214">
        <v>21452026</v>
      </c>
      <c r="R21" s="214">
        <v>23642804</v>
      </c>
      <c r="S21" s="214">
        <v>24182006</v>
      </c>
      <c r="T21" s="214">
        <v>26299326</v>
      </c>
      <c r="U21" s="214">
        <v>29063988</v>
      </c>
      <c r="V21" s="214">
        <v>32651620</v>
      </c>
      <c r="W21" s="214">
        <v>32643444.086135942</v>
      </c>
      <c r="X21" s="214">
        <v>35978318.071000002</v>
      </c>
      <c r="Y21" s="214">
        <v>39129759</v>
      </c>
      <c r="Z21" s="214">
        <v>42803229</v>
      </c>
      <c r="AA21" s="214">
        <v>43647768</v>
      </c>
      <c r="AB21" s="214">
        <v>46667343</v>
      </c>
      <c r="AC21" s="214">
        <v>51496386</v>
      </c>
      <c r="AD21" s="214">
        <v>54883084</v>
      </c>
      <c r="AE21" s="215"/>
      <c r="AF21" s="340">
        <f t="shared" si="12"/>
        <v>6.5765741308525971E-2</v>
      </c>
      <c r="AG21" s="340">
        <f t="shared" si="13"/>
        <v>0.28221831114657259</v>
      </c>
      <c r="AH21" s="215"/>
      <c r="AI21" s="245"/>
    </row>
    <row r="22" spans="1:35" ht="13" customHeight="1">
      <c r="A22" s="235"/>
      <c r="B22" s="16" t="str">
        <f>IF('Summary | Sumário'!D$6=Names!B$3,Names!K19,Names!L19)</f>
        <v>Securities issued</v>
      </c>
      <c r="C22" s="243">
        <v>1719580</v>
      </c>
      <c r="D22" s="243">
        <v>1729436</v>
      </c>
      <c r="E22" s="243">
        <f t="shared" si="7"/>
        <v>3572093</v>
      </c>
      <c r="F22" s="243">
        <f t="shared" si="8"/>
        <v>6202165</v>
      </c>
      <c r="G22" s="243">
        <f t="shared" si="9"/>
        <v>8095042</v>
      </c>
      <c r="H22" s="243">
        <f t="shared" si="10"/>
        <v>9890219</v>
      </c>
      <c r="I22" s="243">
        <f t="shared" si="11"/>
        <v>14127144</v>
      </c>
      <c r="J22" s="215"/>
      <c r="K22" s="243">
        <v>1704892</v>
      </c>
      <c r="L22" s="243">
        <v>2081723</v>
      </c>
      <c r="M22" s="243">
        <v>3093320</v>
      </c>
      <c r="N22" s="243">
        <v>3572093</v>
      </c>
      <c r="O22" s="243">
        <v>4280956</v>
      </c>
      <c r="P22" s="215">
        <v>6104223</v>
      </c>
      <c r="Q22" s="215">
        <v>6916919</v>
      </c>
      <c r="R22" s="215">
        <v>6202165</v>
      </c>
      <c r="S22" s="215">
        <v>6640557</v>
      </c>
      <c r="T22" s="215">
        <v>7006191.0407400001</v>
      </c>
      <c r="U22" s="215">
        <v>7462564.5372699993</v>
      </c>
      <c r="V22" s="215">
        <v>8095042</v>
      </c>
      <c r="W22" s="215">
        <v>8249142.2142699994</v>
      </c>
      <c r="X22" s="215">
        <v>8543248.1730000004</v>
      </c>
      <c r="Y22" s="215">
        <v>9047656</v>
      </c>
      <c r="Z22" s="215">
        <v>9890219</v>
      </c>
      <c r="AA22" s="215">
        <v>10697969</v>
      </c>
      <c r="AB22" s="215">
        <v>11378259</v>
      </c>
      <c r="AC22" s="215">
        <v>12242366</v>
      </c>
      <c r="AD22" s="215">
        <v>14127144</v>
      </c>
      <c r="AE22" s="215"/>
      <c r="AF22" s="222">
        <f t="shared" si="12"/>
        <v>0.1539553710451067</v>
      </c>
      <c r="AG22" s="222">
        <f t="shared" si="13"/>
        <v>0.42839546829043917</v>
      </c>
      <c r="AH22" s="215"/>
    </row>
    <row r="23" spans="1:35" ht="13" customHeight="1">
      <c r="A23" s="235"/>
      <c r="B23" s="22" t="str">
        <f>IF('Summary | Sumário'!D$6=Names!B$3,Names!K20,Names!L20)</f>
        <v>Derivative financial liabilities</v>
      </c>
      <c r="C23" s="242">
        <v>20941</v>
      </c>
      <c r="D23" s="242">
        <v>56758</v>
      </c>
      <c r="E23" s="242">
        <f t="shared" si="7"/>
        <v>66545</v>
      </c>
      <c r="F23" s="242">
        <f t="shared" si="8"/>
        <v>37768</v>
      </c>
      <c r="G23" s="242">
        <f t="shared" si="9"/>
        <v>15063</v>
      </c>
      <c r="H23" s="242">
        <f t="shared" si="10"/>
        <v>70048</v>
      </c>
      <c r="I23" s="242">
        <f t="shared" si="11"/>
        <v>54114</v>
      </c>
      <c r="J23" s="215"/>
      <c r="K23" s="242">
        <v>83222</v>
      </c>
      <c r="L23" s="242">
        <v>78887</v>
      </c>
      <c r="M23" s="242">
        <v>81359</v>
      </c>
      <c r="N23" s="242">
        <v>66545</v>
      </c>
      <c r="O23" s="242">
        <v>76042</v>
      </c>
      <c r="P23" s="214">
        <v>65888</v>
      </c>
      <c r="Q23" s="214">
        <v>40347</v>
      </c>
      <c r="R23" s="214">
        <v>37768</v>
      </c>
      <c r="S23" s="214">
        <v>32614</v>
      </c>
      <c r="T23" s="214">
        <v>27996</v>
      </c>
      <c r="U23" s="214">
        <v>21058.658820000001</v>
      </c>
      <c r="V23" s="214">
        <v>15063</v>
      </c>
      <c r="W23" s="214">
        <v>13892.998310000001</v>
      </c>
      <c r="X23" s="214">
        <v>14039.200999999999</v>
      </c>
      <c r="Y23" s="214">
        <v>8778</v>
      </c>
      <c r="Z23" s="214">
        <v>70048</v>
      </c>
      <c r="AA23" s="214">
        <v>5863</v>
      </c>
      <c r="AB23" s="214">
        <v>33193</v>
      </c>
      <c r="AC23" s="214">
        <v>23470</v>
      </c>
      <c r="AD23" s="214">
        <v>54114</v>
      </c>
      <c r="AE23" s="215"/>
      <c r="AF23" s="340">
        <f t="shared" si="12"/>
        <v>1.3056668086919472</v>
      </c>
      <c r="AG23" s="340">
        <f t="shared" si="13"/>
        <v>-0.22747259022384647</v>
      </c>
      <c r="AH23" s="215"/>
    </row>
    <row r="24" spans="1:35" ht="13" customHeight="1">
      <c r="A24" s="235"/>
      <c r="B24" s="697" t="str">
        <f>IF('Summary | Sumário'!D$6=Names!B$3,Names!K21,Names!L21)</f>
        <v>Borrowings and on-lending</v>
      </c>
      <c r="C24" s="243">
        <v>29800</v>
      </c>
      <c r="D24" s="243">
        <v>27405</v>
      </c>
      <c r="E24" s="243">
        <f t="shared" si="7"/>
        <v>25071</v>
      </c>
      <c r="F24" s="243">
        <f t="shared" si="8"/>
        <v>36448</v>
      </c>
      <c r="G24" s="243">
        <f t="shared" si="9"/>
        <v>107412</v>
      </c>
      <c r="H24" s="243">
        <f t="shared" si="10"/>
        <v>128924</v>
      </c>
      <c r="I24" s="243">
        <f t="shared" si="11"/>
        <v>817495</v>
      </c>
      <c r="J24" s="215"/>
      <c r="K24" s="243">
        <v>27179</v>
      </c>
      <c r="L24" s="243">
        <v>26325</v>
      </c>
      <c r="M24" s="243">
        <v>25580</v>
      </c>
      <c r="N24" s="243">
        <v>25071</v>
      </c>
      <c r="O24" s="243">
        <v>33002</v>
      </c>
      <c r="P24" s="215">
        <v>31855</v>
      </c>
      <c r="Q24" s="215">
        <v>33119</v>
      </c>
      <c r="R24" s="215">
        <v>36448</v>
      </c>
      <c r="S24" s="215">
        <v>36632</v>
      </c>
      <c r="T24" s="215">
        <v>38753</v>
      </c>
      <c r="U24" s="215">
        <v>87649</v>
      </c>
      <c r="V24" s="215">
        <v>107412</v>
      </c>
      <c r="W24" s="215">
        <v>102019.6489</v>
      </c>
      <c r="X24" s="215">
        <v>101630.08100000001</v>
      </c>
      <c r="Y24" s="215">
        <v>114824</v>
      </c>
      <c r="Z24" s="215">
        <v>128924</v>
      </c>
      <c r="AA24" s="215">
        <v>397953</v>
      </c>
      <c r="AB24" s="215">
        <v>572557</v>
      </c>
      <c r="AC24" s="215">
        <v>676424</v>
      </c>
      <c r="AD24" s="215">
        <v>817495</v>
      </c>
      <c r="AE24" s="215"/>
      <c r="AF24" s="222">
        <f t="shared" si="12"/>
        <v>0.20855410216077486</v>
      </c>
      <c r="AG24" s="222">
        <f t="shared" si="13"/>
        <v>5.3409062703608328</v>
      </c>
      <c r="AH24" s="215"/>
    </row>
    <row r="25" spans="1:35" ht="13" customHeight="1">
      <c r="A25" s="235"/>
      <c r="B25" s="22" t="str">
        <f>IF('Summary | Sumário'!D$6=Names!B$3,Names!K22,Names!L22)</f>
        <v>Tax liabilities</v>
      </c>
      <c r="C25" s="242">
        <v>18202</v>
      </c>
      <c r="D25" s="242">
        <v>30271</v>
      </c>
      <c r="E25" s="242">
        <f t="shared" si="7"/>
        <v>78406</v>
      </c>
      <c r="F25" s="242">
        <f t="shared" si="8"/>
        <v>166865</v>
      </c>
      <c r="G25" s="242">
        <f t="shared" si="9"/>
        <v>363262</v>
      </c>
      <c r="H25" s="242">
        <f t="shared" si="10"/>
        <v>574429</v>
      </c>
      <c r="I25" s="242">
        <f t="shared" si="11"/>
        <v>815527</v>
      </c>
      <c r="J25" s="215"/>
      <c r="K25" s="242">
        <v>50880</v>
      </c>
      <c r="L25" s="242">
        <v>42517</v>
      </c>
      <c r="M25" s="242">
        <v>55514.155149999999</v>
      </c>
      <c r="N25" s="242">
        <v>78406</v>
      </c>
      <c r="O25" s="242">
        <v>102495</v>
      </c>
      <c r="P25" s="214">
        <v>163665</v>
      </c>
      <c r="Q25" s="214">
        <v>153726</v>
      </c>
      <c r="R25" s="214">
        <v>166865</v>
      </c>
      <c r="S25" s="214">
        <v>154341</v>
      </c>
      <c r="T25" s="214">
        <v>206021</v>
      </c>
      <c r="U25" s="214">
        <v>332844.93984000006</v>
      </c>
      <c r="V25" s="214">
        <v>363262</v>
      </c>
      <c r="W25" s="214">
        <v>439126</v>
      </c>
      <c r="X25" s="214">
        <v>357818.261</v>
      </c>
      <c r="Y25" s="214">
        <v>457853</v>
      </c>
      <c r="Z25" s="214">
        <v>574429</v>
      </c>
      <c r="AA25" s="214">
        <v>461725</v>
      </c>
      <c r="AB25" s="214">
        <v>524764</v>
      </c>
      <c r="AC25" s="214">
        <v>660338</v>
      </c>
      <c r="AD25" s="214">
        <v>815527</v>
      </c>
      <c r="AE25" s="215"/>
      <c r="AF25" s="340">
        <f t="shared" si="12"/>
        <v>0.2350144925780433</v>
      </c>
      <c r="AG25" s="340">
        <f t="shared" si="13"/>
        <v>0.41971766745759709</v>
      </c>
      <c r="AH25" s="215"/>
    </row>
    <row r="26" spans="1:35" ht="13" customHeight="1">
      <c r="A26" s="235"/>
      <c r="B26" s="16" t="str">
        <f>IF('Summary | Sumário'!D$6=Names!B$3,Names!K25,Names!L25)</f>
        <v>Provisions</v>
      </c>
      <c r="C26" s="243">
        <v>22055</v>
      </c>
      <c r="D26" s="243">
        <v>23637</v>
      </c>
      <c r="E26" s="243">
        <f t="shared" si="7"/>
        <v>52848</v>
      </c>
      <c r="F26" s="243">
        <f t="shared" si="8"/>
        <v>57449</v>
      </c>
      <c r="G26" s="243">
        <f t="shared" si="9"/>
        <v>70452</v>
      </c>
      <c r="H26" s="243">
        <f t="shared" si="10"/>
        <v>151737</v>
      </c>
      <c r="I26" s="243">
        <f t="shared" si="11"/>
        <v>265455</v>
      </c>
      <c r="J26" s="215"/>
      <c r="K26" s="243">
        <v>25182</v>
      </c>
      <c r="L26" s="243">
        <v>37558</v>
      </c>
      <c r="M26" s="243">
        <v>41873</v>
      </c>
      <c r="N26" s="243">
        <v>52848</v>
      </c>
      <c r="O26" s="243">
        <v>55607</v>
      </c>
      <c r="P26" s="215">
        <v>61118</v>
      </c>
      <c r="Q26" s="215">
        <v>59219</v>
      </c>
      <c r="R26" s="215">
        <v>57449</v>
      </c>
      <c r="S26" s="215">
        <v>63213</v>
      </c>
      <c r="T26" s="215">
        <v>65931</v>
      </c>
      <c r="U26" s="215">
        <v>35040.451930000003</v>
      </c>
      <c r="V26" s="215">
        <v>70452</v>
      </c>
      <c r="W26" s="215">
        <v>70003.378370004008</v>
      </c>
      <c r="X26" s="215">
        <v>45712.063000000002</v>
      </c>
      <c r="Y26" s="215">
        <v>54375</v>
      </c>
      <c r="Z26" s="215">
        <v>151737</v>
      </c>
      <c r="AA26" s="215">
        <v>223950</v>
      </c>
      <c r="AB26" s="215">
        <v>243929</v>
      </c>
      <c r="AC26" s="215">
        <v>258680</v>
      </c>
      <c r="AD26" s="215">
        <v>265455</v>
      </c>
      <c r="AE26" s="215"/>
      <c r="AF26" s="222">
        <f t="shared" si="12"/>
        <v>2.6190660275243527E-2</v>
      </c>
      <c r="AG26" s="222">
        <f t="shared" si="13"/>
        <v>0.74944146780284315</v>
      </c>
      <c r="AH26" s="215"/>
    </row>
    <row r="27" spans="1:35" ht="13" customHeight="1">
      <c r="A27" s="235"/>
      <c r="B27" s="22" t="str">
        <f>IF('Summary | Sumário'!D$6=Names!B$3,Names!K26,Names!L26)</f>
        <v>Deferred tax liabilities</v>
      </c>
      <c r="C27" s="242">
        <v>21524</v>
      </c>
      <c r="D27" s="242">
        <v>60926</v>
      </c>
      <c r="E27" s="242">
        <f t="shared" si="7"/>
        <v>89235</v>
      </c>
      <c r="F27" s="242">
        <f t="shared" si="8"/>
        <v>30073</v>
      </c>
      <c r="G27" s="242">
        <f t="shared" si="9"/>
        <v>32539</v>
      </c>
      <c r="H27" s="242">
        <f t="shared" si="10"/>
        <v>61503</v>
      </c>
      <c r="I27" s="242">
        <f t="shared" si="11"/>
        <v>40923</v>
      </c>
      <c r="J27" s="215"/>
      <c r="K27" s="242">
        <v>90691</v>
      </c>
      <c r="L27" s="242">
        <v>85656</v>
      </c>
      <c r="M27" s="242">
        <v>27373.95</v>
      </c>
      <c r="N27" s="242">
        <v>89235</v>
      </c>
      <c r="O27" s="242">
        <v>92379</v>
      </c>
      <c r="P27" s="214">
        <v>81915</v>
      </c>
      <c r="Q27" s="214">
        <v>0</v>
      </c>
      <c r="R27" s="214">
        <v>30073</v>
      </c>
      <c r="S27" s="214">
        <v>29638</v>
      </c>
      <c r="T27" s="214">
        <v>32670</v>
      </c>
      <c r="U27" s="214">
        <v>28894.89588</v>
      </c>
      <c r="V27" s="214">
        <v>32539</v>
      </c>
      <c r="W27" s="214">
        <v>49912</v>
      </c>
      <c r="X27" s="214">
        <v>29640.036</v>
      </c>
      <c r="Y27" s="214">
        <v>46183</v>
      </c>
      <c r="Z27" s="214">
        <v>61503</v>
      </c>
      <c r="AA27" s="214">
        <v>107423</v>
      </c>
      <c r="AB27" s="214">
        <v>130150</v>
      </c>
      <c r="AC27" s="214">
        <v>46918</v>
      </c>
      <c r="AD27" s="214">
        <v>40923</v>
      </c>
      <c r="AE27" s="215"/>
      <c r="AF27" s="340">
        <f t="shared" si="12"/>
        <v>-0.12777612003921734</v>
      </c>
      <c r="AG27" s="340">
        <f t="shared" si="13"/>
        <v>-0.33461782352080383</v>
      </c>
      <c r="AH27" s="215"/>
    </row>
    <row r="28" spans="1:35" ht="13" customHeight="1">
      <c r="A28" s="235"/>
      <c r="B28" s="16" t="str">
        <f>IF('Summary | Sumário'!D$6=Names!B$3,Names!K27,Names!L27)</f>
        <v>Other liabilities</v>
      </c>
      <c r="C28" s="215">
        <v>216115</v>
      </c>
      <c r="D28" s="215">
        <v>475420</v>
      </c>
      <c r="E28" s="215">
        <f t="shared" si="7"/>
        <v>617348.59181000001</v>
      </c>
      <c r="F28" s="215">
        <f t="shared" si="8"/>
        <v>1173527</v>
      </c>
      <c r="G28" s="215">
        <f t="shared" si="9"/>
        <v>1897248</v>
      </c>
      <c r="H28" s="215">
        <f t="shared" si="10"/>
        <v>2386457</v>
      </c>
      <c r="I28" s="215">
        <f t="shared" si="11"/>
        <v>2629110</v>
      </c>
      <c r="J28" s="215"/>
      <c r="K28" s="215">
        <v>575148</v>
      </c>
      <c r="L28" s="215">
        <v>631703.80099999998</v>
      </c>
      <c r="M28" s="215">
        <v>570154</v>
      </c>
      <c r="N28" s="215">
        <v>617348.59181000001</v>
      </c>
      <c r="O28" s="215">
        <v>741385</v>
      </c>
      <c r="P28" s="215">
        <v>618089</v>
      </c>
      <c r="Q28" s="215">
        <v>698852</v>
      </c>
      <c r="R28" s="215">
        <v>1173527</v>
      </c>
      <c r="S28" s="215">
        <v>1205649</v>
      </c>
      <c r="T28" s="215">
        <v>984830</v>
      </c>
      <c r="U28" s="215">
        <v>1260329</v>
      </c>
      <c r="V28" s="215">
        <v>1897248</v>
      </c>
      <c r="W28" s="215">
        <v>1957483</v>
      </c>
      <c r="X28" s="215">
        <v>1981740.4820000001</v>
      </c>
      <c r="Y28" s="215">
        <v>1797457</v>
      </c>
      <c r="Z28" s="215">
        <v>2386457</v>
      </c>
      <c r="AA28" s="215">
        <v>2195382</v>
      </c>
      <c r="AB28" s="215">
        <v>1909745</v>
      </c>
      <c r="AC28" s="215">
        <v>2342401</v>
      </c>
      <c r="AD28" s="215">
        <v>2629110</v>
      </c>
      <c r="AE28" s="215"/>
      <c r="AF28" s="222">
        <f t="shared" si="12"/>
        <v>0.12239962329251064</v>
      </c>
      <c r="AG28" s="222">
        <f t="shared" si="13"/>
        <v>0.10167918382774133</v>
      </c>
      <c r="AH28" s="215"/>
    </row>
    <row r="29" spans="1:35" ht="13" customHeight="1">
      <c r="A29" s="235"/>
      <c r="B29" s="277" t="str">
        <f>IF('Summary | Sumário'!D$6=Names!B$3,Names!K28,Names!L28)</f>
        <v>Total liabilities</v>
      </c>
      <c r="C29" s="278">
        <v>7915148</v>
      </c>
      <c r="D29" s="278">
        <v>16597398</v>
      </c>
      <c r="E29" s="278">
        <f>N29</f>
        <v>28176553.591809999</v>
      </c>
      <c r="F29" s="278">
        <f>R29</f>
        <v>39253996</v>
      </c>
      <c r="G29" s="278">
        <f t="shared" si="9"/>
        <v>52755107</v>
      </c>
      <c r="H29" s="278">
        <f t="shared" si="10"/>
        <v>67386123</v>
      </c>
      <c r="I29" s="278">
        <f t="shared" si="11"/>
        <v>88218556</v>
      </c>
      <c r="J29" s="247"/>
      <c r="K29" s="278">
        <v>18186051</v>
      </c>
      <c r="L29" s="278">
        <v>21616867.421</v>
      </c>
      <c r="M29" s="278">
        <v>25224265.40315</v>
      </c>
      <c r="N29" s="278">
        <v>28176553.591809999</v>
      </c>
      <c r="O29" s="278">
        <v>30257828</v>
      </c>
      <c r="P29" s="278">
        <v>33818398</v>
      </c>
      <c r="Q29" s="278">
        <v>36703672</v>
      </c>
      <c r="R29" s="278">
        <v>39253996</v>
      </c>
      <c r="S29" s="278">
        <v>40561188</v>
      </c>
      <c r="T29" s="278">
        <v>42685671</v>
      </c>
      <c r="U29" s="278">
        <v>47710613</v>
      </c>
      <c r="V29" s="278">
        <v>52755107</v>
      </c>
      <c r="W29" s="278">
        <v>54008110.275435939</v>
      </c>
      <c r="X29" s="278">
        <v>57965925.803000003</v>
      </c>
      <c r="Y29" s="278">
        <v>61060739</v>
      </c>
      <c r="Z29" s="278">
        <v>67386123</v>
      </c>
      <c r="AA29" s="278">
        <v>71545716</v>
      </c>
      <c r="AB29" s="278">
        <v>75345087</v>
      </c>
      <c r="AC29" s="278">
        <v>82000376</v>
      </c>
      <c r="AD29" s="278">
        <v>88218556</v>
      </c>
      <c r="AE29" s="247"/>
      <c r="AF29" s="329">
        <f t="shared" si="12"/>
        <v>7.5831115701225471E-2</v>
      </c>
      <c r="AG29" s="329">
        <f t="shared" si="13"/>
        <v>0.30915019402436905</v>
      </c>
      <c r="AH29" s="227"/>
    </row>
    <row r="30" spans="1:35" ht="13" customHeight="1">
      <c r="A30" s="235"/>
      <c r="B30" s="3"/>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330"/>
      <c r="AG30" s="330"/>
      <c r="AH30" s="227"/>
    </row>
    <row r="31" spans="1:35" ht="13" customHeight="1">
      <c r="A31" s="235"/>
      <c r="B31" s="31" t="str">
        <f>IF('Summary | Sumário'!D$6=Names!B$3,Names!K29,Names!L29)</f>
        <v>Equity</v>
      </c>
      <c r="C31" s="236"/>
      <c r="D31" s="236"/>
      <c r="E31" s="236"/>
      <c r="F31" s="236"/>
      <c r="G31" s="236"/>
      <c r="H31" s="236"/>
      <c r="I31" s="236"/>
      <c r="J31" s="227"/>
      <c r="K31" s="236"/>
      <c r="L31" s="236"/>
      <c r="M31" s="236"/>
      <c r="N31" s="236"/>
      <c r="O31" s="236"/>
      <c r="P31" s="236"/>
      <c r="Q31" s="236"/>
      <c r="R31" s="236"/>
      <c r="S31" s="236"/>
      <c r="T31" s="236"/>
      <c r="U31" s="236"/>
      <c r="V31" s="236"/>
      <c r="W31" s="236"/>
      <c r="X31" s="236"/>
      <c r="Y31" s="236"/>
      <c r="Z31" s="236"/>
      <c r="AA31" s="236"/>
      <c r="AB31" s="236"/>
      <c r="AC31" s="236"/>
      <c r="AD31" s="236"/>
      <c r="AE31" s="227"/>
      <c r="AF31" s="325"/>
      <c r="AG31" s="325"/>
      <c r="AH31" s="227"/>
    </row>
    <row r="32" spans="1:35" ht="13" customHeight="1">
      <c r="A32" s="235"/>
      <c r="B32" s="697" t="str">
        <f>IF('Summary | Sumário'!D$6=Names!B$3,Names!K30,Names!L30)</f>
        <v>Equity attributable to owners of the Company</v>
      </c>
      <c r="C32" s="243">
        <f>SUM(C33:C36)</f>
        <v>2157761</v>
      </c>
      <c r="D32" s="243">
        <f t="shared" ref="D32:R32" si="14">SUM(D33:D36)</f>
        <v>3275634</v>
      </c>
      <c r="E32" s="243">
        <f t="shared" si="14"/>
        <v>2656124.8541782</v>
      </c>
      <c r="F32" s="243">
        <f t="shared" si="14"/>
        <v>6992382</v>
      </c>
      <c r="G32" s="243">
        <f t="shared" ref="G32:G38" si="15">V32</f>
        <v>7471810</v>
      </c>
      <c r="H32" s="243">
        <f t="shared" ref="H32:H38" si="16">Z32</f>
        <v>8895175</v>
      </c>
      <c r="I32" s="243">
        <f t="shared" ref="I32:I38" si="17">AD32</f>
        <v>10169589</v>
      </c>
      <c r="J32" s="243"/>
      <c r="K32" s="243">
        <f t="shared" si="14"/>
        <v>3200971</v>
      </c>
      <c r="L32" s="243">
        <f t="shared" si="14"/>
        <v>2725582.0000000005</v>
      </c>
      <c r="M32" s="243">
        <f t="shared" si="14"/>
        <v>2684449.7805932802</v>
      </c>
      <c r="N32" s="243">
        <f t="shared" si="14"/>
        <v>2656124.8541782</v>
      </c>
      <c r="O32" s="243">
        <f t="shared" si="14"/>
        <v>2615835.2391781998</v>
      </c>
      <c r="P32" s="243">
        <f t="shared" si="14"/>
        <v>7034059</v>
      </c>
      <c r="Q32" s="243">
        <f t="shared" si="14"/>
        <v>7044410</v>
      </c>
      <c r="R32" s="243">
        <f t="shared" si="14"/>
        <v>6992382</v>
      </c>
      <c r="S32" s="243">
        <f t="shared" ref="S32:X32" si="18">SUM(S33:S36)</f>
        <v>7030966</v>
      </c>
      <c r="T32" s="243">
        <f t="shared" si="18"/>
        <v>7203957</v>
      </c>
      <c r="U32" s="243">
        <f t="shared" si="18"/>
        <v>7260368</v>
      </c>
      <c r="V32" s="243">
        <f t="shared" si="18"/>
        <v>7471810</v>
      </c>
      <c r="W32" s="243">
        <f t="shared" si="18"/>
        <v>8392474.0009060334</v>
      </c>
      <c r="X32" s="243">
        <f t="shared" si="18"/>
        <v>8461990.9470000006</v>
      </c>
      <c r="Y32" s="243">
        <f t="shared" ref="Y32:Z32" si="19">SUM(Y33:Y36)</f>
        <v>8707251</v>
      </c>
      <c r="Z32" s="243">
        <f t="shared" si="19"/>
        <v>8895175</v>
      </c>
      <c r="AA32" s="243">
        <f t="shared" ref="AA32:AB32" si="20">SUM(AA33:AA36)</f>
        <v>8900556</v>
      </c>
      <c r="AB32" s="243">
        <f t="shared" si="20"/>
        <v>9289608</v>
      </c>
      <c r="AC32" s="243">
        <f t="shared" ref="AC32:AD32" si="21">SUM(AC33:AC36)</f>
        <v>9679815</v>
      </c>
      <c r="AD32" s="243">
        <f t="shared" si="21"/>
        <v>10169589</v>
      </c>
      <c r="AE32" s="243"/>
      <c r="AF32" s="261">
        <f>AD32/AC32-1</f>
        <v>5.0597454600113778E-2</v>
      </c>
      <c r="AG32" s="261">
        <f>AD32/Z32-1</f>
        <v>0.14327025606578858</v>
      </c>
      <c r="AH32" s="243"/>
    </row>
    <row r="33" spans="1:34" ht="13" customHeight="1">
      <c r="A33" s="235"/>
      <c r="B33" s="23" t="str">
        <f>IF('Summary | Sumário'!D$6=Names!B$3,Names!K31,Names!L31)</f>
        <v>Share capital</v>
      </c>
      <c r="C33" s="242">
        <v>2068305</v>
      </c>
      <c r="D33" s="242">
        <v>3216455</v>
      </c>
      <c r="E33" s="242">
        <f t="shared" ref="E33:E38" si="22">N33</f>
        <v>13.23917819999042</v>
      </c>
      <c r="F33" s="242">
        <f t="shared" ref="F33:F38" si="23">R33</f>
        <v>13</v>
      </c>
      <c r="G33" s="242">
        <f t="shared" si="15"/>
        <v>13</v>
      </c>
      <c r="H33" s="242">
        <f t="shared" si="16"/>
        <v>13</v>
      </c>
      <c r="I33" s="242">
        <f t="shared" si="17"/>
        <v>13</v>
      </c>
      <c r="J33" s="215"/>
      <c r="K33" s="242">
        <v>3216455</v>
      </c>
      <c r="L33" s="242">
        <v>12.78059328001109</v>
      </c>
      <c r="M33" s="242">
        <v>12.78059328001109</v>
      </c>
      <c r="N33" s="242">
        <v>13.23917819999042</v>
      </c>
      <c r="O33" s="242">
        <v>13.23917819999042</v>
      </c>
      <c r="P33" s="214">
        <v>13</v>
      </c>
      <c r="Q33" s="214">
        <v>13</v>
      </c>
      <c r="R33" s="214">
        <v>13</v>
      </c>
      <c r="S33" s="214">
        <v>13</v>
      </c>
      <c r="T33" s="214">
        <v>13</v>
      </c>
      <c r="U33" s="214">
        <v>13</v>
      </c>
      <c r="V33" s="214">
        <v>13</v>
      </c>
      <c r="W33" s="214">
        <v>13.000906033441424</v>
      </c>
      <c r="X33" s="214">
        <v>13.002000000000001</v>
      </c>
      <c r="Y33" s="214">
        <v>13</v>
      </c>
      <c r="Z33" s="214">
        <v>13</v>
      </c>
      <c r="AA33" s="214">
        <v>13</v>
      </c>
      <c r="AB33" s="214">
        <v>13</v>
      </c>
      <c r="AC33" s="214">
        <v>13</v>
      </c>
      <c r="AD33" s="214">
        <v>13</v>
      </c>
      <c r="AE33" s="215"/>
      <c r="AF33" s="319">
        <f>AD33/AC33-1</f>
        <v>0</v>
      </c>
      <c r="AG33" s="319">
        <f>AD33/Z33-1</f>
        <v>0</v>
      </c>
      <c r="AH33" s="215"/>
    </row>
    <row r="34" spans="1:34" ht="13" customHeight="1">
      <c r="A34" s="235"/>
      <c r="B34" s="17" t="str">
        <f>IF('Summary | Sumário'!D$6=Names!B$3,Names!K32,Names!L32)</f>
        <v>Reserves</v>
      </c>
      <c r="C34" s="243">
        <v>90152</v>
      </c>
      <c r="D34" s="243">
        <v>150709</v>
      </c>
      <c r="E34" s="243">
        <f t="shared" si="22"/>
        <v>2728396</v>
      </c>
      <c r="F34" s="243">
        <f t="shared" si="23"/>
        <v>7817670</v>
      </c>
      <c r="G34" s="243">
        <f t="shared" si="15"/>
        <v>8147285</v>
      </c>
      <c r="H34" s="243">
        <f t="shared" si="16"/>
        <v>9793992</v>
      </c>
      <c r="I34" s="243">
        <f t="shared" si="17"/>
        <v>10971176</v>
      </c>
      <c r="J34" s="215"/>
      <c r="K34" s="243">
        <v>57846</v>
      </c>
      <c r="L34" s="243">
        <v>2744512.2194067203</v>
      </c>
      <c r="M34" s="243">
        <v>2733223</v>
      </c>
      <c r="N34" s="243">
        <v>2728396</v>
      </c>
      <c r="O34" s="243">
        <v>2700579</v>
      </c>
      <c r="P34" s="215">
        <v>7842630</v>
      </c>
      <c r="Q34" s="215">
        <v>7870186</v>
      </c>
      <c r="R34" s="215">
        <v>7817670</v>
      </c>
      <c r="S34" s="215">
        <v>7855472</v>
      </c>
      <c r="T34" s="215">
        <v>7902577</v>
      </c>
      <c r="U34" s="215">
        <v>7998214</v>
      </c>
      <c r="V34" s="215">
        <v>8147285</v>
      </c>
      <c r="W34" s="215">
        <v>9116496</v>
      </c>
      <c r="X34" s="215">
        <v>9232289.6119999997</v>
      </c>
      <c r="Y34" s="215">
        <v>9508076</v>
      </c>
      <c r="Z34" s="215">
        <v>9793992</v>
      </c>
      <c r="AA34" s="215">
        <v>9901230</v>
      </c>
      <c r="AB34" s="215">
        <v>10206691</v>
      </c>
      <c r="AC34" s="215">
        <v>10579565</v>
      </c>
      <c r="AD34" s="215">
        <v>10971176</v>
      </c>
      <c r="AE34" s="215"/>
      <c r="AF34" s="261">
        <f>AD34/AC34-1</f>
        <v>3.7015794127641444E-2</v>
      </c>
      <c r="AG34" s="261">
        <f>AD34/Z34-1</f>
        <v>0.12019450291566502</v>
      </c>
      <c r="AH34" s="215"/>
    </row>
    <row r="35" spans="1:34" ht="13" customHeight="1">
      <c r="A35" s="235"/>
      <c r="B35" s="23" t="str">
        <f>IF('Summary | Sumário'!D$6=Names!B$3,Names!K33,Names!L33)</f>
        <v xml:space="preserve">Other comprehensive loss </v>
      </c>
      <c r="C35" s="242">
        <v>-696</v>
      </c>
      <c r="D35" s="242">
        <v>25991</v>
      </c>
      <c r="E35" s="242">
        <f t="shared" si="22"/>
        <v>-72284.384999999995</v>
      </c>
      <c r="F35" s="242">
        <f t="shared" si="23"/>
        <v>-825301</v>
      </c>
      <c r="G35" s="242">
        <f t="shared" si="15"/>
        <v>-675488</v>
      </c>
      <c r="H35" s="242">
        <f t="shared" si="16"/>
        <v>-898830</v>
      </c>
      <c r="I35" s="242">
        <f t="shared" si="17"/>
        <v>-801600</v>
      </c>
      <c r="J35" s="215"/>
      <c r="K35" s="242">
        <v>-36968</v>
      </c>
      <c r="L35" s="242">
        <v>-18943</v>
      </c>
      <c r="M35" s="242">
        <v>-48786</v>
      </c>
      <c r="N35" s="242">
        <v>-72284.384999999995</v>
      </c>
      <c r="O35" s="242">
        <v>-84757</v>
      </c>
      <c r="P35" s="214">
        <v>-808584</v>
      </c>
      <c r="Q35" s="214">
        <v>-825789</v>
      </c>
      <c r="R35" s="214">
        <v>-825301</v>
      </c>
      <c r="S35" s="214">
        <v>-808110</v>
      </c>
      <c r="T35" s="214">
        <v>-682224</v>
      </c>
      <c r="U35" s="214">
        <v>-729442</v>
      </c>
      <c r="V35" s="214">
        <v>-675488</v>
      </c>
      <c r="W35" s="214">
        <v>-711252</v>
      </c>
      <c r="X35" s="214">
        <v>-756624.66700000002</v>
      </c>
      <c r="Y35" s="214">
        <v>-800226</v>
      </c>
      <c r="Z35" s="214">
        <v>-898830</v>
      </c>
      <c r="AA35" s="214">
        <v>-985968</v>
      </c>
      <c r="AB35" s="214">
        <v>-917096</v>
      </c>
      <c r="AC35" s="214">
        <v>-899763</v>
      </c>
      <c r="AD35" s="214">
        <v>-801600</v>
      </c>
      <c r="AE35" s="215"/>
      <c r="AF35" s="319">
        <f>AD35/AC35-1</f>
        <v>-0.10909872933205744</v>
      </c>
      <c r="AG35" s="319">
        <f>AD35/Z35-1</f>
        <v>-0.10817395948065822</v>
      </c>
      <c r="AH35" s="215"/>
    </row>
    <row r="36" spans="1:34" ht="13" customHeight="1">
      <c r="A36" s="235"/>
      <c r="B36" s="17" t="str">
        <f>IF('Summary | Sumário'!D$6=Names!B$3,Names!K34,Names!L34)</f>
        <v>Treasury shares</v>
      </c>
      <c r="C36" s="243">
        <v>0</v>
      </c>
      <c r="D36" s="243">
        <v>-117521</v>
      </c>
      <c r="E36" s="243">
        <f t="shared" si="22"/>
        <v>0</v>
      </c>
      <c r="F36" s="243">
        <f t="shared" si="23"/>
        <v>0</v>
      </c>
      <c r="G36" s="243">
        <f t="shared" si="15"/>
        <v>0</v>
      </c>
      <c r="H36" s="243">
        <f t="shared" si="16"/>
        <v>0</v>
      </c>
      <c r="I36" s="243">
        <f t="shared" si="17"/>
        <v>0</v>
      </c>
      <c r="J36" s="215"/>
      <c r="K36" s="243">
        <v>-36362</v>
      </c>
      <c r="L36" s="243">
        <v>0</v>
      </c>
      <c r="M36" s="243">
        <v>0</v>
      </c>
      <c r="N36" s="243">
        <v>0</v>
      </c>
      <c r="O36" s="243">
        <v>0</v>
      </c>
      <c r="P36" s="215">
        <v>0</v>
      </c>
      <c r="Q36" s="215">
        <v>0</v>
      </c>
      <c r="R36" s="215">
        <v>0</v>
      </c>
      <c r="S36" s="215">
        <v>-16409</v>
      </c>
      <c r="T36" s="215">
        <v>-16409</v>
      </c>
      <c r="U36" s="215">
        <v>-8417</v>
      </c>
      <c r="V36" s="215">
        <v>0</v>
      </c>
      <c r="W36" s="215">
        <v>-12783</v>
      </c>
      <c r="X36" s="215">
        <v>-13687</v>
      </c>
      <c r="Y36" s="215">
        <v>-612</v>
      </c>
      <c r="Z36" s="215">
        <v>0</v>
      </c>
      <c r="AA36" s="215">
        <v>-14719</v>
      </c>
      <c r="AB36" s="215">
        <v>0</v>
      </c>
      <c r="AC36" s="215">
        <v>0</v>
      </c>
      <c r="AD36" s="215">
        <v>0</v>
      </c>
      <c r="AE36" s="215"/>
      <c r="AF36" s="215">
        <v>0</v>
      </c>
      <c r="AG36" s="222" t="s">
        <v>1125</v>
      </c>
      <c r="AH36" s="215"/>
    </row>
    <row r="37" spans="1:34" ht="13" customHeight="1">
      <c r="A37" s="235"/>
      <c r="B37" s="22" t="str">
        <f>IF('Summary | Sumário'!D$6=Names!B$3,Names!K35,Names!L35)</f>
        <v>Non-controlling interest</v>
      </c>
      <c r="C37" s="242">
        <v>4177</v>
      </c>
      <c r="D37" s="242">
        <v>48581</v>
      </c>
      <c r="E37" s="242">
        <f t="shared" si="22"/>
        <v>5793658.7330626091</v>
      </c>
      <c r="F37" s="242">
        <f t="shared" si="23"/>
        <v>96722</v>
      </c>
      <c r="G37" s="242">
        <f t="shared" si="15"/>
        <v>124881</v>
      </c>
      <c r="H37" s="242">
        <f t="shared" si="16"/>
        <v>177132</v>
      </c>
      <c r="I37" s="242">
        <f t="shared" si="17"/>
        <v>223373</v>
      </c>
      <c r="J37" s="215"/>
      <c r="K37" s="242">
        <v>49645</v>
      </c>
      <c r="L37" s="242">
        <v>5967043.7920000013</v>
      </c>
      <c r="M37" s="242">
        <v>5853877.4000000004</v>
      </c>
      <c r="N37" s="242">
        <v>5793658.7330626091</v>
      </c>
      <c r="O37" s="242">
        <v>5738531</v>
      </c>
      <c r="P37" s="214">
        <v>81322</v>
      </c>
      <c r="Q37" s="214">
        <v>95985</v>
      </c>
      <c r="R37" s="214">
        <v>96722</v>
      </c>
      <c r="S37" s="214">
        <v>108940</v>
      </c>
      <c r="T37" s="214">
        <v>113701</v>
      </c>
      <c r="U37" s="214">
        <v>107859</v>
      </c>
      <c r="V37" s="214">
        <v>124881</v>
      </c>
      <c r="W37" s="214">
        <v>145978</v>
      </c>
      <c r="X37" s="214">
        <v>145544.61499999999</v>
      </c>
      <c r="Y37" s="214">
        <v>160088</v>
      </c>
      <c r="Z37" s="214">
        <v>177132</v>
      </c>
      <c r="AA37" s="214">
        <v>112294</v>
      </c>
      <c r="AB37" s="214">
        <v>98224</v>
      </c>
      <c r="AC37" s="214">
        <v>128317</v>
      </c>
      <c r="AD37" s="214">
        <v>223373</v>
      </c>
      <c r="AE37" s="215"/>
      <c r="AF37" s="319">
        <f>AD37/AC37-1</f>
        <v>0.74079038630890692</v>
      </c>
      <c r="AG37" s="319">
        <f>AD37/Z37-1</f>
        <v>0.26105390330375089</v>
      </c>
      <c r="AH37" s="215"/>
    </row>
    <row r="38" spans="1:34" ht="13" customHeight="1">
      <c r="A38" s="235"/>
      <c r="B38" s="14" t="str">
        <f>IF('Summary | Sumário'!D$6=Names!B$3,Names!K36,Names!L36)</f>
        <v>Total equity</v>
      </c>
      <c r="C38" s="246">
        <v>2161938</v>
      </c>
      <c r="D38" s="246">
        <v>3324215</v>
      </c>
      <c r="E38" s="246">
        <f t="shared" si="22"/>
        <v>8449783.5872408096</v>
      </c>
      <c r="F38" s="246">
        <f t="shared" si="23"/>
        <v>7089104</v>
      </c>
      <c r="G38" s="246">
        <f t="shared" si="15"/>
        <v>7596691</v>
      </c>
      <c r="H38" s="246">
        <f t="shared" si="16"/>
        <v>9072307</v>
      </c>
      <c r="I38" s="246">
        <f t="shared" si="17"/>
        <v>10392962</v>
      </c>
      <c r="J38" s="247"/>
      <c r="K38" s="246">
        <v>3250616</v>
      </c>
      <c r="L38" s="246">
        <v>8692625.7920000013</v>
      </c>
      <c r="M38" s="246">
        <v>8538327.1805932801</v>
      </c>
      <c r="N38" s="246">
        <v>8449783.5872408096</v>
      </c>
      <c r="O38" s="246">
        <v>8354366</v>
      </c>
      <c r="P38" s="247">
        <v>7115381</v>
      </c>
      <c r="Q38" s="247">
        <v>7140395</v>
      </c>
      <c r="R38" s="247">
        <v>7089104</v>
      </c>
      <c r="S38" s="247">
        <v>7139906</v>
      </c>
      <c r="T38" s="247">
        <v>7317658</v>
      </c>
      <c r="U38" s="247">
        <v>7368227</v>
      </c>
      <c r="V38" s="247">
        <v>7596691</v>
      </c>
      <c r="W38" s="247">
        <v>8538452.0009060334</v>
      </c>
      <c r="X38" s="247">
        <v>8607535.5620000008</v>
      </c>
      <c r="Y38" s="247">
        <v>8867338</v>
      </c>
      <c r="Z38" s="247">
        <v>9072307</v>
      </c>
      <c r="AA38" s="247">
        <v>9012850</v>
      </c>
      <c r="AB38" s="247">
        <v>9387832</v>
      </c>
      <c r="AC38" s="247">
        <v>9808132</v>
      </c>
      <c r="AD38" s="247">
        <v>10392962</v>
      </c>
      <c r="AE38" s="247"/>
      <c r="AF38" s="261">
        <f>AD38/AC38-1</f>
        <v>5.9627052327599239E-2</v>
      </c>
      <c r="AG38" s="261">
        <f>AD38/Z38-1</f>
        <v>0.14556991953645304</v>
      </c>
      <c r="AH38" s="227"/>
    </row>
    <row r="39" spans="1:34" ht="13" customHeight="1">
      <c r="A39" s="235"/>
      <c r="B39" s="24"/>
      <c r="C39" s="236"/>
      <c r="D39" s="236"/>
      <c r="E39" s="236"/>
      <c r="F39" s="236"/>
      <c r="G39" s="236"/>
      <c r="H39" s="236"/>
      <c r="I39" s="236"/>
      <c r="J39" s="227"/>
      <c r="K39" s="236"/>
      <c r="L39" s="236"/>
      <c r="M39" s="236"/>
      <c r="N39" s="236"/>
      <c r="O39" s="236"/>
      <c r="P39" s="236"/>
      <c r="Q39" s="236"/>
      <c r="R39" s="236"/>
      <c r="S39" s="236"/>
      <c r="T39" s="236"/>
      <c r="U39" s="236"/>
      <c r="V39" s="236"/>
      <c r="W39" s="236"/>
      <c r="X39" s="236"/>
      <c r="Y39" s="236"/>
      <c r="Z39" s="236"/>
      <c r="AA39" s="236"/>
      <c r="AB39" s="236"/>
      <c r="AC39" s="236"/>
      <c r="AD39" s="236"/>
      <c r="AE39" s="227"/>
      <c r="AF39" s="325"/>
      <c r="AG39" s="325"/>
      <c r="AH39" s="227"/>
    </row>
    <row r="40" spans="1:34" ht="13" customHeight="1">
      <c r="A40" s="235"/>
      <c r="B40" s="9" t="str">
        <f>IF('Summary | Sumário'!D$6=Names!B$3,Names!K37,Names!L37)</f>
        <v>Liabilities + equity</v>
      </c>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331"/>
      <c r="AG40" s="331"/>
      <c r="AH40" s="227"/>
    </row>
    <row r="41" spans="1:34" ht="13" customHeight="1">
      <c r="A41" s="235"/>
      <c r="B41" s="279" t="str">
        <f>IF('Summary | Sumário'!D$6=Names!B$3,Names!K38,Names!L38)</f>
        <v>Total liabilities and equity</v>
      </c>
      <c r="C41" s="280">
        <v>10077086</v>
      </c>
      <c r="D41" s="280">
        <v>19921613</v>
      </c>
      <c r="E41" s="280">
        <f>N41</f>
        <v>36626337.179050811</v>
      </c>
      <c r="F41" s="280">
        <f>R41</f>
        <v>46343100</v>
      </c>
      <c r="G41" s="280">
        <f>V41</f>
        <v>60351797</v>
      </c>
      <c r="H41" s="280">
        <f>Z41</f>
        <v>76458430</v>
      </c>
      <c r="I41" s="280">
        <f>AD41</f>
        <v>98611518</v>
      </c>
      <c r="J41" s="247"/>
      <c r="K41" s="280">
        <v>21436667</v>
      </c>
      <c r="L41" s="280">
        <v>30309493.213</v>
      </c>
      <c r="M41" s="280">
        <v>33762592.583743282</v>
      </c>
      <c r="N41" s="280">
        <v>36626337.179050811</v>
      </c>
      <c r="O41" s="280">
        <v>38612194</v>
      </c>
      <c r="P41" s="278">
        <v>40933779</v>
      </c>
      <c r="Q41" s="278">
        <v>43844067</v>
      </c>
      <c r="R41" s="278">
        <v>46343100</v>
      </c>
      <c r="S41" s="278">
        <v>47701094</v>
      </c>
      <c r="T41" s="278">
        <v>50003329</v>
      </c>
      <c r="U41" s="278">
        <v>55078840</v>
      </c>
      <c r="V41" s="278">
        <v>60351797</v>
      </c>
      <c r="W41" s="278">
        <v>62546562.276341975</v>
      </c>
      <c r="X41" s="278">
        <v>66573461.365000002</v>
      </c>
      <c r="Y41" s="278">
        <v>69928077</v>
      </c>
      <c r="Z41" s="278">
        <v>76458430</v>
      </c>
      <c r="AA41" s="278">
        <v>80558566</v>
      </c>
      <c r="AB41" s="278">
        <v>84732919</v>
      </c>
      <c r="AC41" s="278">
        <v>91808508</v>
      </c>
      <c r="AD41" s="278">
        <v>98611518</v>
      </c>
      <c r="AE41" s="247"/>
      <c r="AF41" s="329">
        <f>AD41/AC41-1</f>
        <v>7.4099995176917677E-2</v>
      </c>
      <c r="AG41" s="329">
        <f>AD41/Z41-1</f>
        <v>0.28974029417030933</v>
      </c>
      <c r="AH41" s="227"/>
    </row>
    <row r="42" spans="1:34" ht="13" customHeight="1">
      <c r="B42" s="14"/>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row>
    <row r="43" spans="1:34" ht="13" customHeight="1">
      <c r="B43" s="1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row>
    <row r="44" spans="1:34" ht="13" customHeight="1">
      <c r="C44" s="249"/>
      <c r="R44" s="249"/>
      <c r="S44" s="249"/>
      <c r="T44" s="249"/>
      <c r="U44" s="249"/>
      <c r="V44" s="249"/>
      <c r="W44" s="249"/>
      <c r="X44" s="249"/>
      <c r="Y44" s="249"/>
      <c r="Z44" s="249"/>
      <c r="AA44" s="249"/>
      <c r="AB44" s="249"/>
      <c r="AC44" s="249"/>
      <c r="AD44" s="249"/>
      <c r="AE44" s="249"/>
      <c r="AF44" s="249"/>
      <c r="AG44" s="249"/>
    </row>
    <row r="45" spans="1:34" ht="13" customHeight="1">
      <c r="K45" s="249"/>
      <c r="R45" s="249"/>
      <c r="S45" s="249"/>
      <c r="T45" s="249"/>
      <c r="U45" s="249"/>
      <c r="V45" s="249"/>
      <c r="W45" s="249"/>
      <c r="X45" s="249"/>
      <c r="Y45" s="249"/>
      <c r="Z45" s="249"/>
      <c r="AA45" s="249"/>
      <c r="AB45" s="249"/>
      <c r="AC45" s="249"/>
      <c r="AD45" s="249"/>
      <c r="AE45" s="249"/>
      <c r="AF45" s="249"/>
      <c r="AG45" s="249"/>
    </row>
    <row r="46" spans="1:34" ht="13" customHeight="1">
      <c r="R46" s="249"/>
      <c r="S46" s="249"/>
      <c r="T46" s="249"/>
      <c r="U46" s="249"/>
      <c r="V46" s="249"/>
      <c r="W46" s="249"/>
      <c r="X46" s="249"/>
      <c r="Y46" s="249"/>
      <c r="Z46" s="249"/>
      <c r="AA46" s="249"/>
      <c r="AB46" s="249"/>
      <c r="AC46" s="249"/>
      <c r="AD46" s="249"/>
      <c r="AE46" s="249"/>
      <c r="AF46" s="249"/>
      <c r="AG46" s="249"/>
    </row>
    <row r="47" spans="1:34" ht="13" customHeight="1">
      <c r="R47" s="249"/>
      <c r="S47" s="249"/>
      <c r="T47" s="249"/>
      <c r="U47" s="249"/>
      <c r="V47" s="249"/>
      <c r="W47" s="249"/>
      <c r="X47" s="249"/>
      <c r="Y47" s="249"/>
      <c r="Z47" s="249"/>
      <c r="AA47" s="249"/>
      <c r="AB47" s="249"/>
      <c r="AC47" s="249"/>
      <c r="AD47" s="249"/>
      <c r="AE47" s="249"/>
      <c r="AF47" s="249"/>
      <c r="AG47" s="249"/>
    </row>
  </sheetData>
  <sheetProtection algorithmName="SHA-512" hashValue="eXMZTx0BHmkyxkdsn74CE9Py7u3+aYBavvPjIneMouHNQ3PnMfyMo1OEhLpLOKxR3d35Q+b/RQ7JHi3fR86DnQ==" saltValue="xQFNg2TSe/lFGARHDBPVgg==" spinCount="100000" sheet="1" formatCells="0" formatColumns="0" formatRows="0" insertColumns="0" insertRows="0" insertHyperlinks="0" deleteColumns="0" deleteRows="0" sort="0" autoFilter="0" pivotTables="0"/>
  <phoneticPr fontId="6" type="noConversion"/>
  <pageMargins left="0.511811024" right="0.511811024" top="0.78740157499999996" bottom="0.78740157499999996" header="0.31496062000000002" footer="0.31496062000000002"/>
  <pageSetup paperSize="9" orientation="portrait" horizontalDpi="0" verticalDpi="0"/>
  <ignoredErrors>
    <ignoredError sqref="AE3:AG4 B2:H4 J2:AC4 AE18:AG19 AE5 AE6 AE7 AE8 AE9 AE10 AE11 AE12 AE13 AE14 AE15 AE16 AE17 AE30:AG31 AE20 AE21 AE22 AE23 AE24 AE25 AE26 AE27 AE28 AE29 AE36:AG36 AE32 AE33 AE34 AE35 AE39:AG40 AE37 AE38 AE41 AE2:AG2 B18:H19 B5 E5:H5 B6 E6:H6 B7 E7:H7 B8 E8:H8 B9 E9:H9 B10 E10:H10 B11 E11:H11 B12 E12:H12 B13 E13:H13 B14 E14:H14 B15 E15:H15 B16 E16:H16 B17 E17:H17 B30:H32 B20 E20:H20 B21 E21:H21 B22 E22:H22 B23 E23:H23 B24 E24:H24 B25 E25:H25 B26 E26:H26 B27 E27:H27 B28 E28:H28 B29 E29:H29 J18:AC19 J5 J6 J7 J8 J9 J10 J11 J12 J13 J14 J15 J16 J17 J30:AC32 J20 J21 J22 J23 J24 J25 J26 J27 J28 J29 B39:H40 B33 E33:H33 B34 E34:H34 B35 E35:H35 B36 E36:H36 B37 E37:H37 B38 E38:H38 B41 E41:H41 J39:AC40 J33 J34 J35 J36 J37 J38 J41"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8006-174F-CB4D-8F57-C3ED229B1EBF}">
  <sheetPr codeName="Sheet4">
    <tabColor rgb="FFEB7100"/>
  </sheetPr>
  <dimension ref="A1:XET40"/>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5" style="116" customWidth="1"/>
    <col min="2" max="2" width="68.33203125" style="25" customWidth="1"/>
    <col min="3" max="9" width="10.83203125" style="116" customWidth="1"/>
    <col min="10" max="10" width="2.83203125" style="116" customWidth="1"/>
    <col min="11" max="30" width="10.83203125" style="116" customWidth="1"/>
    <col min="31" max="31" width="4.83203125" style="116" customWidth="1"/>
    <col min="32" max="33" width="10.83203125" style="116" customWidth="1"/>
    <col min="34" max="16384" width="10.83203125" style="116"/>
  </cols>
  <sheetData>
    <row r="1" spans="1:1021 1034:2048 2061:3062 3075:4089 4102:5116 5129:6143 6156:7157 7170:8184 8197:9211 9224:10238 10251:11252 11265:12279 12292:13306 13319:14333 14346:15360 15373:16374"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1:1021 1034:2048 2061:3062 3075:4089 4102:5116 5129:6143 6156:7157 7170:8184 8197:9211 9224:10238 10251:11252 11265:12279 12292:13306 13319:14333 14346:15360 15373:16374" s="10" customFormat="1" ht="13" customHeight="1">
      <c r="B2" s="267" t="str">
        <f>IF('Summary | Sumário'!D$6=Names!B$3,Names!M1,Names!N1)</f>
        <v>Income Statement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2"/>
      <c r="AF2" s="104" t="str">
        <f>IF('Summary | Sumário'!$D$6=Names!$B$3,Names!$I$24,Names!$J$24)</f>
        <v>QoQ Variation</v>
      </c>
      <c r="AG2" s="104" t="str">
        <f>IF('Summary | Sumário'!D6=Names!$B$3,Names!$I$25,Names!$J$25)</f>
        <v>YoY Variation</v>
      </c>
      <c r="AH2" s="11"/>
      <c r="AJ2" s="12"/>
      <c r="AK2" s="13"/>
    </row>
    <row r="3" spans="1:1021 1034:2048 2061:3062 3075:4089 4102:5116 5129:6143 6156:7157 7170:8184 8197:9211 9224:10238 10251:11252 11265:12279 12292:13306 13319:14333 14346:15360 15373:16374" ht="13" customHeight="1">
      <c r="B3" s="14"/>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321"/>
      <c r="AC3" s="321"/>
      <c r="AD3" s="321"/>
      <c r="AE3" s="127"/>
      <c r="AF3" s="127"/>
      <c r="AG3" s="127"/>
    </row>
    <row r="4" spans="1:1021 1034:2048 2061:3062 3075:4089 4102:5116 5129:6143 6156:7157 7170:8184 8197:9211 9224:10238 10251:11252 11265:12279 12292:13306 13319:14333 14346:15360 15373:16374" ht="13" customHeight="1">
      <c r="A4" s="211"/>
      <c r="B4" s="16" t="str">
        <f>IF('Summary | Sumário'!D$6=Names!B$3,Names!M2,Names!N2)</f>
        <v>Interest income</v>
      </c>
      <c r="C4" s="187">
        <v>775515</v>
      </c>
      <c r="D4" s="187">
        <v>942655.89517999999</v>
      </c>
      <c r="E4" s="187">
        <v>1435428.2459999998</v>
      </c>
      <c r="F4" s="187">
        <v>2802658.0819999995</v>
      </c>
      <c r="G4" s="187">
        <v>4549827</v>
      </c>
      <c r="H4" s="187">
        <v>5139213</v>
      </c>
      <c r="I4" s="187">
        <v>8638477</v>
      </c>
      <c r="J4" s="179"/>
      <c r="K4" s="187">
        <v>289003.935</v>
      </c>
      <c r="L4" s="187">
        <v>305659.75100000005</v>
      </c>
      <c r="M4" s="187">
        <v>367405.88</v>
      </c>
      <c r="N4" s="187">
        <v>473357.68</v>
      </c>
      <c r="O4" s="187">
        <v>521159.63199999993</v>
      </c>
      <c r="P4" s="187">
        <v>622312.6370000001</v>
      </c>
      <c r="Q4" s="187">
        <v>788342.73100000003</v>
      </c>
      <c r="R4" s="187">
        <v>870843.08199999994</v>
      </c>
      <c r="S4" s="187">
        <v>1012926.822</v>
      </c>
      <c r="T4" s="187">
        <v>1151105</v>
      </c>
      <c r="U4" s="187">
        <v>1106935.08874</v>
      </c>
      <c r="V4" s="187">
        <v>1278860.08926</v>
      </c>
      <c r="W4" s="187">
        <v>1217530.9999999998</v>
      </c>
      <c r="X4" s="187">
        <v>1172415.139</v>
      </c>
      <c r="Y4" s="187">
        <v>1412226.140133633</v>
      </c>
      <c r="Z4" s="187">
        <v>1337040.7208663672</v>
      </c>
      <c r="AA4" s="187">
        <v>1806870</v>
      </c>
      <c r="AB4" s="187">
        <v>2128214</v>
      </c>
      <c r="AC4" s="187">
        <v>2226423</v>
      </c>
      <c r="AD4" s="187">
        <v>2476970</v>
      </c>
      <c r="AE4" s="187"/>
      <c r="AF4" s="332">
        <f>AD4/AC4-1</f>
        <v>0.11253342244488129</v>
      </c>
      <c r="AG4" s="332">
        <f>AD4/Z4-1</f>
        <v>0.85257633619041062</v>
      </c>
    </row>
    <row r="5" spans="1:1021 1034:2048 2061:3062 3075:4089 4102:5116 5129:6143 6156:7157 7170:8184 8197:9211 9224:10238 10251:11252 11265:12279 12292:13306 13319:14333 14346:15360 15373:16374" s="212" customFormat="1" ht="13" customHeight="1">
      <c r="A5" s="211"/>
      <c r="B5" s="22" t="str">
        <f>IF('Summary | Sumário'!D$6=Names!B$3,Names!M3,Names!N3)</f>
        <v>Interest expenses</v>
      </c>
      <c r="C5" s="234">
        <v>-256717</v>
      </c>
      <c r="D5" s="234">
        <v>-184335</v>
      </c>
      <c r="E5" s="234">
        <v>-543242</v>
      </c>
      <c r="F5" s="234">
        <v>-1972850</v>
      </c>
      <c r="G5" s="234">
        <v>-2887573</v>
      </c>
      <c r="H5" s="234">
        <v>-3311638.4190579997</v>
      </c>
      <c r="I5" s="234">
        <v>-5977127</v>
      </c>
      <c r="J5" s="179"/>
      <c r="K5" s="234">
        <v>-65559</v>
      </c>
      <c r="L5" s="234">
        <v>-86261</v>
      </c>
      <c r="M5" s="234">
        <v>-138587</v>
      </c>
      <c r="N5" s="234">
        <v>-252835</v>
      </c>
      <c r="O5" s="234">
        <v>-336771</v>
      </c>
      <c r="P5" s="234">
        <v>-465041</v>
      </c>
      <c r="Q5" s="234">
        <v>-579678</v>
      </c>
      <c r="R5" s="234">
        <v>-591360</v>
      </c>
      <c r="S5" s="234">
        <v>-672771</v>
      </c>
      <c r="T5" s="234">
        <v>-692206</v>
      </c>
      <c r="U5" s="234">
        <v>-770398</v>
      </c>
      <c r="V5" s="234">
        <v>-752198.00500000012</v>
      </c>
      <c r="W5" s="234">
        <v>-762246.89030000009</v>
      </c>
      <c r="X5" s="234">
        <v>-772642.60900000005</v>
      </c>
      <c r="Y5" s="234">
        <v>-835616.71799999999</v>
      </c>
      <c r="Z5" s="234">
        <v>-941132.20175799984</v>
      </c>
      <c r="AA5" s="234">
        <v>-1179020</v>
      </c>
      <c r="AB5" s="234">
        <v>-1423958</v>
      </c>
      <c r="AC5" s="234">
        <v>-1653759</v>
      </c>
      <c r="AD5" s="234">
        <v>-1720390</v>
      </c>
      <c r="AE5" s="187"/>
      <c r="AF5" s="501">
        <f>AD5/AC5-1</f>
        <v>4.029063485066442E-2</v>
      </c>
      <c r="AG5" s="501">
        <f>AD5/Z5-1</f>
        <v>0.82800035615227663</v>
      </c>
      <c r="AH5" s="116"/>
      <c r="AT5" s="213"/>
      <c r="BG5" s="213"/>
      <c r="BT5" s="213"/>
      <c r="CG5" s="213"/>
      <c r="CT5" s="213"/>
      <c r="DG5" s="213"/>
      <c r="DT5" s="213"/>
      <c r="EG5" s="213"/>
      <c r="ET5" s="213"/>
      <c r="FG5" s="213"/>
      <c r="FT5" s="213"/>
      <c r="GG5" s="213"/>
      <c r="GT5" s="213"/>
      <c r="HG5" s="213"/>
      <c r="HT5" s="213"/>
      <c r="IG5" s="213"/>
      <c r="IT5" s="213"/>
      <c r="JG5" s="213"/>
      <c r="JT5" s="213"/>
      <c r="KG5" s="213"/>
      <c r="KT5" s="213"/>
      <c r="LG5" s="213"/>
      <c r="LT5" s="213"/>
      <c r="MG5" s="213"/>
      <c r="MT5" s="213"/>
      <c r="NG5" s="213"/>
      <c r="NT5" s="213"/>
      <c r="OG5" s="213"/>
      <c r="OT5" s="213"/>
      <c r="PG5" s="213"/>
      <c r="PT5" s="213"/>
      <c r="QG5" s="213"/>
      <c r="QT5" s="213"/>
      <c r="RG5" s="213"/>
      <c r="RT5" s="213"/>
      <c r="SG5" s="213"/>
      <c r="ST5" s="213"/>
      <c r="TG5" s="213"/>
      <c r="TT5" s="213"/>
      <c r="UG5" s="213"/>
      <c r="UT5" s="213"/>
      <c r="VG5" s="213"/>
      <c r="VT5" s="213"/>
      <c r="WG5" s="213"/>
      <c r="WT5" s="213"/>
      <c r="XG5" s="213"/>
      <c r="XT5" s="213"/>
      <c r="YG5" s="213"/>
      <c r="YT5" s="213"/>
      <c r="ZG5" s="213"/>
      <c r="ZT5" s="213"/>
      <c r="AAG5" s="213"/>
      <c r="AAT5" s="213"/>
      <c r="ABG5" s="213"/>
      <c r="ABT5" s="213"/>
      <c r="ACG5" s="213"/>
      <c r="ACT5" s="213"/>
      <c r="ADG5" s="213"/>
      <c r="ADT5" s="213"/>
      <c r="AEG5" s="213"/>
      <c r="AET5" s="213"/>
      <c r="AFG5" s="213"/>
      <c r="AFT5" s="213"/>
      <c r="AGG5" s="213"/>
      <c r="AGT5" s="213"/>
      <c r="AHG5" s="213"/>
      <c r="AHT5" s="213"/>
      <c r="AIG5" s="213"/>
      <c r="AIT5" s="213"/>
      <c r="AJG5" s="213"/>
      <c r="AJT5" s="213"/>
      <c r="AKG5" s="213"/>
      <c r="AKT5" s="213"/>
      <c r="ALG5" s="213"/>
      <c r="ALT5" s="213"/>
      <c r="AMG5" s="213"/>
      <c r="AMT5" s="213"/>
      <c r="ANG5" s="213"/>
      <c r="ANT5" s="213"/>
      <c r="AOG5" s="213"/>
      <c r="AOT5" s="213"/>
      <c r="APG5" s="213"/>
      <c r="APT5" s="213"/>
      <c r="AQG5" s="213"/>
      <c r="AQT5" s="213"/>
      <c r="ARG5" s="213"/>
      <c r="ART5" s="213"/>
      <c r="ASG5" s="213"/>
      <c r="AST5" s="213"/>
      <c r="ATG5" s="213"/>
      <c r="ATT5" s="213"/>
      <c r="AUG5" s="213"/>
      <c r="AUT5" s="213"/>
      <c r="AVG5" s="213"/>
      <c r="AVT5" s="213"/>
      <c r="AWG5" s="213"/>
      <c r="AWT5" s="213"/>
      <c r="AXG5" s="213"/>
      <c r="AXT5" s="213"/>
      <c r="AYG5" s="213"/>
      <c r="AYT5" s="213"/>
      <c r="AZG5" s="213"/>
      <c r="AZT5" s="213"/>
      <c r="BAG5" s="213"/>
      <c r="BAT5" s="213"/>
      <c r="BBG5" s="213"/>
      <c r="BBT5" s="213"/>
      <c r="BCG5" s="213"/>
      <c r="BCT5" s="213"/>
      <c r="BDG5" s="213"/>
      <c r="BDT5" s="213"/>
      <c r="BEG5" s="213"/>
      <c r="BET5" s="213"/>
      <c r="BFG5" s="213"/>
      <c r="BFT5" s="213"/>
      <c r="BGG5" s="213"/>
      <c r="BGT5" s="213"/>
      <c r="BHG5" s="213"/>
      <c r="BHT5" s="213"/>
      <c r="BIG5" s="213"/>
      <c r="BIT5" s="213"/>
      <c r="BJG5" s="213"/>
      <c r="BJT5" s="213"/>
      <c r="BKG5" s="213"/>
      <c r="BKT5" s="213"/>
      <c r="BLG5" s="213"/>
      <c r="BLT5" s="213"/>
      <c r="BMG5" s="213"/>
      <c r="BMT5" s="213"/>
      <c r="BNG5" s="213"/>
      <c r="BNT5" s="213"/>
      <c r="BOG5" s="213"/>
      <c r="BOT5" s="213"/>
      <c r="BPG5" s="213"/>
      <c r="BPT5" s="213"/>
      <c r="BQG5" s="213"/>
      <c r="BQT5" s="213"/>
      <c r="BRG5" s="213"/>
      <c r="BRT5" s="213"/>
      <c r="BSG5" s="213"/>
      <c r="BST5" s="213"/>
      <c r="BTG5" s="213"/>
      <c r="BTT5" s="213"/>
      <c r="BUG5" s="213"/>
      <c r="BUT5" s="213"/>
      <c r="BVG5" s="213"/>
      <c r="BVT5" s="213"/>
      <c r="BWG5" s="213"/>
      <c r="BWT5" s="213"/>
      <c r="BXG5" s="213"/>
      <c r="BXT5" s="213"/>
      <c r="BYG5" s="213"/>
      <c r="BYT5" s="213"/>
      <c r="BZG5" s="213"/>
      <c r="BZT5" s="213"/>
      <c r="CAG5" s="213"/>
      <c r="CAT5" s="213"/>
      <c r="CBG5" s="213"/>
      <c r="CBT5" s="213"/>
      <c r="CCG5" s="213"/>
      <c r="CCT5" s="213"/>
      <c r="CDG5" s="213"/>
      <c r="CDT5" s="213"/>
      <c r="CEG5" s="213"/>
      <c r="CET5" s="213"/>
      <c r="CFG5" s="213"/>
      <c r="CFT5" s="213"/>
      <c r="CGG5" s="213"/>
      <c r="CGT5" s="213"/>
      <c r="CHG5" s="213"/>
      <c r="CHT5" s="213"/>
      <c r="CIG5" s="213"/>
      <c r="CIT5" s="213"/>
      <c r="CJG5" s="213"/>
      <c r="CJT5" s="213"/>
      <c r="CKG5" s="213"/>
      <c r="CKT5" s="213"/>
      <c r="CLG5" s="213"/>
      <c r="CLT5" s="213"/>
      <c r="CMG5" s="213"/>
      <c r="CMT5" s="213"/>
      <c r="CNG5" s="213"/>
      <c r="CNT5" s="213"/>
      <c r="COG5" s="213"/>
      <c r="COT5" s="213"/>
      <c r="CPG5" s="213"/>
      <c r="CPT5" s="213"/>
      <c r="CQG5" s="213"/>
      <c r="CQT5" s="213"/>
      <c r="CRG5" s="213"/>
      <c r="CRT5" s="213"/>
      <c r="CSG5" s="213"/>
      <c r="CST5" s="213"/>
      <c r="CTG5" s="213"/>
      <c r="CTT5" s="213"/>
      <c r="CUG5" s="213"/>
      <c r="CUT5" s="213"/>
      <c r="CVG5" s="213"/>
      <c r="CVT5" s="213"/>
      <c r="CWG5" s="213"/>
      <c r="CWT5" s="213"/>
      <c r="CXG5" s="213"/>
      <c r="CXT5" s="213"/>
      <c r="CYG5" s="213"/>
      <c r="CYT5" s="213"/>
      <c r="CZG5" s="213"/>
      <c r="CZT5" s="213"/>
      <c r="DAG5" s="213"/>
      <c r="DAT5" s="213"/>
      <c r="DBG5" s="213"/>
      <c r="DBT5" s="213"/>
      <c r="DCG5" s="213"/>
      <c r="DCT5" s="213"/>
      <c r="DDG5" s="213"/>
      <c r="DDT5" s="213"/>
      <c r="DEG5" s="213"/>
      <c r="DET5" s="213"/>
      <c r="DFG5" s="213"/>
      <c r="DFT5" s="213"/>
      <c r="DGG5" s="213"/>
      <c r="DGT5" s="213"/>
      <c r="DHG5" s="213"/>
      <c r="DHT5" s="213"/>
      <c r="DIG5" s="213"/>
      <c r="DIT5" s="213"/>
      <c r="DJG5" s="213"/>
      <c r="DJT5" s="213"/>
      <c r="DKG5" s="213"/>
      <c r="DKT5" s="213"/>
      <c r="DLG5" s="213"/>
      <c r="DLT5" s="213"/>
      <c r="DMG5" s="213"/>
      <c r="DMT5" s="213"/>
      <c r="DNG5" s="213"/>
      <c r="DNT5" s="213"/>
      <c r="DOG5" s="213"/>
      <c r="DOT5" s="213"/>
      <c r="DPG5" s="213"/>
      <c r="DPT5" s="213"/>
      <c r="DQG5" s="213"/>
      <c r="DQT5" s="213"/>
      <c r="DRG5" s="213"/>
      <c r="DRT5" s="213"/>
      <c r="DSG5" s="213"/>
      <c r="DST5" s="213"/>
      <c r="DTG5" s="213"/>
      <c r="DTT5" s="213"/>
      <c r="DUG5" s="213"/>
      <c r="DUT5" s="213"/>
      <c r="DVG5" s="213"/>
      <c r="DVT5" s="213"/>
      <c r="DWG5" s="213"/>
      <c r="DWT5" s="213"/>
      <c r="DXG5" s="213"/>
      <c r="DXT5" s="213"/>
      <c r="DYG5" s="213"/>
      <c r="DYT5" s="213"/>
      <c r="DZG5" s="213"/>
      <c r="DZT5" s="213"/>
      <c r="EAG5" s="213"/>
      <c r="EAT5" s="213"/>
      <c r="EBG5" s="213"/>
      <c r="EBT5" s="213"/>
      <c r="ECG5" s="213"/>
      <c r="ECT5" s="213"/>
      <c r="EDG5" s="213"/>
      <c r="EDT5" s="213"/>
      <c r="EEG5" s="213"/>
      <c r="EET5" s="213"/>
      <c r="EFG5" s="213"/>
      <c r="EFT5" s="213"/>
      <c r="EGG5" s="213"/>
      <c r="EGT5" s="213"/>
      <c r="EHG5" s="213"/>
      <c r="EHT5" s="213"/>
      <c r="EIG5" s="213"/>
      <c r="EIT5" s="213"/>
      <c r="EJG5" s="213"/>
      <c r="EJT5" s="213"/>
      <c r="EKG5" s="213"/>
      <c r="EKT5" s="213"/>
      <c r="ELG5" s="213"/>
      <c r="ELT5" s="213"/>
      <c r="EMG5" s="213"/>
      <c r="EMT5" s="213"/>
      <c r="ENG5" s="213"/>
      <c r="ENT5" s="213"/>
      <c r="EOG5" s="213"/>
      <c r="EOT5" s="213"/>
      <c r="EPG5" s="213"/>
      <c r="EPT5" s="213"/>
      <c r="EQG5" s="213"/>
      <c r="EQT5" s="213"/>
      <c r="ERG5" s="213"/>
      <c r="ERT5" s="213"/>
      <c r="ESG5" s="213"/>
      <c r="EST5" s="213"/>
      <c r="ETG5" s="213"/>
      <c r="ETT5" s="213"/>
      <c r="EUG5" s="213"/>
      <c r="EUT5" s="213"/>
      <c r="EVG5" s="213"/>
      <c r="EVT5" s="213"/>
      <c r="EWG5" s="213"/>
      <c r="EWT5" s="213"/>
      <c r="EXG5" s="213"/>
      <c r="EXT5" s="213"/>
      <c r="EYG5" s="213"/>
      <c r="EYT5" s="213"/>
      <c r="EZG5" s="213"/>
      <c r="EZT5" s="213"/>
      <c r="FAG5" s="213"/>
      <c r="FAT5" s="213"/>
      <c r="FBG5" s="213"/>
      <c r="FBT5" s="213"/>
      <c r="FCG5" s="213"/>
      <c r="FCT5" s="213"/>
      <c r="FDG5" s="213"/>
      <c r="FDT5" s="213"/>
      <c r="FEG5" s="213"/>
      <c r="FET5" s="213"/>
      <c r="FFG5" s="213"/>
      <c r="FFT5" s="213"/>
      <c r="FGG5" s="213"/>
      <c r="FGT5" s="213"/>
      <c r="FHG5" s="213"/>
      <c r="FHT5" s="213"/>
      <c r="FIG5" s="213"/>
      <c r="FIT5" s="213"/>
      <c r="FJG5" s="213"/>
      <c r="FJT5" s="213"/>
      <c r="FKG5" s="213"/>
      <c r="FKT5" s="213"/>
      <c r="FLG5" s="213"/>
      <c r="FLT5" s="213"/>
      <c r="FMG5" s="213"/>
      <c r="FMT5" s="213"/>
      <c r="FNG5" s="213"/>
      <c r="FNT5" s="213"/>
      <c r="FOG5" s="213"/>
      <c r="FOT5" s="213"/>
      <c r="FPG5" s="213"/>
      <c r="FPT5" s="213"/>
      <c r="FQG5" s="213"/>
      <c r="FQT5" s="213"/>
      <c r="FRG5" s="213"/>
      <c r="FRT5" s="213"/>
      <c r="FSG5" s="213"/>
      <c r="FST5" s="213"/>
      <c r="FTG5" s="213"/>
      <c r="FTT5" s="213"/>
      <c r="FUG5" s="213"/>
      <c r="FUT5" s="213"/>
      <c r="FVG5" s="213"/>
      <c r="FVT5" s="213"/>
      <c r="FWG5" s="213"/>
      <c r="FWT5" s="213"/>
      <c r="FXG5" s="213"/>
      <c r="FXT5" s="213"/>
      <c r="FYG5" s="213"/>
      <c r="FYT5" s="213"/>
      <c r="FZG5" s="213"/>
      <c r="FZT5" s="213"/>
      <c r="GAG5" s="213"/>
      <c r="GAT5" s="213"/>
      <c r="GBG5" s="213"/>
      <c r="GBT5" s="213"/>
      <c r="GCG5" s="213"/>
      <c r="GCT5" s="213"/>
      <c r="GDG5" s="213"/>
      <c r="GDT5" s="213"/>
      <c r="GEG5" s="213"/>
      <c r="GET5" s="213"/>
      <c r="GFG5" s="213"/>
      <c r="GFT5" s="213"/>
      <c r="GGG5" s="213"/>
      <c r="GGT5" s="213"/>
      <c r="GHG5" s="213"/>
      <c r="GHT5" s="213"/>
      <c r="GIG5" s="213"/>
      <c r="GIT5" s="213"/>
      <c r="GJG5" s="213"/>
      <c r="GJT5" s="213"/>
      <c r="GKG5" s="213"/>
      <c r="GKT5" s="213"/>
      <c r="GLG5" s="213"/>
      <c r="GLT5" s="213"/>
      <c r="GMG5" s="213"/>
      <c r="GMT5" s="213"/>
      <c r="GNG5" s="213"/>
      <c r="GNT5" s="213"/>
      <c r="GOG5" s="213"/>
      <c r="GOT5" s="213"/>
      <c r="GPG5" s="213"/>
      <c r="GPT5" s="213"/>
      <c r="GQG5" s="213"/>
      <c r="GQT5" s="213"/>
      <c r="GRG5" s="213"/>
      <c r="GRT5" s="213"/>
      <c r="GSG5" s="213"/>
      <c r="GST5" s="213"/>
      <c r="GTG5" s="213"/>
      <c r="GTT5" s="213"/>
      <c r="GUG5" s="213"/>
      <c r="GUT5" s="213"/>
      <c r="GVG5" s="213"/>
      <c r="GVT5" s="213"/>
      <c r="GWG5" s="213"/>
      <c r="GWT5" s="213"/>
      <c r="GXG5" s="213"/>
      <c r="GXT5" s="213"/>
      <c r="GYG5" s="213"/>
      <c r="GYT5" s="213"/>
      <c r="GZG5" s="213"/>
      <c r="GZT5" s="213"/>
      <c r="HAG5" s="213"/>
      <c r="HAT5" s="213"/>
      <c r="HBG5" s="213"/>
      <c r="HBT5" s="213"/>
      <c r="HCG5" s="213"/>
      <c r="HCT5" s="213"/>
      <c r="HDG5" s="213"/>
      <c r="HDT5" s="213"/>
      <c r="HEG5" s="213"/>
      <c r="HET5" s="213"/>
      <c r="HFG5" s="213"/>
      <c r="HFT5" s="213"/>
      <c r="HGG5" s="213"/>
      <c r="HGT5" s="213"/>
      <c r="HHG5" s="213"/>
      <c r="HHT5" s="213"/>
      <c r="HIG5" s="213"/>
      <c r="HIT5" s="213"/>
      <c r="HJG5" s="213"/>
      <c r="HJT5" s="213"/>
      <c r="HKG5" s="213"/>
      <c r="HKT5" s="213"/>
      <c r="HLG5" s="213"/>
      <c r="HLT5" s="213"/>
      <c r="HMG5" s="213"/>
      <c r="HMT5" s="213"/>
      <c r="HNG5" s="213"/>
      <c r="HNT5" s="213"/>
      <c r="HOG5" s="213"/>
      <c r="HOT5" s="213"/>
      <c r="HPG5" s="213"/>
      <c r="HPT5" s="213"/>
      <c r="HQG5" s="213"/>
      <c r="HQT5" s="213"/>
      <c r="HRG5" s="213"/>
      <c r="HRT5" s="213"/>
      <c r="HSG5" s="213"/>
      <c r="HST5" s="213"/>
      <c r="HTG5" s="213"/>
      <c r="HTT5" s="213"/>
      <c r="HUG5" s="213"/>
      <c r="HUT5" s="213"/>
      <c r="HVG5" s="213"/>
      <c r="HVT5" s="213"/>
      <c r="HWG5" s="213"/>
      <c r="HWT5" s="213"/>
      <c r="HXG5" s="213"/>
      <c r="HXT5" s="213"/>
      <c r="HYG5" s="213"/>
      <c r="HYT5" s="213"/>
      <c r="HZG5" s="213"/>
      <c r="HZT5" s="213"/>
      <c r="IAG5" s="213"/>
      <c r="IAT5" s="213"/>
      <c r="IBG5" s="213"/>
      <c r="IBT5" s="213"/>
      <c r="ICG5" s="213"/>
      <c r="ICT5" s="213"/>
      <c r="IDG5" s="213"/>
      <c r="IDT5" s="213"/>
      <c r="IEG5" s="213"/>
      <c r="IET5" s="213"/>
      <c r="IFG5" s="213"/>
      <c r="IFT5" s="213"/>
      <c r="IGG5" s="213"/>
      <c r="IGT5" s="213"/>
      <c r="IHG5" s="213"/>
      <c r="IHT5" s="213"/>
      <c r="IIG5" s="213"/>
      <c r="IIT5" s="213"/>
      <c r="IJG5" s="213"/>
      <c r="IJT5" s="213"/>
      <c r="IKG5" s="213"/>
      <c r="IKT5" s="213"/>
      <c r="ILG5" s="213"/>
      <c r="ILT5" s="213"/>
      <c r="IMG5" s="213"/>
      <c r="IMT5" s="213"/>
      <c r="ING5" s="213"/>
      <c r="INT5" s="213"/>
      <c r="IOG5" s="213"/>
      <c r="IOT5" s="213"/>
      <c r="IPG5" s="213"/>
      <c r="IPT5" s="213"/>
      <c r="IQG5" s="213"/>
      <c r="IQT5" s="213"/>
      <c r="IRG5" s="213"/>
      <c r="IRT5" s="213"/>
      <c r="ISG5" s="213"/>
      <c r="IST5" s="213"/>
      <c r="ITG5" s="213"/>
      <c r="ITT5" s="213"/>
      <c r="IUG5" s="213"/>
      <c r="IUT5" s="213"/>
      <c r="IVG5" s="213"/>
      <c r="IVT5" s="213"/>
      <c r="IWG5" s="213"/>
      <c r="IWT5" s="213"/>
      <c r="IXG5" s="213"/>
      <c r="IXT5" s="213"/>
      <c r="IYG5" s="213"/>
      <c r="IYT5" s="213"/>
      <c r="IZG5" s="213"/>
      <c r="IZT5" s="213"/>
      <c r="JAG5" s="213"/>
      <c r="JAT5" s="213"/>
      <c r="JBG5" s="213"/>
      <c r="JBT5" s="213"/>
      <c r="JCG5" s="213"/>
      <c r="JCT5" s="213"/>
      <c r="JDG5" s="213"/>
      <c r="JDT5" s="213"/>
      <c r="JEG5" s="213"/>
      <c r="JET5" s="213"/>
      <c r="JFG5" s="213"/>
      <c r="JFT5" s="213"/>
      <c r="JGG5" s="213"/>
      <c r="JGT5" s="213"/>
      <c r="JHG5" s="213"/>
      <c r="JHT5" s="213"/>
      <c r="JIG5" s="213"/>
      <c r="JIT5" s="213"/>
      <c r="JJG5" s="213"/>
      <c r="JJT5" s="213"/>
      <c r="JKG5" s="213"/>
      <c r="JKT5" s="213"/>
      <c r="JLG5" s="213"/>
      <c r="JLT5" s="213"/>
      <c r="JMG5" s="213"/>
      <c r="JMT5" s="213"/>
      <c r="JNG5" s="213"/>
      <c r="JNT5" s="213"/>
      <c r="JOG5" s="213"/>
      <c r="JOT5" s="213"/>
      <c r="JPG5" s="213"/>
      <c r="JPT5" s="213"/>
      <c r="JQG5" s="213"/>
      <c r="JQT5" s="213"/>
      <c r="JRG5" s="213"/>
      <c r="JRT5" s="213"/>
      <c r="JSG5" s="213"/>
      <c r="JST5" s="213"/>
      <c r="JTG5" s="213"/>
      <c r="JTT5" s="213"/>
      <c r="JUG5" s="213"/>
      <c r="JUT5" s="213"/>
      <c r="JVG5" s="213"/>
      <c r="JVT5" s="213"/>
      <c r="JWG5" s="213"/>
      <c r="JWT5" s="213"/>
      <c r="JXG5" s="213"/>
      <c r="JXT5" s="213"/>
      <c r="JYG5" s="213"/>
      <c r="JYT5" s="213"/>
      <c r="JZG5" s="213"/>
      <c r="JZT5" s="213"/>
      <c r="KAG5" s="213"/>
      <c r="KAT5" s="213"/>
      <c r="KBG5" s="213"/>
      <c r="KBT5" s="213"/>
      <c r="KCG5" s="213"/>
      <c r="KCT5" s="213"/>
      <c r="KDG5" s="213"/>
      <c r="KDT5" s="213"/>
      <c r="KEG5" s="213"/>
      <c r="KET5" s="213"/>
      <c r="KFG5" s="213"/>
      <c r="KFT5" s="213"/>
      <c r="KGG5" s="213"/>
      <c r="KGT5" s="213"/>
      <c r="KHG5" s="213"/>
      <c r="KHT5" s="213"/>
      <c r="KIG5" s="213"/>
      <c r="KIT5" s="213"/>
      <c r="KJG5" s="213"/>
      <c r="KJT5" s="213"/>
      <c r="KKG5" s="213"/>
      <c r="KKT5" s="213"/>
      <c r="KLG5" s="213"/>
      <c r="KLT5" s="213"/>
      <c r="KMG5" s="213"/>
      <c r="KMT5" s="213"/>
      <c r="KNG5" s="213"/>
      <c r="KNT5" s="213"/>
      <c r="KOG5" s="213"/>
      <c r="KOT5" s="213"/>
      <c r="KPG5" s="213"/>
      <c r="KPT5" s="213"/>
      <c r="KQG5" s="213"/>
      <c r="KQT5" s="213"/>
      <c r="KRG5" s="213"/>
      <c r="KRT5" s="213"/>
      <c r="KSG5" s="213"/>
      <c r="KST5" s="213"/>
      <c r="KTG5" s="213"/>
      <c r="KTT5" s="213"/>
      <c r="KUG5" s="213"/>
      <c r="KUT5" s="213"/>
      <c r="KVG5" s="213"/>
      <c r="KVT5" s="213"/>
      <c r="KWG5" s="213"/>
      <c r="KWT5" s="213"/>
      <c r="KXG5" s="213"/>
      <c r="KXT5" s="213"/>
      <c r="KYG5" s="213"/>
      <c r="KYT5" s="213"/>
      <c r="KZG5" s="213"/>
      <c r="KZT5" s="213"/>
      <c r="LAG5" s="213"/>
      <c r="LAT5" s="213"/>
      <c r="LBG5" s="213"/>
      <c r="LBT5" s="213"/>
      <c r="LCG5" s="213"/>
      <c r="LCT5" s="213"/>
      <c r="LDG5" s="213"/>
      <c r="LDT5" s="213"/>
      <c r="LEG5" s="213"/>
      <c r="LET5" s="213"/>
      <c r="LFG5" s="213"/>
      <c r="LFT5" s="213"/>
      <c r="LGG5" s="213"/>
      <c r="LGT5" s="213"/>
      <c r="LHG5" s="213"/>
      <c r="LHT5" s="213"/>
      <c r="LIG5" s="213"/>
      <c r="LIT5" s="213"/>
      <c r="LJG5" s="213"/>
      <c r="LJT5" s="213"/>
      <c r="LKG5" s="213"/>
      <c r="LKT5" s="213"/>
      <c r="LLG5" s="213"/>
      <c r="LLT5" s="213"/>
      <c r="LMG5" s="213"/>
      <c r="LMT5" s="213"/>
      <c r="LNG5" s="213"/>
      <c r="LNT5" s="213"/>
      <c r="LOG5" s="213"/>
      <c r="LOT5" s="213"/>
      <c r="LPG5" s="213"/>
      <c r="LPT5" s="213"/>
      <c r="LQG5" s="213"/>
      <c r="LQT5" s="213"/>
      <c r="LRG5" s="213"/>
      <c r="LRT5" s="213"/>
      <c r="LSG5" s="213"/>
      <c r="LST5" s="213"/>
      <c r="LTG5" s="213"/>
      <c r="LTT5" s="213"/>
      <c r="LUG5" s="213"/>
      <c r="LUT5" s="213"/>
      <c r="LVG5" s="213"/>
      <c r="LVT5" s="213"/>
      <c r="LWG5" s="213"/>
      <c r="LWT5" s="213"/>
      <c r="LXG5" s="213"/>
      <c r="LXT5" s="213"/>
      <c r="LYG5" s="213"/>
      <c r="LYT5" s="213"/>
      <c r="LZG5" s="213"/>
      <c r="LZT5" s="213"/>
      <c r="MAG5" s="213"/>
      <c r="MAT5" s="213"/>
      <c r="MBG5" s="213"/>
      <c r="MBT5" s="213"/>
      <c r="MCG5" s="213"/>
      <c r="MCT5" s="213"/>
      <c r="MDG5" s="213"/>
      <c r="MDT5" s="213"/>
      <c r="MEG5" s="213"/>
      <c r="MET5" s="213"/>
      <c r="MFG5" s="213"/>
      <c r="MFT5" s="213"/>
      <c r="MGG5" s="213"/>
      <c r="MGT5" s="213"/>
      <c r="MHG5" s="213"/>
      <c r="MHT5" s="213"/>
      <c r="MIG5" s="213"/>
      <c r="MIT5" s="213"/>
      <c r="MJG5" s="213"/>
      <c r="MJT5" s="213"/>
      <c r="MKG5" s="213"/>
      <c r="MKT5" s="213"/>
      <c r="MLG5" s="213"/>
      <c r="MLT5" s="213"/>
      <c r="MMG5" s="213"/>
      <c r="MMT5" s="213"/>
      <c r="MNG5" s="213"/>
      <c r="MNT5" s="213"/>
      <c r="MOG5" s="213"/>
      <c r="MOT5" s="213"/>
      <c r="MPG5" s="213"/>
      <c r="MPT5" s="213"/>
      <c r="MQG5" s="213"/>
      <c r="MQT5" s="213"/>
      <c r="MRG5" s="213"/>
      <c r="MRT5" s="213"/>
      <c r="MSG5" s="213"/>
      <c r="MST5" s="213"/>
      <c r="MTG5" s="213"/>
      <c r="MTT5" s="213"/>
      <c r="MUG5" s="213"/>
      <c r="MUT5" s="213"/>
      <c r="MVG5" s="213"/>
      <c r="MVT5" s="213"/>
      <c r="MWG5" s="213"/>
      <c r="MWT5" s="213"/>
      <c r="MXG5" s="213"/>
      <c r="MXT5" s="213"/>
      <c r="MYG5" s="213"/>
      <c r="MYT5" s="213"/>
      <c r="MZG5" s="213"/>
      <c r="MZT5" s="213"/>
      <c r="NAG5" s="213"/>
      <c r="NAT5" s="213"/>
      <c r="NBG5" s="213"/>
      <c r="NBT5" s="213"/>
      <c r="NCG5" s="213"/>
      <c r="NCT5" s="213"/>
      <c r="NDG5" s="213"/>
      <c r="NDT5" s="213"/>
      <c r="NEG5" s="213"/>
      <c r="NET5" s="213"/>
      <c r="NFG5" s="213"/>
      <c r="NFT5" s="213"/>
      <c r="NGG5" s="213"/>
      <c r="NGT5" s="213"/>
      <c r="NHG5" s="213"/>
      <c r="NHT5" s="213"/>
      <c r="NIG5" s="213"/>
      <c r="NIT5" s="213"/>
      <c r="NJG5" s="213"/>
      <c r="NJT5" s="213"/>
      <c r="NKG5" s="213"/>
      <c r="NKT5" s="213"/>
      <c r="NLG5" s="213"/>
      <c r="NLT5" s="213"/>
      <c r="NMG5" s="213"/>
      <c r="NMT5" s="213"/>
      <c r="NNG5" s="213"/>
      <c r="NNT5" s="213"/>
      <c r="NOG5" s="213"/>
      <c r="NOT5" s="213"/>
      <c r="NPG5" s="213"/>
      <c r="NPT5" s="213"/>
      <c r="NQG5" s="213"/>
      <c r="NQT5" s="213"/>
      <c r="NRG5" s="213"/>
      <c r="NRT5" s="213"/>
      <c r="NSG5" s="213"/>
      <c r="NST5" s="213"/>
      <c r="NTG5" s="213"/>
      <c r="NTT5" s="213"/>
      <c r="NUG5" s="213"/>
      <c r="NUT5" s="213"/>
      <c r="NVG5" s="213"/>
      <c r="NVT5" s="213"/>
      <c r="NWG5" s="213"/>
      <c r="NWT5" s="213"/>
      <c r="NXG5" s="213"/>
      <c r="NXT5" s="213"/>
      <c r="NYG5" s="213"/>
      <c r="NYT5" s="213"/>
      <c r="NZG5" s="213"/>
      <c r="NZT5" s="213"/>
      <c r="OAG5" s="213"/>
      <c r="OAT5" s="213"/>
      <c r="OBG5" s="213"/>
      <c r="OBT5" s="213"/>
      <c r="OCG5" s="213"/>
      <c r="OCT5" s="213"/>
      <c r="ODG5" s="213"/>
      <c r="ODT5" s="213"/>
      <c r="OEG5" s="213"/>
      <c r="OET5" s="213"/>
      <c r="OFG5" s="213"/>
      <c r="OFT5" s="213"/>
      <c r="OGG5" s="213"/>
      <c r="OGT5" s="213"/>
      <c r="OHG5" s="213"/>
      <c r="OHT5" s="213"/>
      <c r="OIG5" s="213"/>
      <c r="OIT5" s="213"/>
      <c r="OJG5" s="213"/>
      <c r="OJT5" s="213"/>
      <c r="OKG5" s="213"/>
      <c r="OKT5" s="213"/>
      <c r="OLG5" s="213"/>
      <c r="OLT5" s="213"/>
      <c r="OMG5" s="213"/>
      <c r="OMT5" s="213"/>
      <c r="ONG5" s="213"/>
      <c r="ONT5" s="213"/>
      <c r="OOG5" s="213"/>
      <c r="OOT5" s="213"/>
      <c r="OPG5" s="213"/>
      <c r="OPT5" s="213"/>
      <c r="OQG5" s="213"/>
      <c r="OQT5" s="213"/>
      <c r="ORG5" s="213"/>
      <c r="ORT5" s="213"/>
      <c r="OSG5" s="213"/>
      <c r="OST5" s="213"/>
      <c r="OTG5" s="213"/>
      <c r="OTT5" s="213"/>
      <c r="OUG5" s="213"/>
      <c r="OUT5" s="213"/>
      <c r="OVG5" s="213"/>
      <c r="OVT5" s="213"/>
      <c r="OWG5" s="213"/>
      <c r="OWT5" s="213"/>
      <c r="OXG5" s="213"/>
      <c r="OXT5" s="213"/>
      <c r="OYG5" s="213"/>
      <c r="OYT5" s="213"/>
      <c r="OZG5" s="213"/>
      <c r="OZT5" s="213"/>
      <c r="PAG5" s="213"/>
      <c r="PAT5" s="213"/>
      <c r="PBG5" s="213"/>
      <c r="PBT5" s="213"/>
      <c r="PCG5" s="213"/>
      <c r="PCT5" s="213"/>
      <c r="PDG5" s="213"/>
      <c r="PDT5" s="213"/>
      <c r="PEG5" s="213"/>
      <c r="PET5" s="213"/>
      <c r="PFG5" s="213"/>
      <c r="PFT5" s="213"/>
      <c r="PGG5" s="213"/>
      <c r="PGT5" s="213"/>
      <c r="PHG5" s="213"/>
      <c r="PHT5" s="213"/>
      <c r="PIG5" s="213"/>
      <c r="PIT5" s="213"/>
      <c r="PJG5" s="213"/>
      <c r="PJT5" s="213"/>
      <c r="PKG5" s="213"/>
      <c r="PKT5" s="213"/>
      <c r="PLG5" s="213"/>
      <c r="PLT5" s="213"/>
      <c r="PMG5" s="213"/>
      <c r="PMT5" s="213"/>
      <c r="PNG5" s="213"/>
      <c r="PNT5" s="213"/>
      <c r="POG5" s="213"/>
      <c r="POT5" s="213"/>
      <c r="PPG5" s="213"/>
      <c r="PPT5" s="213"/>
      <c r="PQG5" s="213"/>
      <c r="PQT5" s="213"/>
      <c r="PRG5" s="213"/>
      <c r="PRT5" s="213"/>
      <c r="PSG5" s="213"/>
      <c r="PST5" s="213"/>
      <c r="PTG5" s="213"/>
      <c r="PTT5" s="213"/>
      <c r="PUG5" s="213"/>
      <c r="PUT5" s="213"/>
      <c r="PVG5" s="213"/>
      <c r="PVT5" s="213"/>
      <c r="PWG5" s="213"/>
      <c r="PWT5" s="213"/>
      <c r="PXG5" s="213"/>
      <c r="PXT5" s="213"/>
      <c r="PYG5" s="213"/>
      <c r="PYT5" s="213"/>
      <c r="PZG5" s="213"/>
      <c r="PZT5" s="213"/>
      <c r="QAG5" s="213"/>
      <c r="QAT5" s="213"/>
      <c r="QBG5" s="213"/>
      <c r="QBT5" s="213"/>
      <c r="QCG5" s="213"/>
      <c r="QCT5" s="213"/>
      <c r="QDG5" s="213"/>
      <c r="QDT5" s="213"/>
      <c r="QEG5" s="213"/>
      <c r="QET5" s="213"/>
      <c r="QFG5" s="213"/>
      <c r="QFT5" s="213"/>
      <c r="QGG5" s="213"/>
      <c r="QGT5" s="213"/>
      <c r="QHG5" s="213"/>
      <c r="QHT5" s="213"/>
      <c r="QIG5" s="213"/>
      <c r="QIT5" s="213"/>
      <c r="QJG5" s="213"/>
      <c r="QJT5" s="213"/>
      <c r="QKG5" s="213"/>
      <c r="QKT5" s="213"/>
      <c r="QLG5" s="213"/>
      <c r="QLT5" s="213"/>
      <c r="QMG5" s="213"/>
      <c r="QMT5" s="213"/>
      <c r="QNG5" s="213"/>
      <c r="QNT5" s="213"/>
      <c r="QOG5" s="213"/>
      <c r="QOT5" s="213"/>
      <c r="QPG5" s="213"/>
      <c r="QPT5" s="213"/>
      <c r="QQG5" s="213"/>
      <c r="QQT5" s="213"/>
      <c r="QRG5" s="213"/>
      <c r="QRT5" s="213"/>
      <c r="QSG5" s="213"/>
      <c r="QST5" s="213"/>
      <c r="QTG5" s="213"/>
      <c r="QTT5" s="213"/>
      <c r="QUG5" s="213"/>
      <c r="QUT5" s="213"/>
      <c r="QVG5" s="213"/>
      <c r="QVT5" s="213"/>
      <c r="QWG5" s="213"/>
      <c r="QWT5" s="213"/>
      <c r="QXG5" s="213"/>
      <c r="QXT5" s="213"/>
      <c r="QYG5" s="213"/>
      <c r="QYT5" s="213"/>
      <c r="QZG5" s="213"/>
      <c r="QZT5" s="213"/>
      <c r="RAG5" s="213"/>
      <c r="RAT5" s="213"/>
      <c r="RBG5" s="213"/>
      <c r="RBT5" s="213"/>
      <c r="RCG5" s="213"/>
      <c r="RCT5" s="213"/>
      <c r="RDG5" s="213"/>
      <c r="RDT5" s="213"/>
      <c r="REG5" s="213"/>
      <c r="RET5" s="213"/>
      <c r="RFG5" s="213"/>
      <c r="RFT5" s="213"/>
      <c r="RGG5" s="213"/>
      <c r="RGT5" s="213"/>
      <c r="RHG5" s="213"/>
      <c r="RHT5" s="213"/>
      <c r="RIG5" s="213"/>
      <c r="RIT5" s="213"/>
      <c r="RJG5" s="213"/>
      <c r="RJT5" s="213"/>
      <c r="RKG5" s="213"/>
      <c r="RKT5" s="213"/>
      <c r="RLG5" s="213"/>
      <c r="RLT5" s="213"/>
      <c r="RMG5" s="213"/>
      <c r="RMT5" s="213"/>
      <c r="RNG5" s="213"/>
      <c r="RNT5" s="213"/>
      <c r="ROG5" s="213"/>
      <c r="ROT5" s="213"/>
      <c r="RPG5" s="213"/>
      <c r="RPT5" s="213"/>
      <c r="RQG5" s="213"/>
      <c r="RQT5" s="213"/>
      <c r="RRG5" s="213"/>
      <c r="RRT5" s="213"/>
      <c r="RSG5" s="213"/>
      <c r="RST5" s="213"/>
      <c r="RTG5" s="213"/>
      <c r="RTT5" s="213"/>
      <c r="RUG5" s="213"/>
      <c r="RUT5" s="213"/>
      <c r="RVG5" s="213"/>
      <c r="RVT5" s="213"/>
      <c r="RWG5" s="213"/>
      <c r="RWT5" s="213"/>
      <c r="RXG5" s="213"/>
      <c r="RXT5" s="213"/>
      <c r="RYG5" s="213"/>
      <c r="RYT5" s="213"/>
      <c r="RZG5" s="213"/>
      <c r="RZT5" s="213"/>
      <c r="SAG5" s="213"/>
      <c r="SAT5" s="213"/>
      <c r="SBG5" s="213"/>
      <c r="SBT5" s="213"/>
      <c r="SCG5" s="213"/>
      <c r="SCT5" s="213"/>
      <c r="SDG5" s="213"/>
      <c r="SDT5" s="213"/>
      <c r="SEG5" s="213"/>
      <c r="SET5" s="213"/>
      <c r="SFG5" s="213"/>
      <c r="SFT5" s="213"/>
      <c r="SGG5" s="213"/>
      <c r="SGT5" s="213"/>
      <c r="SHG5" s="213"/>
      <c r="SHT5" s="213"/>
      <c r="SIG5" s="213"/>
      <c r="SIT5" s="213"/>
      <c r="SJG5" s="213"/>
      <c r="SJT5" s="213"/>
      <c r="SKG5" s="213"/>
      <c r="SKT5" s="213"/>
      <c r="SLG5" s="213"/>
      <c r="SLT5" s="213"/>
      <c r="SMG5" s="213"/>
      <c r="SMT5" s="213"/>
      <c r="SNG5" s="213"/>
      <c r="SNT5" s="213"/>
      <c r="SOG5" s="213"/>
      <c r="SOT5" s="213"/>
      <c r="SPG5" s="213"/>
      <c r="SPT5" s="213"/>
      <c r="SQG5" s="213"/>
      <c r="SQT5" s="213"/>
      <c r="SRG5" s="213"/>
      <c r="SRT5" s="213"/>
      <c r="SSG5" s="213"/>
      <c r="SST5" s="213"/>
      <c r="STG5" s="213"/>
      <c r="STT5" s="213"/>
      <c r="SUG5" s="213"/>
      <c r="SUT5" s="213"/>
      <c r="SVG5" s="213"/>
      <c r="SVT5" s="213"/>
      <c r="SWG5" s="213"/>
      <c r="SWT5" s="213"/>
      <c r="SXG5" s="213"/>
      <c r="SXT5" s="213"/>
      <c r="SYG5" s="213"/>
      <c r="SYT5" s="213"/>
      <c r="SZG5" s="213"/>
      <c r="SZT5" s="213"/>
      <c r="TAG5" s="213"/>
      <c r="TAT5" s="213"/>
      <c r="TBG5" s="213"/>
      <c r="TBT5" s="213"/>
      <c r="TCG5" s="213"/>
      <c r="TCT5" s="213"/>
      <c r="TDG5" s="213"/>
      <c r="TDT5" s="213"/>
      <c r="TEG5" s="213"/>
      <c r="TET5" s="213"/>
      <c r="TFG5" s="213"/>
      <c r="TFT5" s="213"/>
      <c r="TGG5" s="213"/>
      <c r="TGT5" s="213"/>
      <c r="THG5" s="213"/>
      <c r="THT5" s="213"/>
      <c r="TIG5" s="213"/>
      <c r="TIT5" s="213"/>
      <c r="TJG5" s="213"/>
      <c r="TJT5" s="213"/>
      <c r="TKG5" s="213"/>
      <c r="TKT5" s="213"/>
      <c r="TLG5" s="213"/>
      <c r="TLT5" s="213"/>
      <c r="TMG5" s="213"/>
      <c r="TMT5" s="213"/>
      <c r="TNG5" s="213"/>
      <c r="TNT5" s="213"/>
      <c r="TOG5" s="213"/>
      <c r="TOT5" s="213"/>
      <c r="TPG5" s="213"/>
      <c r="TPT5" s="213"/>
      <c r="TQG5" s="213"/>
      <c r="TQT5" s="213"/>
      <c r="TRG5" s="213"/>
      <c r="TRT5" s="213"/>
      <c r="TSG5" s="213"/>
      <c r="TST5" s="213"/>
      <c r="TTG5" s="213"/>
      <c r="TTT5" s="213"/>
      <c r="TUG5" s="213"/>
      <c r="TUT5" s="213"/>
      <c r="TVG5" s="213"/>
      <c r="TVT5" s="213"/>
      <c r="TWG5" s="213"/>
      <c r="TWT5" s="213"/>
      <c r="TXG5" s="213"/>
      <c r="TXT5" s="213"/>
      <c r="TYG5" s="213"/>
      <c r="TYT5" s="213"/>
      <c r="TZG5" s="213"/>
      <c r="TZT5" s="213"/>
      <c r="UAG5" s="213"/>
      <c r="UAT5" s="213"/>
      <c r="UBG5" s="213"/>
      <c r="UBT5" s="213"/>
      <c r="UCG5" s="213"/>
      <c r="UCT5" s="213"/>
      <c r="UDG5" s="213"/>
      <c r="UDT5" s="213"/>
      <c r="UEG5" s="213"/>
      <c r="UET5" s="213"/>
      <c r="UFG5" s="213"/>
      <c r="UFT5" s="213"/>
      <c r="UGG5" s="213"/>
      <c r="UGT5" s="213"/>
      <c r="UHG5" s="213"/>
      <c r="UHT5" s="213"/>
      <c r="UIG5" s="213"/>
      <c r="UIT5" s="213"/>
      <c r="UJG5" s="213"/>
      <c r="UJT5" s="213"/>
      <c r="UKG5" s="213"/>
      <c r="UKT5" s="213"/>
      <c r="ULG5" s="213"/>
      <c r="ULT5" s="213"/>
      <c r="UMG5" s="213"/>
      <c r="UMT5" s="213"/>
      <c r="UNG5" s="213"/>
      <c r="UNT5" s="213"/>
      <c r="UOG5" s="213"/>
      <c r="UOT5" s="213"/>
      <c r="UPG5" s="213"/>
      <c r="UPT5" s="213"/>
      <c r="UQG5" s="213"/>
      <c r="UQT5" s="213"/>
      <c r="URG5" s="213"/>
      <c r="URT5" s="213"/>
      <c r="USG5" s="213"/>
      <c r="UST5" s="213"/>
      <c r="UTG5" s="213"/>
      <c r="UTT5" s="213"/>
      <c r="UUG5" s="213"/>
      <c r="UUT5" s="213"/>
      <c r="UVG5" s="213"/>
      <c r="UVT5" s="213"/>
      <c r="UWG5" s="213"/>
      <c r="UWT5" s="213"/>
      <c r="UXG5" s="213"/>
      <c r="UXT5" s="213"/>
      <c r="UYG5" s="213"/>
      <c r="UYT5" s="213"/>
      <c r="UZG5" s="213"/>
      <c r="UZT5" s="213"/>
      <c r="VAG5" s="213"/>
      <c r="VAT5" s="213"/>
      <c r="VBG5" s="213"/>
      <c r="VBT5" s="213"/>
      <c r="VCG5" s="213"/>
      <c r="VCT5" s="213"/>
      <c r="VDG5" s="213"/>
      <c r="VDT5" s="213"/>
      <c r="VEG5" s="213"/>
      <c r="VET5" s="213"/>
      <c r="VFG5" s="213"/>
      <c r="VFT5" s="213"/>
      <c r="VGG5" s="213"/>
      <c r="VGT5" s="213"/>
      <c r="VHG5" s="213"/>
      <c r="VHT5" s="213"/>
      <c r="VIG5" s="213"/>
      <c r="VIT5" s="213"/>
      <c r="VJG5" s="213"/>
      <c r="VJT5" s="213"/>
      <c r="VKG5" s="213"/>
      <c r="VKT5" s="213"/>
      <c r="VLG5" s="213"/>
      <c r="VLT5" s="213"/>
      <c r="VMG5" s="213"/>
      <c r="VMT5" s="213"/>
      <c r="VNG5" s="213"/>
      <c r="VNT5" s="213"/>
      <c r="VOG5" s="213"/>
      <c r="VOT5" s="213"/>
      <c r="VPG5" s="213"/>
      <c r="VPT5" s="213"/>
      <c r="VQG5" s="213"/>
      <c r="VQT5" s="213"/>
      <c r="VRG5" s="213"/>
      <c r="VRT5" s="213"/>
      <c r="VSG5" s="213"/>
      <c r="VST5" s="213"/>
      <c r="VTG5" s="213"/>
      <c r="VTT5" s="213"/>
      <c r="VUG5" s="213"/>
      <c r="VUT5" s="213"/>
      <c r="VVG5" s="213"/>
      <c r="VVT5" s="213"/>
      <c r="VWG5" s="213"/>
      <c r="VWT5" s="213"/>
      <c r="VXG5" s="213"/>
      <c r="VXT5" s="213"/>
      <c r="VYG5" s="213"/>
      <c r="VYT5" s="213"/>
      <c r="VZG5" s="213"/>
      <c r="VZT5" s="213"/>
      <c r="WAG5" s="213"/>
      <c r="WAT5" s="213"/>
      <c r="WBG5" s="213"/>
      <c r="WBT5" s="213"/>
      <c r="WCG5" s="213"/>
      <c r="WCT5" s="213"/>
      <c r="WDG5" s="213"/>
      <c r="WDT5" s="213"/>
      <c r="WEG5" s="213"/>
      <c r="WET5" s="213"/>
      <c r="WFG5" s="213"/>
      <c r="WFT5" s="213"/>
      <c r="WGG5" s="213"/>
      <c r="WGT5" s="213"/>
      <c r="WHG5" s="213"/>
      <c r="WHT5" s="213"/>
      <c r="WIG5" s="213"/>
      <c r="WIT5" s="213"/>
      <c r="WJG5" s="213"/>
      <c r="WJT5" s="213"/>
      <c r="WKG5" s="213"/>
      <c r="WKT5" s="213"/>
      <c r="WLG5" s="213"/>
      <c r="WLT5" s="213"/>
      <c r="WMG5" s="213"/>
      <c r="WMT5" s="213"/>
      <c r="WNG5" s="213"/>
      <c r="WNT5" s="213"/>
      <c r="WOG5" s="213"/>
      <c r="WOT5" s="213"/>
      <c r="WPG5" s="213"/>
      <c r="WPT5" s="213"/>
      <c r="WQG5" s="213"/>
      <c r="WQT5" s="213"/>
      <c r="WRG5" s="213"/>
      <c r="WRT5" s="213"/>
      <c r="WSG5" s="213"/>
      <c r="WST5" s="213"/>
      <c r="WTG5" s="213"/>
      <c r="WTT5" s="213"/>
      <c r="WUG5" s="213"/>
      <c r="WUT5" s="213"/>
      <c r="WVG5" s="213"/>
      <c r="WVT5" s="213"/>
      <c r="WWG5" s="213"/>
      <c r="WWT5" s="213"/>
      <c r="WXG5" s="213"/>
      <c r="WXT5" s="213"/>
      <c r="WYG5" s="213"/>
      <c r="WYT5" s="213"/>
      <c r="WZG5" s="213"/>
      <c r="WZT5" s="213"/>
      <c r="XAG5" s="213"/>
      <c r="XAT5" s="213"/>
      <c r="XBG5" s="213"/>
      <c r="XBT5" s="213"/>
      <c r="XCG5" s="213"/>
      <c r="XCT5" s="213"/>
      <c r="XDG5" s="213"/>
      <c r="XDT5" s="213"/>
      <c r="XEG5" s="213"/>
      <c r="XET5" s="213"/>
    </row>
    <row r="6" spans="1:1021 1034:2048 2061:3062 3075:4089 4102:5116 5129:6143 6156:7157 7170:8184 8197:9211 9224:10238 10251:11252 11265:12279 12292:13306 13319:14333 14346:15360 15373:16374" s="164" customFormat="1" ht="13" customHeight="1">
      <c r="A6" s="224"/>
      <c r="B6" s="697" t="str">
        <f>IF('Summary | Sumário'!D$6=Names!B$3,Names!M4,Names!N4)</f>
        <v>Income from securities, derivatives and foreign exchange</v>
      </c>
      <c r="C6" s="215">
        <v>72729</v>
      </c>
      <c r="D6" s="215">
        <v>-25040</v>
      </c>
      <c r="E6" s="215">
        <v>721949.66599999997</v>
      </c>
      <c r="F6" s="215">
        <v>1605401.1030000001</v>
      </c>
      <c r="G6" s="215">
        <v>1634543</v>
      </c>
      <c r="H6" s="215">
        <v>2629169.8134021345</v>
      </c>
      <c r="I6" s="215">
        <v>3612469</v>
      </c>
      <c r="J6" s="215"/>
      <c r="K6" s="215">
        <v>74012.403999999995</v>
      </c>
      <c r="L6" s="215">
        <v>89585.596000000005</v>
      </c>
      <c r="M6" s="215">
        <v>224342</v>
      </c>
      <c r="N6" s="215">
        <v>334009.66600000003</v>
      </c>
      <c r="O6" s="215">
        <v>376055.38299999997</v>
      </c>
      <c r="P6" s="215">
        <v>429378.674</v>
      </c>
      <c r="Q6" s="215">
        <v>378059.73599999998</v>
      </c>
      <c r="R6" s="215">
        <v>421907.31</v>
      </c>
      <c r="S6" s="215">
        <v>386325.30200000003</v>
      </c>
      <c r="T6" s="215">
        <v>369367</v>
      </c>
      <c r="U6" s="215">
        <v>508679.01922000002</v>
      </c>
      <c r="V6" s="215">
        <v>370171.67877999996</v>
      </c>
      <c r="W6" s="215">
        <v>537136.61082000006</v>
      </c>
      <c r="X6" s="215">
        <v>642093.19580384996</v>
      </c>
      <c r="Y6" s="215">
        <v>587740.70944000012</v>
      </c>
      <c r="Z6" s="215">
        <v>862199.29693614994</v>
      </c>
      <c r="AA6" s="215">
        <v>734744.3</v>
      </c>
      <c r="AB6" s="215">
        <v>765251</v>
      </c>
      <c r="AC6" s="215">
        <v>1050027</v>
      </c>
      <c r="AD6" s="215">
        <v>1062446.7000000002</v>
      </c>
      <c r="AE6" s="215"/>
      <c r="AF6" s="332">
        <f>AD6/AC6-1</f>
        <v>1.1827981566188583E-2</v>
      </c>
      <c r="AG6" s="332">
        <f>AD6/Z6-1</f>
        <v>0.23225187468307529</v>
      </c>
    </row>
    <row r="7" spans="1:1021 1034:2048 2061:3062 3075:4089 4102:5116 5129:6143 6156:7157 7170:8184 8197:9211 9224:10238 10251:11252 11265:12279 12292:13306 13319:14333 14346:15360 15373:16374" s="161" customFormat="1" ht="13" customHeight="1">
      <c r="A7" s="235"/>
      <c r="B7" s="281" t="str">
        <f>IF('Summary | Sumário'!D$6=Names!B$3,Names!M5,Names!N5)</f>
        <v>Net interest income and income from securities, derivatives and foreing exchange</v>
      </c>
      <c r="C7" s="282">
        <v>591527</v>
      </c>
      <c r="D7" s="282">
        <v>733280.89517999999</v>
      </c>
      <c r="E7" s="282">
        <v>1614135.9119999998</v>
      </c>
      <c r="F7" s="282">
        <v>2435209.1849999996</v>
      </c>
      <c r="G7" s="282">
        <v>3296797</v>
      </c>
      <c r="H7" s="282">
        <v>4456744.3939420003</v>
      </c>
      <c r="I7" s="282">
        <v>6273819</v>
      </c>
      <c r="J7" s="227"/>
      <c r="K7" s="282">
        <v>297457.33899999998</v>
      </c>
      <c r="L7" s="282">
        <v>308984.34700000007</v>
      </c>
      <c r="M7" s="282">
        <v>453160.88</v>
      </c>
      <c r="N7" s="282">
        <v>554532.34600000002</v>
      </c>
      <c r="O7" s="282">
        <v>560444.0149999999</v>
      </c>
      <c r="P7" s="282">
        <v>586650.3110000001</v>
      </c>
      <c r="Q7" s="282">
        <v>586724.46699999995</v>
      </c>
      <c r="R7" s="282">
        <v>701390.39199999999</v>
      </c>
      <c r="S7" s="282">
        <v>726481.12400000007</v>
      </c>
      <c r="T7" s="282">
        <v>828266</v>
      </c>
      <c r="U7" s="282">
        <v>845216.10796000005</v>
      </c>
      <c r="V7" s="282">
        <v>896833.76303999987</v>
      </c>
      <c r="W7" s="282">
        <v>992420.72051999974</v>
      </c>
      <c r="X7" s="282">
        <v>1041865.7258038499</v>
      </c>
      <c r="Y7" s="282">
        <v>1164350.1315736333</v>
      </c>
      <c r="Z7" s="282">
        <v>1258107.8160445173</v>
      </c>
      <c r="AA7" s="282">
        <v>1362594.3</v>
      </c>
      <c r="AB7" s="282">
        <v>1469507</v>
      </c>
      <c r="AC7" s="282">
        <v>1622691</v>
      </c>
      <c r="AD7" s="282">
        <v>1819026.7000000002</v>
      </c>
      <c r="AE7" s="227"/>
      <c r="AF7" s="317">
        <f>AD7/AC7-1</f>
        <v>0.12099389224442625</v>
      </c>
      <c r="AG7" s="317">
        <f>AD7/Z7-1</f>
        <v>0.44584325508683986</v>
      </c>
    </row>
    <row r="8" spans="1:1021 1034:2048 2061:3062 3075:4089 4102:5116 5129:6143 6156:7157 7170:8184 8197:9211 9224:10238 10251:11252 11265:12279 12292:13306 13319:14333 14346:15360 15373:16374" ht="13" customHeight="1">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210"/>
      <c r="AG8" s="210"/>
    </row>
    <row r="9" spans="1:1021 1034:2048 2061:3062 3075:4089 4102:5116 5129:6143 6156:7157 7170:8184 8197:9211 9224:10238 10251:11252 11265:12279 12292:13306 13319:14333 14346:15360 15373:16374" s="212" customFormat="1" ht="13" customHeight="1">
      <c r="A9" s="211"/>
      <c r="B9" s="22" t="str">
        <f>IF('Summary | Sumário'!D$6=Names!B$3,Names!M6,Names!N6)</f>
        <v>Net revenues from services and commissions</v>
      </c>
      <c r="C9" s="234">
        <v>130457</v>
      </c>
      <c r="D9" s="234">
        <v>257145</v>
      </c>
      <c r="E9" s="234">
        <v>542569</v>
      </c>
      <c r="F9" s="234">
        <v>968039</v>
      </c>
      <c r="G9" s="234">
        <v>1304382</v>
      </c>
      <c r="H9" s="234">
        <v>1753280.4850000001</v>
      </c>
      <c r="I9" s="234">
        <v>2008095</v>
      </c>
      <c r="J9" s="179"/>
      <c r="K9" s="234">
        <v>100965</v>
      </c>
      <c r="L9" s="234">
        <v>110911</v>
      </c>
      <c r="M9" s="234">
        <v>149283</v>
      </c>
      <c r="N9" s="234">
        <v>181410</v>
      </c>
      <c r="O9" s="234">
        <v>206219</v>
      </c>
      <c r="P9" s="234">
        <v>238515</v>
      </c>
      <c r="Q9" s="234">
        <v>250433</v>
      </c>
      <c r="R9" s="234">
        <v>272872</v>
      </c>
      <c r="S9" s="234">
        <v>282353</v>
      </c>
      <c r="T9" s="234">
        <v>298524</v>
      </c>
      <c r="U9" s="234">
        <v>347780</v>
      </c>
      <c r="V9" s="234">
        <v>375724.6</v>
      </c>
      <c r="W9" s="234">
        <v>374339.16833017452</v>
      </c>
      <c r="X9" s="234">
        <v>397142.87599999999</v>
      </c>
      <c r="Y9" s="234">
        <v>467667</v>
      </c>
      <c r="Z9" s="234">
        <v>514131.44066982553</v>
      </c>
      <c r="AA9" s="234">
        <v>459924</v>
      </c>
      <c r="AB9" s="234">
        <v>495128</v>
      </c>
      <c r="AC9" s="234">
        <v>514179</v>
      </c>
      <c r="AD9" s="234">
        <v>538864</v>
      </c>
      <c r="AE9" s="187"/>
      <c r="AF9" s="333">
        <f>AD9/AC9-1</f>
        <v>4.8008572889985723E-2</v>
      </c>
      <c r="AG9" s="333">
        <f>AD9/Z9-1</f>
        <v>4.810551811021746E-2</v>
      </c>
      <c r="AH9" s="116"/>
      <c r="AT9" s="213"/>
      <c r="BG9" s="213"/>
      <c r="BT9" s="213"/>
      <c r="CG9" s="213"/>
      <c r="CT9" s="213"/>
      <c r="DG9" s="213"/>
      <c r="DT9" s="213"/>
      <c r="EG9" s="213"/>
      <c r="ET9" s="213"/>
      <c r="FG9" s="213"/>
      <c r="FT9" s="213"/>
      <c r="GG9" s="213"/>
      <c r="GT9" s="213"/>
      <c r="HG9" s="213"/>
      <c r="HT9" s="213"/>
      <c r="IG9" s="213"/>
      <c r="IT9" s="213"/>
      <c r="JG9" s="213"/>
      <c r="JT9" s="213"/>
      <c r="KG9" s="213"/>
      <c r="KT9" s="213"/>
      <c r="LG9" s="213"/>
      <c r="LT9" s="213"/>
      <c r="MG9" s="213"/>
      <c r="MT9" s="213"/>
      <c r="NG9" s="213"/>
      <c r="NT9" s="213"/>
      <c r="OG9" s="213"/>
      <c r="OT9" s="213"/>
      <c r="PG9" s="213"/>
      <c r="PT9" s="213"/>
      <c r="QG9" s="213"/>
      <c r="QT9" s="213"/>
      <c r="RG9" s="213"/>
      <c r="RT9" s="213"/>
      <c r="SG9" s="213"/>
      <c r="ST9" s="213"/>
      <c r="TG9" s="213"/>
      <c r="TT9" s="213"/>
      <c r="UG9" s="213"/>
      <c r="UT9" s="213"/>
      <c r="VG9" s="213"/>
      <c r="VT9" s="213"/>
      <c r="WG9" s="213"/>
      <c r="WT9" s="213"/>
      <c r="XG9" s="213"/>
      <c r="XT9" s="213"/>
      <c r="YG9" s="213"/>
      <c r="YT9" s="213"/>
      <c r="ZG9" s="213"/>
      <c r="ZT9" s="213"/>
      <c r="AAG9" s="213"/>
      <c r="AAT9" s="213"/>
      <c r="ABG9" s="213"/>
      <c r="ABT9" s="213"/>
      <c r="ACG9" s="213"/>
      <c r="ACT9" s="213"/>
      <c r="ADG9" s="213"/>
      <c r="ADT9" s="213"/>
      <c r="AEG9" s="213"/>
      <c r="AET9" s="213"/>
      <c r="AFG9" s="213"/>
      <c r="AFT9" s="213"/>
      <c r="AGG9" s="213"/>
      <c r="AGT9" s="213"/>
      <c r="AHG9" s="213"/>
      <c r="AHT9" s="213"/>
      <c r="AIG9" s="213"/>
      <c r="AIT9" s="213"/>
      <c r="AJG9" s="213"/>
      <c r="AJT9" s="213"/>
      <c r="AKG9" s="213"/>
      <c r="AKT9" s="213"/>
      <c r="ALG9" s="213"/>
      <c r="ALT9" s="213"/>
      <c r="AMG9" s="213"/>
      <c r="AMT9" s="213"/>
      <c r="ANG9" s="213"/>
      <c r="ANT9" s="213"/>
      <c r="AOG9" s="213"/>
      <c r="AOT9" s="213"/>
      <c r="APG9" s="213"/>
      <c r="APT9" s="213"/>
      <c r="AQG9" s="213"/>
      <c r="AQT9" s="213"/>
      <c r="ARG9" s="213"/>
      <c r="ART9" s="213"/>
      <c r="ASG9" s="213"/>
      <c r="AST9" s="213"/>
      <c r="ATG9" s="213"/>
      <c r="ATT9" s="213"/>
      <c r="AUG9" s="213"/>
      <c r="AUT9" s="213"/>
      <c r="AVG9" s="213"/>
      <c r="AVT9" s="213"/>
      <c r="AWG9" s="213"/>
      <c r="AWT9" s="213"/>
      <c r="AXG9" s="213"/>
      <c r="AXT9" s="213"/>
      <c r="AYG9" s="213"/>
      <c r="AYT9" s="213"/>
      <c r="AZG9" s="213"/>
      <c r="AZT9" s="213"/>
      <c r="BAG9" s="213"/>
      <c r="BAT9" s="213"/>
      <c r="BBG9" s="213"/>
      <c r="BBT9" s="213"/>
      <c r="BCG9" s="213"/>
      <c r="BCT9" s="213"/>
      <c r="BDG9" s="213"/>
      <c r="BDT9" s="213"/>
      <c r="BEG9" s="213"/>
      <c r="BET9" s="213"/>
      <c r="BFG9" s="213"/>
      <c r="BFT9" s="213"/>
      <c r="BGG9" s="213"/>
      <c r="BGT9" s="213"/>
      <c r="BHG9" s="213"/>
      <c r="BHT9" s="213"/>
      <c r="BIG9" s="213"/>
      <c r="BIT9" s="213"/>
      <c r="BJG9" s="213"/>
      <c r="BJT9" s="213"/>
      <c r="BKG9" s="213"/>
      <c r="BKT9" s="213"/>
      <c r="BLG9" s="213"/>
      <c r="BLT9" s="213"/>
      <c r="BMG9" s="213"/>
      <c r="BMT9" s="213"/>
      <c r="BNG9" s="213"/>
      <c r="BNT9" s="213"/>
      <c r="BOG9" s="213"/>
      <c r="BOT9" s="213"/>
      <c r="BPG9" s="213"/>
      <c r="BPT9" s="213"/>
      <c r="BQG9" s="213"/>
      <c r="BQT9" s="213"/>
      <c r="BRG9" s="213"/>
      <c r="BRT9" s="213"/>
      <c r="BSG9" s="213"/>
      <c r="BST9" s="213"/>
      <c r="BTG9" s="213"/>
      <c r="BTT9" s="213"/>
      <c r="BUG9" s="213"/>
      <c r="BUT9" s="213"/>
      <c r="BVG9" s="213"/>
      <c r="BVT9" s="213"/>
      <c r="BWG9" s="213"/>
      <c r="BWT9" s="213"/>
      <c r="BXG9" s="213"/>
      <c r="BXT9" s="213"/>
      <c r="BYG9" s="213"/>
      <c r="BYT9" s="213"/>
      <c r="BZG9" s="213"/>
      <c r="BZT9" s="213"/>
      <c r="CAG9" s="213"/>
      <c r="CAT9" s="213"/>
      <c r="CBG9" s="213"/>
      <c r="CBT9" s="213"/>
      <c r="CCG9" s="213"/>
      <c r="CCT9" s="213"/>
      <c r="CDG9" s="213"/>
      <c r="CDT9" s="213"/>
      <c r="CEG9" s="213"/>
      <c r="CET9" s="213"/>
      <c r="CFG9" s="213"/>
      <c r="CFT9" s="213"/>
      <c r="CGG9" s="213"/>
      <c r="CGT9" s="213"/>
      <c r="CHG9" s="213"/>
      <c r="CHT9" s="213"/>
      <c r="CIG9" s="213"/>
      <c r="CIT9" s="213"/>
      <c r="CJG9" s="213"/>
      <c r="CJT9" s="213"/>
      <c r="CKG9" s="213"/>
      <c r="CKT9" s="213"/>
      <c r="CLG9" s="213"/>
      <c r="CLT9" s="213"/>
      <c r="CMG9" s="213"/>
      <c r="CMT9" s="213"/>
      <c r="CNG9" s="213"/>
      <c r="CNT9" s="213"/>
      <c r="COG9" s="213"/>
      <c r="COT9" s="213"/>
      <c r="CPG9" s="213"/>
      <c r="CPT9" s="213"/>
      <c r="CQG9" s="213"/>
      <c r="CQT9" s="213"/>
      <c r="CRG9" s="213"/>
      <c r="CRT9" s="213"/>
      <c r="CSG9" s="213"/>
      <c r="CST9" s="213"/>
      <c r="CTG9" s="213"/>
      <c r="CTT9" s="213"/>
      <c r="CUG9" s="213"/>
      <c r="CUT9" s="213"/>
      <c r="CVG9" s="213"/>
      <c r="CVT9" s="213"/>
      <c r="CWG9" s="213"/>
      <c r="CWT9" s="213"/>
      <c r="CXG9" s="213"/>
      <c r="CXT9" s="213"/>
      <c r="CYG9" s="213"/>
      <c r="CYT9" s="213"/>
      <c r="CZG9" s="213"/>
      <c r="CZT9" s="213"/>
      <c r="DAG9" s="213"/>
      <c r="DAT9" s="213"/>
      <c r="DBG9" s="213"/>
      <c r="DBT9" s="213"/>
      <c r="DCG9" s="213"/>
      <c r="DCT9" s="213"/>
      <c r="DDG9" s="213"/>
      <c r="DDT9" s="213"/>
      <c r="DEG9" s="213"/>
      <c r="DET9" s="213"/>
      <c r="DFG9" s="213"/>
      <c r="DFT9" s="213"/>
      <c r="DGG9" s="213"/>
      <c r="DGT9" s="213"/>
      <c r="DHG9" s="213"/>
      <c r="DHT9" s="213"/>
      <c r="DIG9" s="213"/>
      <c r="DIT9" s="213"/>
      <c r="DJG9" s="213"/>
      <c r="DJT9" s="213"/>
      <c r="DKG9" s="213"/>
      <c r="DKT9" s="213"/>
      <c r="DLG9" s="213"/>
      <c r="DLT9" s="213"/>
      <c r="DMG9" s="213"/>
      <c r="DMT9" s="213"/>
      <c r="DNG9" s="213"/>
      <c r="DNT9" s="213"/>
      <c r="DOG9" s="213"/>
      <c r="DOT9" s="213"/>
      <c r="DPG9" s="213"/>
      <c r="DPT9" s="213"/>
      <c r="DQG9" s="213"/>
      <c r="DQT9" s="213"/>
      <c r="DRG9" s="213"/>
      <c r="DRT9" s="213"/>
      <c r="DSG9" s="213"/>
      <c r="DST9" s="213"/>
      <c r="DTG9" s="213"/>
      <c r="DTT9" s="213"/>
      <c r="DUG9" s="213"/>
      <c r="DUT9" s="213"/>
      <c r="DVG9" s="213"/>
      <c r="DVT9" s="213"/>
      <c r="DWG9" s="213"/>
      <c r="DWT9" s="213"/>
      <c r="DXG9" s="213"/>
      <c r="DXT9" s="213"/>
      <c r="DYG9" s="213"/>
      <c r="DYT9" s="213"/>
      <c r="DZG9" s="213"/>
      <c r="DZT9" s="213"/>
      <c r="EAG9" s="213"/>
      <c r="EAT9" s="213"/>
      <c r="EBG9" s="213"/>
      <c r="EBT9" s="213"/>
      <c r="ECG9" s="213"/>
      <c r="ECT9" s="213"/>
      <c r="EDG9" s="213"/>
      <c r="EDT9" s="213"/>
      <c r="EEG9" s="213"/>
      <c r="EET9" s="213"/>
      <c r="EFG9" s="213"/>
      <c r="EFT9" s="213"/>
      <c r="EGG9" s="213"/>
      <c r="EGT9" s="213"/>
      <c r="EHG9" s="213"/>
      <c r="EHT9" s="213"/>
      <c r="EIG9" s="213"/>
      <c r="EIT9" s="213"/>
      <c r="EJG9" s="213"/>
      <c r="EJT9" s="213"/>
      <c r="EKG9" s="213"/>
      <c r="EKT9" s="213"/>
      <c r="ELG9" s="213"/>
      <c r="ELT9" s="213"/>
      <c r="EMG9" s="213"/>
      <c r="EMT9" s="213"/>
      <c r="ENG9" s="213"/>
      <c r="ENT9" s="213"/>
      <c r="EOG9" s="213"/>
      <c r="EOT9" s="213"/>
      <c r="EPG9" s="213"/>
      <c r="EPT9" s="213"/>
      <c r="EQG9" s="213"/>
      <c r="EQT9" s="213"/>
      <c r="ERG9" s="213"/>
      <c r="ERT9" s="213"/>
      <c r="ESG9" s="213"/>
      <c r="EST9" s="213"/>
      <c r="ETG9" s="213"/>
      <c r="ETT9" s="213"/>
      <c r="EUG9" s="213"/>
      <c r="EUT9" s="213"/>
      <c r="EVG9" s="213"/>
      <c r="EVT9" s="213"/>
      <c r="EWG9" s="213"/>
      <c r="EWT9" s="213"/>
      <c r="EXG9" s="213"/>
      <c r="EXT9" s="213"/>
      <c r="EYG9" s="213"/>
      <c r="EYT9" s="213"/>
      <c r="EZG9" s="213"/>
      <c r="EZT9" s="213"/>
      <c r="FAG9" s="213"/>
      <c r="FAT9" s="213"/>
      <c r="FBG9" s="213"/>
      <c r="FBT9" s="213"/>
      <c r="FCG9" s="213"/>
      <c r="FCT9" s="213"/>
      <c r="FDG9" s="213"/>
      <c r="FDT9" s="213"/>
      <c r="FEG9" s="213"/>
      <c r="FET9" s="213"/>
      <c r="FFG9" s="213"/>
      <c r="FFT9" s="213"/>
      <c r="FGG9" s="213"/>
      <c r="FGT9" s="213"/>
      <c r="FHG9" s="213"/>
      <c r="FHT9" s="213"/>
      <c r="FIG9" s="213"/>
      <c r="FIT9" s="213"/>
      <c r="FJG9" s="213"/>
      <c r="FJT9" s="213"/>
      <c r="FKG9" s="213"/>
      <c r="FKT9" s="213"/>
      <c r="FLG9" s="213"/>
      <c r="FLT9" s="213"/>
      <c r="FMG9" s="213"/>
      <c r="FMT9" s="213"/>
      <c r="FNG9" s="213"/>
      <c r="FNT9" s="213"/>
      <c r="FOG9" s="213"/>
      <c r="FOT9" s="213"/>
      <c r="FPG9" s="213"/>
      <c r="FPT9" s="213"/>
      <c r="FQG9" s="213"/>
      <c r="FQT9" s="213"/>
      <c r="FRG9" s="213"/>
      <c r="FRT9" s="213"/>
      <c r="FSG9" s="213"/>
      <c r="FST9" s="213"/>
      <c r="FTG9" s="213"/>
      <c r="FTT9" s="213"/>
      <c r="FUG9" s="213"/>
      <c r="FUT9" s="213"/>
      <c r="FVG9" s="213"/>
      <c r="FVT9" s="213"/>
      <c r="FWG9" s="213"/>
      <c r="FWT9" s="213"/>
      <c r="FXG9" s="213"/>
      <c r="FXT9" s="213"/>
      <c r="FYG9" s="213"/>
      <c r="FYT9" s="213"/>
      <c r="FZG9" s="213"/>
      <c r="FZT9" s="213"/>
      <c r="GAG9" s="213"/>
      <c r="GAT9" s="213"/>
      <c r="GBG9" s="213"/>
      <c r="GBT9" s="213"/>
      <c r="GCG9" s="213"/>
      <c r="GCT9" s="213"/>
      <c r="GDG9" s="213"/>
      <c r="GDT9" s="213"/>
      <c r="GEG9" s="213"/>
      <c r="GET9" s="213"/>
      <c r="GFG9" s="213"/>
      <c r="GFT9" s="213"/>
      <c r="GGG9" s="213"/>
      <c r="GGT9" s="213"/>
      <c r="GHG9" s="213"/>
      <c r="GHT9" s="213"/>
      <c r="GIG9" s="213"/>
      <c r="GIT9" s="213"/>
      <c r="GJG9" s="213"/>
      <c r="GJT9" s="213"/>
      <c r="GKG9" s="213"/>
      <c r="GKT9" s="213"/>
      <c r="GLG9" s="213"/>
      <c r="GLT9" s="213"/>
      <c r="GMG9" s="213"/>
      <c r="GMT9" s="213"/>
      <c r="GNG9" s="213"/>
      <c r="GNT9" s="213"/>
      <c r="GOG9" s="213"/>
      <c r="GOT9" s="213"/>
      <c r="GPG9" s="213"/>
      <c r="GPT9" s="213"/>
      <c r="GQG9" s="213"/>
      <c r="GQT9" s="213"/>
      <c r="GRG9" s="213"/>
      <c r="GRT9" s="213"/>
      <c r="GSG9" s="213"/>
      <c r="GST9" s="213"/>
      <c r="GTG9" s="213"/>
      <c r="GTT9" s="213"/>
      <c r="GUG9" s="213"/>
      <c r="GUT9" s="213"/>
      <c r="GVG9" s="213"/>
      <c r="GVT9" s="213"/>
      <c r="GWG9" s="213"/>
      <c r="GWT9" s="213"/>
      <c r="GXG9" s="213"/>
      <c r="GXT9" s="213"/>
      <c r="GYG9" s="213"/>
      <c r="GYT9" s="213"/>
      <c r="GZG9" s="213"/>
      <c r="GZT9" s="213"/>
      <c r="HAG9" s="213"/>
      <c r="HAT9" s="213"/>
      <c r="HBG9" s="213"/>
      <c r="HBT9" s="213"/>
      <c r="HCG9" s="213"/>
      <c r="HCT9" s="213"/>
      <c r="HDG9" s="213"/>
      <c r="HDT9" s="213"/>
      <c r="HEG9" s="213"/>
      <c r="HET9" s="213"/>
      <c r="HFG9" s="213"/>
      <c r="HFT9" s="213"/>
      <c r="HGG9" s="213"/>
      <c r="HGT9" s="213"/>
      <c r="HHG9" s="213"/>
      <c r="HHT9" s="213"/>
      <c r="HIG9" s="213"/>
      <c r="HIT9" s="213"/>
      <c r="HJG9" s="213"/>
      <c r="HJT9" s="213"/>
      <c r="HKG9" s="213"/>
      <c r="HKT9" s="213"/>
      <c r="HLG9" s="213"/>
      <c r="HLT9" s="213"/>
      <c r="HMG9" s="213"/>
      <c r="HMT9" s="213"/>
      <c r="HNG9" s="213"/>
      <c r="HNT9" s="213"/>
      <c r="HOG9" s="213"/>
      <c r="HOT9" s="213"/>
      <c r="HPG9" s="213"/>
      <c r="HPT9" s="213"/>
      <c r="HQG9" s="213"/>
      <c r="HQT9" s="213"/>
      <c r="HRG9" s="213"/>
      <c r="HRT9" s="213"/>
      <c r="HSG9" s="213"/>
      <c r="HST9" s="213"/>
      <c r="HTG9" s="213"/>
      <c r="HTT9" s="213"/>
      <c r="HUG9" s="213"/>
      <c r="HUT9" s="213"/>
      <c r="HVG9" s="213"/>
      <c r="HVT9" s="213"/>
      <c r="HWG9" s="213"/>
      <c r="HWT9" s="213"/>
      <c r="HXG9" s="213"/>
      <c r="HXT9" s="213"/>
      <c r="HYG9" s="213"/>
      <c r="HYT9" s="213"/>
      <c r="HZG9" s="213"/>
      <c r="HZT9" s="213"/>
      <c r="IAG9" s="213"/>
      <c r="IAT9" s="213"/>
      <c r="IBG9" s="213"/>
      <c r="IBT9" s="213"/>
      <c r="ICG9" s="213"/>
      <c r="ICT9" s="213"/>
      <c r="IDG9" s="213"/>
      <c r="IDT9" s="213"/>
      <c r="IEG9" s="213"/>
      <c r="IET9" s="213"/>
      <c r="IFG9" s="213"/>
      <c r="IFT9" s="213"/>
      <c r="IGG9" s="213"/>
      <c r="IGT9" s="213"/>
      <c r="IHG9" s="213"/>
      <c r="IHT9" s="213"/>
      <c r="IIG9" s="213"/>
      <c r="IIT9" s="213"/>
      <c r="IJG9" s="213"/>
      <c r="IJT9" s="213"/>
      <c r="IKG9" s="213"/>
      <c r="IKT9" s="213"/>
      <c r="ILG9" s="213"/>
      <c r="ILT9" s="213"/>
      <c r="IMG9" s="213"/>
      <c r="IMT9" s="213"/>
      <c r="ING9" s="213"/>
      <c r="INT9" s="213"/>
      <c r="IOG9" s="213"/>
      <c r="IOT9" s="213"/>
      <c r="IPG9" s="213"/>
      <c r="IPT9" s="213"/>
      <c r="IQG9" s="213"/>
      <c r="IQT9" s="213"/>
      <c r="IRG9" s="213"/>
      <c r="IRT9" s="213"/>
      <c r="ISG9" s="213"/>
      <c r="IST9" s="213"/>
      <c r="ITG9" s="213"/>
      <c r="ITT9" s="213"/>
      <c r="IUG9" s="213"/>
      <c r="IUT9" s="213"/>
      <c r="IVG9" s="213"/>
      <c r="IVT9" s="213"/>
      <c r="IWG9" s="213"/>
      <c r="IWT9" s="213"/>
      <c r="IXG9" s="213"/>
      <c r="IXT9" s="213"/>
      <c r="IYG9" s="213"/>
      <c r="IYT9" s="213"/>
      <c r="IZG9" s="213"/>
      <c r="IZT9" s="213"/>
      <c r="JAG9" s="213"/>
      <c r="JAT9" s="213"/>
      <c r="JBG9" s="213"/>
      <c r="JBT9" s="213"/>
      <c r="JCG9" s="213"/>
      <c r="JCT9" s="213"/>
      <c r="JDG9" s="213"/>
      <c r="JDT9" s="213"/>
      <c r="JEG9" s="213"/>
      <c r="JET9" s="213"/>
      <c r="JFG9" s="213"/>
      <c r="JFT9" s="213"/>
      <c r="JGG9" s="213"/>
      <c r="JGT9" s="213"/>
      <c r="JHG9" s="213"/>
      <c r="JHT9" s="213"/>
      <c r="JIG9" s="213"/>
      <c r="JIT9" s="213"/>
      <c r="JJG9" s="213"/>
      <c r="JJT9" s="213"/>
      <c r="JKG9" s="213"/>
      <c r="JKT9" s="213"/>
      <c r="JLG9" s="213"/>
      <c r="JLT9" s="213"/>
      <c r="JMG9" s="213"/>
      <c r="JMT9" s="213"/>
      <c r="JNG9" s="213"/>
      <c r="JNT9" s="213"/>
      <c r="JOG9" s="213"/>
      <c r="JOT9" s="213"/>
      <c r="JPG9" s="213"/>
      <c r="JPT9" s="213"/>
      <c r="JQG9" s="213"/>
      <c r="JQT9" s="213"/>
      <c r="JRG9" s="213"/>
      <c r="JRT9" s="213"/>
      <c r="JSG9" s="213"/>
      <c r="JST9" s="213"/>
      <c r="JTG9" s="213"/>
      <c r="JTT9" s="213"/>
      <c r="JUG9" s="213"/>
      <c r="JUT9" s="213"/>
      <c r="JVG9" s="213"/>
      <c r="JVT9" s="213"/>
      <c r="JWG9" s="213"/>
      <c r="JWT9" s="213"/>
      <c r="JXG9" s="213"/>
      <c r="JXT9" s="213"/>
      <c r="JYG9" s="213"/>
      <c r="JYT9" s="213"/>
      <c r="JZG9" s="213"/>
      <c r="JZT9" s="213"/>
      <c r="KAG9" s="213"/>
      <c r="KAT9" s="213"/>
      <c r="KBG9" s="213"/>
      <c r="KBT9" s="213"/>
      <c r="KCG9" s="213"/>
      <c r="KCT9" s="213"/>
      <c r="KDG9" s="213"/>
      <c r="KDT9" s="213"/>
      <c r="KEG9" s="213"/>
      <c r="KET9" s="213"/>
      <c r="KFG9" s="213"/>
      <c r="KFT9" s="213"/>
      <c r="KGG9" s="213"/>
      <c r="KGT9" s="213"/>
      <c r="KHG9" s="213"/>
      <c r="KHT9" s="213"/>
      <c r="KIG9" s="213"/>
      <c r="KIT9" s="213"/>
      <c r="KJG9" s="213"/>
      <c r="KJT9" s="213"/>
      <c r="KKG9" s="213"/>
      <c r="KKT9" s="213"/>
      <c r="KLG9" s="213"/>
      <c r="KLT9" s="213"/>
      <c r="KMG9" s="213"/>
      <c r="KMT9" s="213"/>
      <c r="KNG9" s="213"/>
      <c r="KNT9" s="213"/>
      <c r="KOG9" s="213"/>
      <c r="KOT9" s="213"/>
      <c r="KPG9" s="213"/>
      <c r="KPT9" s="213"/>
      <c r="KQG9" s="213"/>
      <c r="KQT9" s="213"/>
      <c r="KRG9" s="213"/>
      <c r="KRT9" s="213"/>
      <c r="KSG9" s="213"/>
      <c r="KST9" s="213"/>
      <c r="KTG9" s="213"/>
      <c r="KTT9" s="213"/>
      <c r="KUG9" s="213"/>
      <c r="KUT9" s="213"/>
      <c r="KVG9" s="213"/>
      <c r="KVT9" s="213"/>
      <c r="KWG9" s="213"/>
      <c r="KWT9" s="213"/>
      <c r="KXG9" s="213"/>
      <c r="KXT9" s="213"/>
      <c r="KYG9" s="213"/>
      <c r="KYT9" s="213"/>
      <c r="KZG9" s="213"/>
      <c r="KZT9" s="213"/>
      <c r="LAG9" s="213"/>
      <c r="LAT9" s="213"/>
      <c r="LBG9" s="213"/>
      <c r="LBT9" s="213"/>
      <c r="LCG9" s="213"/>
      <c r="LCT9" s="213"/>
      <c r="LDG9" s="213"/>
      <c r="LDT9" s="213"/>
      <c r="LEG9" s="213"/>
      <c r="LET9" s="213"/>
      <c r="LFG9" s="213"/>
      <c r="LFT9" s="213"/>
      <c r="LGG9" s="213"/>
      <c r="LGT9" s="213"/>
      <c r="LHG9" s="213"/>
      <c r="LHT9" s="213"/>
      <c r="LIG9" s="213"/>
      <c r="LIT9" s="213"/>
      <c r="LJG9" s="213"/>
      <c r="LJT9" s="213"/>
      <c r="LKG9" s="213"/>
      <c r="LKT9" s="213"/>
      <c r="LLG9" s="213"/>
      <c r="LLT9" s="213"/>
      <c r="LMG9" s="213"/>
      <c r="LMT9" s="213"/>
      <c r="LNG9" s="213"/>
      <c r="LNT9" s="213"/>
      <c r="LOG9" s="213"/>
      <c r="LOT9" s="213"/>
      <c r="LPG9" s="213"/>
      <c r="LPT9" s="213"/>
      <c r="LQG9" s="213"/>
      <c r="LQT9" s="213"/>
      <c r="LRG9" s="213"/>
      <c r="LRT9" s="213"/>
      <c r="LSG9" s="213"/>
      <c r="LST9" s="213"/>
      <c r="LTG9" s="213"/>
      <c r="LTT9" s="213"/>
      <c r="LUG9" s="213"/>
      <c r="LUT9" s="213"/>
      <c r="LVG9" s="213"/>
      <c r="LVT9" s="213"/>
      <c r="LWG9" s="213"/>
      <c r="LWT9" s="213"/>
      <c r="LXG9" s="213"/>
      <c r="LXT9" s="213"/>
      <c r="LYG9" s="213"/>
      <c r="LYT9" s="213"/>
      <c r="LZG9" s="213"/>
      <c r="LZT9" s="213"/>
      <c r="MAG9" s="213"/>
      <c r="MAT9" s="213"/>
      <c r="MBG9" s="213"/>
      <c r="MBT9" s="213"/>
      <c r="MCG9" s="213"/>
      <c r="MCT9" s="213"/>
      <c r="MDG9" s="213"/>
      <c r="MDT9" s="213"/>
      <c r="MEG9" s="213"/>
      <c r="MET9" s="213"/>
      <c r="MFG9" s="213"/>
      <c r="MFT9" s="213"/>
      <c r="MGG9" s="213"/>
      <c r="MGT9" s="213"/>
      <c r="MHG9" s="213"/>
      <c r="MHT9" s="213"/>
      <c r="MIG9" s="213"/>
      <c r="MIT9" s="213"/>
      <c r="MJG9" s="213"/>
      <c r="MJT9" s="213"/>
      <c r="MKG9" s="213"/>
      <c r="MKT9" s="213"/>
      <c r="MLG9" s="213"/>
      <c r="MLT9" s="213"/>
      <c r="MMG9" s="213"/>
      <c r="MMT9" s="213"/>
      <c r="MNG9" s="213"/>
      <c r="MNT9" s="213"/>
      <c r="MOG9" s="213"/>
      <c r="MOT9" s="213"/>
      <c r="MPG9" s="213"/>
      <c r="MPT9" s="213"/>
      <c r="MQG9" s="213"/>
      <c r="MQT9" s="213"/>
      <c r="MRG9" s="213"/>
      <c r="MRT9" s="213"/>
      <c r="MSG9" s="213"/>
      <c r="MST9" s="213"/>
      <c r="MTG9" s="213"/>
      <c r="MTT9" s="213"/>
      <c r="MUG9" s="213"/>
      <c r="MUT9" s="213"/>
      <c r="MVG9" s="213"/>
      <c r="MVT9" s="213"/>
      <c r="MWG9" s="213"/>
      <c r="MWT9" s="213"/>
      <c r="MXG9" s="213"/>
      <c r="MXT9" s="213"/>
      <c r="MYG9" s="213"/>
      <c r="MYT9" s="213"/>
      <c r="MZG9" s="213"/>
      <c r="MZT9" s="213"/>
      <c r="NAG9" s="213"/>
      <c r="NAT9" s="213"/>
      <c r="NBG9" s="213"/>
      <c r="NBT9" s="213"/>
      <c r="NCG9" s="213"/>
      <c r="NCT9" s="213"/>
      <c r="NDG9" s="213"/>
      <c r="NDT9" s="213"/>
      <c r="NEG9" s="213"/>
      <c r="NET9" s="213"/>
      <c r="NFG9" s="213"/>
      <c r="NFT9" s="213"/>
      <c r="NGG9" s="213"/>
      <c r="NGT9" s="213"/>
      <c r="NHG9" s="213"/>
      <c r="NHT9" s="213"/>
      <c r="NIG9" s="213"/>
      <c r="NIT9" s="213"/>
      <c r="NJG9" s="213"/>
      <c r="NJT9" s="213"/>
      <c r="NKG9" s="213"/>
      <c r="NKT9" s="213"/>
      <c r="NLG9" s="213"/>
      <c r="NLT9" s="213"/>
      <c r="NMG9" s="213"/>
      <c r="NMT9" s="213"/>
      <c r="NNG9" s="213"/>
      <c r="NNT9" s="213"/>
      <c r="NOG9" s="213"/>
      <c r="NOT9" s="213"/>
      <c r="NPG9" s="213"/>
      <c r="NPT9" s="213"/>
      <c r="NQG9" s="213"/>
      <c r="NQT9" s="213"/>
      <c r="NRG9" s="213"/>
      <c r="NRT9" s="213"/>
      <c r="NSG9" s="213"/>
      <c r="NST9" s="213"/>
      <c r="NTG9" s="213"/>
      <c r="NTT9" s="213"/>
      <c r="NUG9" s="213"/>
      <c r="NUT9" s="213"/>
      <c r="NVG9" s="213"/>
      <c r="NVT9" s="213"/>
      <c r="NWG9" s="213"/>
      <c r="NWT9" s="213"/>
      <c r="NXG9" s="213"/>
      <c r="NXT9" s="213"/>
      <c r="NYG9" s="213"/>
      <c r="NYT9" s="213"/>
      <c r="NZG9" s="213"/>
      <c r="NZT9" s="213"/>
      <c r="OAG9" s="213"/>
      <c r="OAT9" s="213"/>
      <c r="OBG9" s="213"/>
      <c r="OBT9" s="213"/>
      <c r="OCG9" s="213"/>
      <c r="OCT9" s="213"/>
      <c r="ODG9" s="213"/>
      <c r="ODT9" s="213"/>
      <c r="OEG9" s="213"/>
      <c r="OET9" s="213"/>
      <c r="OFG9" s="213"/>
      <c r="OFT9" s="213"/>
      <c r="OGG9" s="213"/>
      <c r="OGT9" s="213"/>
      <c r="OHG9" s="213"/>
      <c r="OHT9" s="213"/>
      <c r="OIG9" s="213"/>
      <c r="OIT9" s="213"/>
      <c r="OJG9" s="213"/>
      <c r="OJT9" s="213"/>
      <c r="OKG9" s="213"/>
      <c r="OKT9" s="213"/>
      <c r="OLG9" s="213"/>
      <c r="OLT9" s="213"/>
      <c r="OMG9" s="213"/>
      <c r="OMT9" s="213"/>
      <c r="ONG9" s="213"/>
      <c r="ONT9" s="213"/>
      <c r="OOG9" s="213"/>
      <c r="OOT9" s="213"/>
      <c r="OPG9" s="213"/>
      <c r="OPT9" s="213"/>
      <c r="OQG9" s="213"/>
      <c r="OQT9" s="213"/>
      <c r="ORG9" s="213"/>
      <c r="ORT9" s="213"/>
      <c r="OSG9" s="213"/>
      <c r="OST9" s="213"/>
      <c r="OTG9" s="213"/>
      <c r="OTT9" s="213"/>
      <c r="OUG9" s="213"/>
      <c r="OUT9" s="213"/>
      <c r="OVG9" s="213"/>
      <c r="OVT9" s="213"/>
      <c r="OWG9" s="213"/>
      <c r="OWT9" s="213"/>
      <c r="OXG9" s="213"/>
      <c r="OXT9" s="213"/>
      <c r="OYG9" s="213"/>
      <c r="OYT9" s="213"/>
      <c r="OZG9" s="213"/>
      <c r="OZT9" s="213"/>
      <c r="PAG9" s="213"/>
      <c r="PAT9" s="213"/>
      <c r="PBG9" s="213"/>
      <c r="PBT9" s="213"/>
      <c r="PCG9" s="213"/>
      <c r="PCT9" s="213"/>
      <c r="PDG9" s="213"/>
      <c r="PDT9" s="213"/>
      <c r="PEG9" s="213"/>
      <c r="PET9" s="213"/>
      <c r="PFG9" s="213"/>
      <c r="PFT9" s="213"/>
      <c r="PGG9" s="213"/>
      <c r="PGT9" s="213"/>
      <c r="PHG9" s="213"/>
      <c r="PHT9" s="213"/>
      <c r="PIG9" s="213"/>
      <c r="PIT9" s="213"/>
      <c r="PJG9" s="213"/>
      <c r="PJT9" s="213"/>
      <c r="PKG9" s="213"/>
      <c r="PKT9" s="213"/>
      <c r="PLG9" s="213"/>
      <c r="PLT9" s="213"/>
      <c r="PMG9" s="213"/>
      <c r="PMT9" s="213"/>
      <c r="PNG9" s="213"/>
      <c r="PNT9" s="213"/>
      <c r="POG9" s="213"/>
      <c r="POT9" s="213"/>
      <c r="PPG9" s="213"/>
      <c r="PPT9" s="213"/>
      <c r="PQG9" s="213"/>
      <c r="PQT9" s="213"/>
      <c r="PRG9" s="213"/>
      <c r="PRT9" s="213"/>
      <c r="PSG9" s="213"/>
      <c r="PST9" s="213"/>
      <c r="PTG9" s="213"/>
      <c r="PTT9" s="213"/>
      <c r="PUG9" s="213"/>
      <c r="PUT9" s="213"/>
      <c r="PVG9" s="213"/>
      <c r="PVT9" s="213"/>
      <c r="PWG9" s="213"/>
      <c r="PWT9" s="213"/>
      <c r="PXG9" s="213"/>
      <c r="PXT9" s="213"/>
      <c r="PYG9" s="213"/>
      <c r="PYT9" s="213"/>
      <c r="PZG9" s="213"/>
      <c r="PZT9" s="213"/>
      <c r="QAG9" s="213"/>
      <c r="QAT9" s="213"/>
      <c r="QBG9" s="213"/>
      <c r="QBT9" s="213"/>
      <c r="QCG9" s="213"/>
      <c r="QCT9" s="213"/>
      <c r="QDG9" s="213"/>
      <c r="QDT9" s="213"/>
      <c r="QEG9" s="213"/>
      <c r="QET9" s="213"/>
      <c r="QFG9" s="213"/>
      <c r="QFT9" s="213"/>
      <c r="QGG9" s="213"/>
      <c r="QGT9" s="213"/>
      <c r="QHG9" s="213"/>
      <c r="QHT9" s="213"/>
      <c r="QIG9" s="213"/>
      <c r="QIT9" s="213"/>
      <c r="QJG9" s="213"/>
      <c r="QJT9" s="213"/>
      <c r="QKG9" s="213"/>
      <c r="QKT9" s="213"/>
      <c r="QLG9" s="213"/>
      <c r="QLT9" s="213"/>
      <c r="QMG9" s="213"/>
      <c r="QMT9" s="213"/>
      <c r="QNG9" s="213"/>
      <c r="QNT9" s="213"/>
      <c r="QOG9" s="213"/>
      <c r="QOT9" s="213"/>
      <c r="QPG9" s="213"/>
      <c r="QPT9" s="213"/>
      <c r="QQG9" s="213"/>
      <c r="QQT9" s="213"/>
      <c r="QRG9" s="213"/>
      <c r="QRT9" s="213"/>
      <c r="QSG9" s="213"/>
      <c r="QST9" s="213"/>
      <c r="QTG9" s="213"/>
      <c r="QTT9" s="213"/>
      <c r="QUG9" s="213"/>
      <c r="QUT9" s="213"/>
      <c r="QVG9" s="213"/>
      <c r="QVT9" s="213"/>
      <c r="QWG9" s="213"/>
      <c r="QWT9" s="213"/>
      <c r="QXG9" s="213"/>
      <c r="QXT9" s="213"/>
      <c r="QYG9" s="213"/>
      <c r="QYT9" s="213"/>
      <c r="QZG9" s="213"/>
      <c r="QZT9" s="213"/>
      <c r="RAG9" s="213"/>
      <c r="RAT9" s="213"/>
      <c r="RBG9" s="213"/>
      <c r="RBT9" s="213"/>
      <c r="RCG9" s="213"/>
      <c r="RCT9" s="213"/>
      <c r="RDG9" s="213"/>
      <c r="RDT9" s="213"/>
      <c r="REG9" s="213"/>
      <c r="RET9" s="213"/>
      <c r="RFG9" s="213"/>
      <c r="RFT9" s="213"/>
      <c r="RGG9" s="213"/>
      <c r="RGT9" s="213"/>
      <c r="RHG9" s="213"/>
      <c r="RHT9" s="213"/>
      <c r="RIG9" s="213"/>
      <c r="RIT9" s="213"/>
      <c r="RJG9" s="213"/>
      <c r="RJT9" s="213"/>
      <c r="RKG9" s="213"/>
      <c r="RKT9" s="213"/>
      <c r="RLG9" s="213"/>
      <c r="RLT9" s="213"/>
      <c r="RMG9" s="213"/>
      <c r="RMT9" s="213"/>
      <c r="RNG9" s="213"/>
      <c r="RNT9" s="213"/>
      <c r="ROG9" s="213"/>
      <c r="ROT9" s="213"/>
      <c r="RPG9" s="213"/>
      <c r="RPT9" s="213"/>
      <c r="RQG9" s="213"/>
      <c r="RQT9" s="213"/>
      <c r="RRG9" s="213"/>
      <c r="RRT9" s="213"/>
      <c r="RSG9" s="213"/>
      <c r="RST9" s="213"/>
      <c r="RTG9" s="213"/>
      <c r="RTT9" s="213"/>
      <c r="RUG9" s="213"/>
      <c r="RUT9" s="213"/>
      <c r="RVG9" s="213"/>
      <c r="RVT9" s="213"/>
      <c r="RWG9" s="213"/>
      <c r="RWT9" s="213"/>
      <c r="RXG9" s="213"/>
      <c r="RXT9" s="213"/>
      <c r="RYG9" s="213"/>
      <c r="RYT9" s="213"/>
      <c r="RZG9" s="213"/>
      <c r="RZT9" s="213"/>
      <c r="SAG9" s="213"/>
      <c r="SAT9" s="213"/>
      <c r="SBG9" s="213"/>
      <c r="SBT9" s="213"/>
      <c r="SCG9" s="213"/>
      <c r="SCT9" s="213"/>
      <c r="SDG9" s="213"/>
      <c r="SDT9" s="213"/>
      <c r="SEG9" s="213"/>
      <c r="SET9" s="213"/>
      <c r="SFG9" s="213"/>
      <c r="SFT9" s="213"/>
      <c r="SGG9" s="213"/>
      <c r="SGT9" s="213"/>
      <c r="SHG9" s="213"/>
      <c r="SHT9" s="213"/>
      <c r="SIG9" s="213"/>
      <c r="SIT9" s="213"/>
      <c r="SJG9" s="213"/>
      <c r="SJT9" s="213"/>
      <c r="SKG9" s="213"/>
      <c r="SKT9" s="213"/>
      <c r="SLG9" s="213"/>
      <c r="SLT9" s="213"/>
      <c r="SMG9" s="213"/>
      <c r="SMT9" s="213"/>
      <c r="SNG9" s="213"/>
      <c r="SNT9" s="213"/>
      <c r="SOG9" s="213"/>
      <c r="SOT9" s="213"/>
      <c r="SPG9" s="213"/>
      <c r="SPT9" s="213"/>
      <c r="SQG9" s="213"/>
      <c r="SQT9" s="213"/>
      <c r="SRG9" s="213"/>
      <c r="SRT9" s="213"/>
      <c r="SSG9" s="213"/>
      <c r="SST9" s="213"/>
      <c r="STG9" s="213"/>
      <c r="STT9" s="213"/>
      <c r="SUG9" s="213"/>
      <c r="SUT9" s="213"/>
      <c r="SVG9" s="213"/>
      <c r="SVT9" s="213"/>
      <c r="SWG9" s="213"/>
      <c r="SWT9" s="213"/>
      <c r="SXG9" s="213"/>
      <c r="SXT9" s="213"/>
      <c r="SYG9" s="213"/>
      <c r="SYT9" s="213"/>
      <c r="SZG9" s="213"/>
      <c r="SZT9" s="213"/>
      <c r="TAG9" s="213"/>
      <c r="TAT9" s="213"/>
      <c r="TBG9" s="213"/>
      <c r="TBT9" s="213"/>
      <c r="TCG9" s="213"/>
      <c r="TCT9" s="213"/>
      <c r="TDG9" s="213"/>
      <c r="TDT9" s="213"/>
      <c r="TEG9" s="213"/>
      <c r="TET9" s="213"/>
      <c r="TFG9" s="213"/>
      <c r="TFT9" s="213"/>
      <c r="TGG9" s="213"/>
      <c r="TGT9" s="213"/>
      <c r="THG9" s="213"/>
      <c r="THT9" s="213"/>
      <c r="TIG9" s="213"/>
      <c r="TIT9" s="213"/>
      <c r="TJG9" s="213"/>
      <c r="TJT9" s="213"/>
      <c r="TKG9" s="213"/>
      <c r="TKT9" s="213"/>
      <c r="TLG9" s="213"/>
      <c r="TLT9" s="213"/>
      <c r="TMG9" s="213"/>
      <c r="TMT9" s="213"/>
      <c r="TNG9" s="213"/>
      <c r="TNT9" s="213"/>
      <c r="TOG9" s="213"/>
      <c r="TOT9" s="213"/>
      <c r="TPG9" s="213"/>
      <c r="TPT9" s="213"/>
      <c r="TQG9" s="213"/>
      <c r="TQT9" s="213"/>
      <c r="TRG9" s="213"/>
      <c r="TRT9" s="213"/>
      <c r="TSG9" s="213"/>
      <c r="TST9" s="213"/>
      <c r="TTG9" s="213"/>
      <c r="TTT9" s="213"/>
      <c r="TUG9" s="213"/>
      <c r="TUT9" s="213"/>
      <c r="TVG9" s="213"/>
      <c r="TVT9" s="213"/>
      <c r="TWG9" s="213"/>
      <c r="TWT9" s="213"/>
      <c r="TXG9" s="213"/>
      <c r="TXT9" s="213"/>
      <c r="TYG9" s="213"/>
      <c r="TYT9" s="213"/>
      <c r="TZG9" s="213"/>
      <c r="TZT9" s="213"/>
      <c r="UAG9" s="213"/>
      <c r="UAT9" s="213"/>
      <c r="UBG9" s="213"/>
      <c r="UBT9" s="213"/>
      <c r="UCG9" s="213"/>
      <c r="UCT9" s="213"/>
      <c r="UDG9" s="213"/>
      <c r="UDT9" s="213"/>
      <c r="UEG9" s="213"/>
      <c r="UET9" s="213"/>
      <c r="UFG9" s="213"/>
      <c r="UFT9" s="213"/>
      <c r="UGG9" s="213"/>
      <c r="UGT9" s="213"/>
      <c r="UHG9" s="213"/>
      <c r="UHT9" s="213"/>
      <c r="UIG9" s="213"/>
      <c r="UIT9" s="213"/>
      <c r="UJG9" s="213"/>
      <c r="UJT9" s="213"/>
      <c r="UKG9" s="213"/>
      <c r="UKT9" s="213"/>
      <c r="ULG9" s="213"/>
      <c r="ULT9" s="213"/>
      <c r="UMG9" s="213"/>
      <c r="UMT9" s="213"/>
      <c r="UNG9" s="213"/>
      <c r="UNT9" s="213"/>
      <c r="UOG9" s="213"/>
      <c r="UOT9" s="213"/>
      <c r="UPG9" s="213"/>
      <c r="UPT9" s="213"/>
      <c r="UQG9" s="213"/>
      <c r="UQT9" s="213"/>
      <c r="URG9" s="213"/>
      <c r="URT9" s="213"/>
      <c r="USG9" s="213"/>
      <c r="UST9" s="213"/>
      <c r="UTG9" s="213"/>
      <c r="UTT9" s="213"/>
      <c r="UUG9" s="213"/>
      <c r="UUT9" s="213"/>
      <c r="UVG9" s="213"/>
      <c r="UVT9" s="213"/>
      <c r="UWG9" s="213"/>
      <c r="UWT9" s="213"/>
      <c r="UXG9" s="213"/>
      <c r="UXT9" s="213"/>
      <c r="UYG9" s="213"/>
      <c r="UYT9" s="213"/>
      <c r="UZG9" s="213"/>
      <c r="UZT9" s="213"/>
      <c r="VAG9" s="213"/>
      <c r="VAT9" s="213"/>
      <c r="VBG9" s="213"/>
      <c r="VBT9" s="213"/>
      <c r="VCG9" s="213"/>
      <c r="VCT9" s="213"/>
      <c r="VDG9" s="213"/>
      <c r="VDT9" s="213"/>
      <c r="VEG9" s="213"/>
      <c r="VET9" s="213"/>
      <c r="VFG9" s="213"/>
      <c r="VFT9" s="213"/>
      <c r="VGG9" s="213"/>
      <c r="VGT9" s="213"/>
      <c r="VHG9" s="213"/>
      <c r="VHT9" s="213"/>
      <c r="VIG9" s="213"/>
      <c r="VIT9" s="213"/>
      <c r="VJG9" s="213"/>
      <c r="VJT9" s="213"/>
      <c r="VKG9" s="213"/>
      <c r="VKT9" s="213"/>
      <c r="VLG9" s="213"/>
      <c r="VLT9" s="213"/>
      <c r="VMG9" s="213"/>
      <c r="VMT9" s="213"/>
      <c r="VNG9" s="213"/>
      <c r="VNT9" s="213"/>
      <c r="VOG9" s="213"/>
      <c r="VOT9" s="213"/>
      <c r="VPG9" s="213"/>
      <c r="VPT9" s="213"/>
      <c r="VQG9" s="213"/>
      <c r="VQT9" s="213"/>
      <c r="VRG9" s="213"/>
      <c r="VRT9" s="213"/>
      <c r="VSG9" s="213"/>
      <c r="VST9" s="213"/>
      <c r="VTG9" s="213"/>
      <c r="VTT9" s="213"/>
      <c r="VUG9" s="213"/>
      <c r="VUT9" s="213"/>
      <c r="VVG9" s="213"/>
      <c r="VVT9" s="213"/>
      <c r="VWG9" s="213"/>
      <c r="VWT9" s="213"/>
      <c r="VXG9" s="213"/>
      <c r="VXT9" s="213"/>
      <c r="VYG9" s="213"/>
      <c r="VYT9" s="213"/>
      <c r="VZG9" s="213"/>
      <c r="VZT9" s="213"/>
      <c r="WAG9" s="213"/>
      <c r="WAT9" s="213"/>
      <c r="WBG9" s="213"/>
      <c r="WBT9" s="213"/>
      <c r="WCG9" s="213"/>
      <c r="WCT9" s="213"/>
      <c r="WDG9" s="213"/>
      <c r="WDT9" s="213"/>
      <c r="WEG9" s="213"/>
      <c r="WET9" s="213"/>
      <c r="WFG9" s="213"/>
      <c r="WFT9" s="213"/>
      <c r="WGG9" s="213"/>
      <c r="WGT9" s="213"/>
      <c r="WHG9" s="213"/>
      <c r="WHT9" s="213"/>
      <c r="WIG9" s="213"/>
      <c r="WIT9" s="213"/>
      <c r="WJG9" s="213"/>
      <c r="WJT9" s="213"/>
      <c r="WKG9" s="213"/>
      <c r="WKT9" s="213"/>
      <c r="WLG9" s="213"/>
      <c r="WLT9" s="213"/>
      <c r="WMG9" s="213"/>
      <c r="WMT9" s="213"/>
      <c r="WNG9" s="213"/>
      <c r="WNT9" s="213"/>
      <c r="WOG9" s="213"/>
      <c r="WOT9" s="213"/>
      <c r="WPG9" s="213"/>
      <c r="WPT9" s="213"/>
      <c r="WQG9" s="213"/>
      <c r="WQT9" s="213"/>
      <c r="WRG9" s="213"/>
      <c r="WRT9" s="213"/>
      <c r="WSG9" s="213"/>
      <c r="WST9" s="213"/>
      <c r="WTG9" s="213"/>
      <c r="WTT9" s="213"/>
      <c r="WUG9" s="213"/>
      <c r="WUT9" s="213"/>
      <c r="WVG9" s="213"/>
      <c r="WVT9" s="213"/>
      <c r="WWG9" s="213"/>
      <c r="WWT9" s="213"/>
      <c r="WXG9" s="213"/>
      <c r="WXT9" s="213"/>
      <c r="WYG9" s="213"/>
      <c r="WYT9" s="213"/>
      <c r="WZG9" s="213"/>
      <c r="WZT9" s="213"/>
      <c r="XAG9" s="213"/>
      <c r="XAT9" s="213"/>
      <c r="XBG9" s="213"/>
      <c r="XBT9" s="213"/>
      <c r="XCG9" s="213"/>
      <c r="XCT9" s="213"/>
      <c r="XDG9" s="213"/>
      <c r="XDT9" s="213"/>
      <c r="XEG9" s="213"/>
      <c r="XET9" s="213"/>
    </row>
    <row r="10" spans="1:1021 1034:2048 2061:3062 3075:4089 4102:5116 5129:6143 6156:7157 7170:8184 8197:9211 9224:10238 10251:11252 11265:12279 12292:13306 13319:14333 14346:15360 15373:16374" s="164" customFormat="1" ht="13" customHeight="1">
      <c r="A10" s="224"/>
      <c r="B10" s="16" t="str">
        <f>IF('Summary | Sumário'!D$6=Names!B$3,Names!M7,Names!N7)</f>
        <v>Expenses from services and commissions</v>
      </c>
      <c r="C10" s="215">
        <v>-56627.339</v>
      </c>
      <c r="D10" s="215">
        <v>-71611</v>
      </c>
      <c r="E10" s="215">
        <v>-100297</v>
      </c>
      <c r="F10" s="215">
        <v>-129233</v>
      </c>
      <c r="G10" s="215">
        <v>-135582</v>
      </c>
      <c r="H10" s="215">
        <v>-143430.21100000001</v>
      </c>
      <c r="I10" s="215">
        <v>-182202</v>
      </c>
      <c r="J10" s="215"/>
      <c r="K10" s="215">
        <v>-23279</v>
      </c>
      <c r="L10" s="215">
        <v>-21841</v>
      </c>
      <c r="M10" s="215">
        <v>-26430</v>
      </c>
      <c r="N10" s="215">
        <v>-28747</v>
      </c>
      <c r="O10" s="215">
        <v>-28516</v>
      </c>
      <c r="P10" s="215">
        <v>-33954</v>
      </c>
      <c r="Q10" s="215">
        <v>-33404</v>
      </c>
      <c r="R10" s="215">
        <v>-33359</v>
      </c>
      <c r="S10" s="215">
        <v>-35678</v>
      </c>
      <c r="T10" s="215">
        <v>-31723</v>
      </c>
      <c r="U10" s="215">
        <v>-32271</v>
      </c>
      <c r="V10" s="215">
        <v>-35910</v>
      </c>
      <c r="W10" s="215">
        <v>-34021.773478642281</v>
      </c>
      <c r="X10" s="215">
        <v>-32942.008999999998</v>
      </c>
      <c r="Y10" s="215">
        <v>-37676.508000000002</v>
      </c>
      <c r="Z10" s="215">
        <v>-38789.920521357737</v>
      </c>
      <c r="AA10" s="215">
        <v>-40810.6</v>
      </c>
      <c r="AB10" s="215">
        <v>-42997</v>
      </c>
      <c r="AC10" s="215">
        <v>-46809</v>
      </c>
      <c r="AD10" s="215">
        <v>-51585.399999999994</v>
      </c>
      <c r="AE10" s="215"/>
      <c r="AF10" s="332">
        <f>AD10/AC10-1</f>
        <v>0.10204020594330143</v>
      </c>
      <c r="AG10" s="332">
        <f>AD10/Z10-1</f>
        <v>0.32986609167185743</v>
      </c>
    </row>
    <row r="11" spans="1:1021 1034:2048 2061:3062 3075:4089 4102:5116 5129:6143 6156:7157 7170:8184 8197:9211 9224:10238 10251:11252 11265:12279 12292:13306 13319:14333 14346:15360 15373:16374" ht="13" customHeight="1">
      <c r="A11" s="211"/>
      <c r="B11" s="22" t="str">
        <f>IF('Summary | Sumário'!D$6=Names!B$3,Names!M10,Names!N10)</f>
        <v>Other revenues</v>
      </c>
      <c r="C11" s="214">
        <v>46867</v>
      </c>
      <c r="D11" s="214">
        <v>92564</v>
      </c>
      <c r="E11" s="214">
        <v>165415</v>
      </c>
      <c r="F11" s="214">
        <v>288682</v>
      </c>
      <c r="G11" s="214">
        <v>286980</v>
      </c>
      <c r="H11" s="214">
        <v>333570.52926939999</v>
      </c>
      <c r="I11" s="214">
        <v>301226</v>
      </c>
      <c r="J11" s="215"/>
      <c r="K11" s="214">
        <v>41623</v>
      </c>
      <c r="L11" s="214">
        <v>69359</v>
      </c>
      <c r="M11" s="214">
        <v>30496</v>
      </c>
      <c r="N11" s="214">
        <v>23937</v>
      </c>
      <c r="O11" s="214">
        <v>95374</v>
      </c>
      <c r="P11" s="214">
        <v>85809</v>
      </c>
      <c r="Q11" s="214">
        <v>46550</v>
      </c>
      <c r="R11" s="214">
        <v>60949</v>
      </c>
      <c r="S11" s="214">
        <v>50958</v>
      </c>
      <c r="T11" s="214">
        <v>54967</v>
      </c>
      <c r="U11" s="214">
        <v>104770.50028000001</v>
      </c>
      <c r="V11" s="214">
        <v>76284.499719999993</v>
      </c>
      <c r="W11" s="214">
        <v>68201</v>
      </c>
      <c r="X11" s="214">
        <v>72531.218238679983</v>
      </c>
      <c r="Y11" s="214">
        <v>81802.620979938802</v>
      </c>
      <c r="Z11" s="214">
        <v>111035.69005078121</v>
      </c>
      <c r="AA11" s="214">
        <v>56093.4</v>
      </c>
      <c r="AB11" s="214">
        <v>81444.399999999994</v>
      </c>
      <c r="AC11" s="214">
        <v>72103</v>
      </c>
      <c r="AD11" s="214">
        <v>91585.2</v>
      </c>
      <c r="AE11" s="215"/>
      <c r="AF11" s="333">
        <f>AD11/AC11-1</f>
        <v>0.2701995756071176</v>
      </c>
      <c r="AG11" s="333">
        <f>AD11/Z11-1</f>
        <v>-0.1751733162723238</v>
      </c>
    </row>
    <row r="12" spans="1:1021 1034:2048 2061:3062 3075:4089 4102:5116 5129:6143 6156:7157 7170:8184 8197:9211 9224:10238 10251:11252 11265:12279 12292:13306 13319:14333 14346:15360 15373:16374" s="161" customFormat="1" ht="13" customHeight="1">
      <c r="A12" s="235"/>
      <c r="B12" s="283" t="str">
        <f>IF('Summary | Sumário'!D$6=Names!B$3,Names!M26,Names!N26)</f>
        <v>Revenues</v>
      </c>
      <c r="C12" s="284">
        <v>712223.66099999996</v>
      </c>
      <c r="D12" s="284">
        <v>1011378.89518</v>
      </c>
      <c r="E12" s="284">
        <v>2221823.2459999998</v>
      </c>
      <c r="F12" s="284">
        <v>3562697.1849999996</v>
      </c>
      <c r="G12" s="284">
        <v>4752577</v>
      </c>
      <c r="H12" s="284">
        <v>6400165.1972113997</v>
      </c>
      <c r="I12" s="284">
        <v>8400938</v>
      </c>
      <c r="J12" s="227"/>
      <c r="K12" s="284">
        <v>416766.33899999998</v>
      </c>
      <c r="L12" s="284">
        <v>467413.34700000007</v>
      </c>
      <c r="M12" s="284">
        <v>606509.88</v>
      </c>
      <c r="N12" s="284">
        <v>731132.34600000002</v>
      </c>
      <c r="O12" s="284">
        <v>833521.0149999999</v>
      </c>
      <c r="P12" s="284">
        <v>877020.3110000001</v>
      </c>
      <c r="Q12" s="284">
        <v>850303.46699999995</v>
      </c>
      <c r="R12" s="284">
        <v>1001852.392</v>
      </c>
      <c r="S12" s="284">
        <v>1024114.1240000001</v>
      </c>
      <c r="T12" s="284">
        <v>1150034</v>
      </c>
      <c r="U12" s="284">
        <v>1265495.60824</v>
      </c>
      <c r="V12" s="284">
        <v>1312933.8627599999</v>
      </c>
      <c r="W12" s="284">
        <v>1400940.115371532</v>
      </c>
      <c r="X12" s="284">
        <v>1478597.8110425298</v>
      </c>
      <c r="Y12" s="284">
        <v>1676142.244553572</v>
      </c>
      <c r="Z12" s="284">
        <v>1844485.0262437663</v>
      </c>
      <c r="AA12" s="284">
        <v>1837801.1</v>
      </c>
      <c r="AB12" s="284">
        <v>2003082.4</v>
      </c>
      <c r="AC12" s="284">
        <v>2162164</v>
      </c>
      <c r="AD12" s="284">
        <v>2397890.5</v>
      </c>
      <c r="AE12" s="227"/>
      <c r="AF12" s="334">
        <f>AD12/AC12-1</f>
        <v>0.10902341358009848</v>
      </c>
      <c r="AG12" s="334">
        <f>AD12/Z12-1</f>
        <v>0.3000325109080586</v>
      </c>
    </row>
    <row r="13" spans="1:1021 1034:2048 2061:3062 3075:4089 4102:5116 5129:6143 6156:7157 7170:8184 8197:9211 9224:10238 10251:11252 11265:12279 12292:13306 13319:14333 14346:15360 15373:16374" s="161" customFormat="1" ht="13" customHeight="1">
      <c r="A13" s="235"/>
      <c r="B13" s="52"/>
      <c r="C13" s="236"/>
      <c r="D13" s="236"/>
      <c r="E13" s="236"/>
      <c r="F13" s="236"/>
      <c r="G13" s="236"/>
      <c r="H13" s="236"/>
      <c r="I13" s="236"/>
      <c r="J13" s="227"/>
      <c r="K13" s="236"/>
      <c r="L13" s="236"/>
      <c r="M13" s="236"/>
      <c r="N13" s="236"/>
      <c r="O13" s="236"/>
      <c r="P13" s="236"/>
      <c r="Q13" s="236"/>
      <c r="R13" s="236"/>
      <c r="S13" s="236"/>
      <c r="T13" s="236"/>
      <c r="U13" s="236"/>
      <c r="V13" s="236"/>
      <c r="W13" s="236"/>
      <c r="X13" s="236"/>
      <c r="Y13" s="236"/>
      <c r="Z13" s="236"/>
      <c r="AA13" s="236"/>
      <c r="AB13" s="236"/>
      <c r="AC13" s="236"/>
      <c r="AD13" s="236"/>
      <c r="AE13" s="227"/>
      <c r="AF13" s="325"/>
      <c r="AG13" s="325"/>
    </row>
    <row r="14" spans="1:1021 1034:2048 2061:3062 3075:4089 4102:5116 5129:6143 6156:7157 7170:8184 8197:9211 9224:10238 10251:11252 11265:12279 12292:13306 13319:14333 14346:15360 15373:16374" ht="13" customHeight="1">
      <c r="A14" s="211"/>
      <c r="B14" s="16" t="str">
        <f>IF('Summary | Sumário'!D$6=Names!B$3,Names!M13,Names!N13)</f>
        <v>Impairment losses on financial assets</v>
      </c>
      <c r="C14" s="149">
        <v>-138570</v>
      </c>
      <c r="D14" s="149">
        <v>-213688</v>
      </c>
      <c r="E14" s="149">
        <v>-595581</v>
      </c>
      <c r="F14" s="149">
        <v>-1083237</v>
      </c>
      <c r="G14" s="149">
        <v>-1541584</v>
      </c>
      <c r="H14" s="149">
        <v>-1799452.3359999999</v>
      </c>
      <c r="I14" s="149">
        <v>-2416353</v>
      </c>
      <c r="J14" s="215"/>
      <c r="K14" s="149">
        <v>-106669</v>
      </c>
      <c r="L14" s="149">
        <v>-167441</v>
      </c>
      <c r="M14" s="149">
        <v>-138005</v>
      </c>
      <c r="N14" s="149">
        <v>-183466</v>
      </c>
      <c r="O14" s="149">
        <v>-312946</v>
      </c>
      <c r="P14" s="149">
        <v>-242464</v>
      </c>
      <c r="Q14" s="149">
        <v>-263113</v>
      </c>
      <c r="R14" s="149">
        <v>-264714</v>
      </c>
      <c r="S14" s="149">
        <v>-350681</v>
      </c>
      <c r="T14" s="149">
        <v>-398560</v>
      </c>
      <c r="U14" s="149">
        <v>-407899</v>
      </c>
      <c r="V14" s="149">
        <v>-384444</v>
      </c>
      <c r="W14" s="149">
        <v>-411048</v>
      </c>
      <c r="X14" s="149">
        <v>-421247.66100000002</v>
      </c>
      <c r="Y14" s="149">
        <v>-471426.65</v>
      </c>
      <c r="Z14" s="149">
        <v>-495730.02499999967</v>
      </c>
      <c r="AA14" s="149">
        <v>-513681.4</v>
      </c>
      <c r="AB14" s="149">
        <v>-569249</v>
      </c>
      <c r="AC14" s="149">
        <v>-640796</v>
      </c>
      <c r="AD14" s="149">
        <v>-692626.60000000009</v>
      </c>
      <c r="AE14" s="149"/>
      <c r="AF14" s="320">
        <f>AD14/AC14-1</f>
        <v>8.0884712139276838E-2</v>
      </c>
      <c r="AG14" s="320">
        <f>AD14/Z14-1</f>
        <v>0.39718509081631792</v>
      </c>
    </row>
    <row r="15" spans="1:1021 1034:2048 2061:3062 3075:4089 4102:5116 5129:6143 6156:7157 7170:8184 8197:9211 9224:10238 10251:11252 11265:12279 12292:13306 13319:14333 14346:15360 15373:16374" s="161" customFormat="1" ht="13" customHeight="1">
      <c r="A15" s="235"/>
      <c r="B15" s="285" t="str">
        <f>IF('Summary | Sumário'!D$6=Names!B$3,Names!M25,Names!N25)</f>
        <v>Net result of losses</v>
      </c>
      <c r="C15" s="282">
        <v>573653.66099999996</v>
      </c>
      <c r="D15" s="282">
        <v>797690.89517999999</v>
      </c>
      <c r="E15" s="282">
        <v>1626242.2459999998</v>
      </c>
      <c r="F15" s="282">
        <v>2479460.1849999996</v>
      </c>
      <c r="G15" s="282">
        <v>3210993</v>
      </c>
      <c r="H15" s="282">
        <v>4600712.8612114005</v>
      </c>
      <c r="I15" s="282">
        <v>5984585</v>
      </c>
      <c r="J15" s="227"/>
      <c r="K15" s="282">
        <v>310096.935</v>
      </c>
      <c r="L15" s="282">
        <v>299972.75100000005</v>
      </c>
      <c r="M15" s="282">
        <v>468504.88</v>
      </c>
      <c r="N15" s="282">
        <v>547666.67999999993</v>
      </c>
      <c r="O15" s="282">
        <v>520575.0149999999</v>
      </c>
      <c r="P15" s="282">
        <v>634556.3110000001</v>
      </c>
      <c r="Q15" s="282">
        <v>587190.46699999995</v>
      </c>
      <c r="R15" s="282">
        <v>737138.39199999999</v>
      </c>
      <c r="S15" s="282">
        <v>673433.12400000007</v>
      </c>
      <c r="T15" s="282">
        <v>751474</v>
      </c>
      <c r="U15" s="282">
        <v>857596.60823999997</v>
      </c>
      <c r="V15" s="282">
        <v>928489.86275999993</v>
      </c>
      <c r="W15" s="282">
        <v>989892.11537153204</v>
      </c>
      <c r="X15" s="282">
        <v>1057350.1500425297</v>
      </c>
      <c r="Y15" s="282">
        <v>1204715.5945535721</v>
      </c>
      <c r="Z15" s="282">
        <v>1348755.0012437666</v>
      </c>
      <c r="AA15" s="282">
        <v>1324119.7000000002</v>
      </c>
      <c r="AB15" s="282">
        <v>1433833.4</v>
      </c>
      <c r="AC15" s="282">
        <v>1521368</v>
      </c>
      <c r="AD15" s="282">
        <v>1705263.9</v>
      </c>
      <c r="AE15" s="227"/>
      <c r="AF15" s="317">
        <f>AD15/AC15-1</f>
        <v>0.12087535691561802</v>
      </c>
      <c r="AG15" s="317">
        <f>AD15/Z15-1</f>
        <v>0.26432443136631578</v>
      </c>
      <c r="AI15" s="213"/>
    </row>
    <row r="16" spans="1:1021 1034:2048 2061:3062 3075:4089 4102:5116 5129:6143 6156:7157 7170:8184 8197:9211 9224:10238 10251:11252 11265:12279 12292:13306 13319:14333 14346:15360 15373:16374" ht="13" customHeight="1">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210"/>
      <c r="AG16" s="210"/>
    </row>
    <row r="17" spans="1:33" ht="13" customHeight="1">
      <c r="A17" s="211"/>
      <c r="B17" s="22" t="str">
        <f>IF('Summary | Sumário'!D$6=Names!B$3,Names!M12,Names!N12)</f>
        <v>Other income</v>
      </c>
      <c r="C17" s="237">
        <v>0</v>
      </c>
      <c r="D17" s="237">
        <v>109216</v>
      </c>
      <c r="E17" s="237">
        <v>0</v>
      </c>
      <c r="F17" s="237">
        <v>0</v>
      </c>
      <c r="G17" s="237">
        <v>0</v>
      </c>
      <c r="H17" s="237">
        <v>0</v>
      </c>
      <c r="I17" s="237">
        <v>0</v>
      </c>
      <c r="J17" s="215"/>
      <c r="K17" s="237">
        <v>0</v>
      </c>
      <c r="L17" s="237">
        <v>0</v>
      </c>
      <c r="M17" s="237">
        <v>0</v>
      </c>
      <c r="N17" s="237">
        <v>0</v>
      </c>
      <c r="O17" s="237">
        <v>0</v>
      </c>
      <c r="P17" s="237">
        <v>0</v>
      </c>
      <c r="Q17" s="237">
        <v>0</v>
      </c>
      <c r="R17" s="237">
        <v>0</v>
      </c>
      <c r="S17" s="237" t="s">
        <v>1048</v>
      </c>
      <c r="T17" s="237">
        <v>0</v>
      </c>
      <c r="U17" s="237">
        <v>0</v>
      </c>
      <c r="V17" s="237">
        <v>0</v>
      </c>
      <c r="W17" s="237">
        <v>0</v>
      </c>
      <c r="X17" s="237">
        <v>0</v>
      </c>
      <c r="Y17" s="237">
        <v>0</v>
      </c>
      <c r="Z17" s="237">
        <v>0</v>
      </c>
      <c r="AA17" s="237">
        <v>0</v>
      </c>
      <c r="AB17" s="237">
        <v>0</v>
      </c>
      <c r="AC17" s="237">
        <v>0</v>
      </c>
      <c r="AD17" s="237">
        <v>0</v>
      </c>
      <c r="AE17" s="149"/>
      <c r="AF17" s="214">
        <v>0</v>
      </c>
      <c r="AG17" s="214">
        <v>0</v>
      </c>
    </row>
    <row r="18" spans="1:33" ht="13" customHeight="1">
      <c r="A18" s="211"/>
      <c r="B18" s="16" t="str">
        <f>IF('Summary | Sumário'!D$6=Names!B$3,Names!M14,Names!N14)</f>
        <v>Personnel expenses</v>
      </c>
      <c r="C18" s="149">
        <v>-169198</v>
      </c>
      <c r="D18" s="149">
        <v>-229096</v>
      </c>
      <c r="E18" s="149">
        <v>-443328</v>
      </c>
      <c r="F18" s="149">
        <v>-733605</v>
      </c>
      <c r="G18" s="149">
        <v>-790739</v>
      </c>
      <c r="H18" s="149">
        <v>-937761.13</v>
      </c>
      <c r="I18" s="149">
        <v>-1090333</v>
      </c>
      <c r="J18" s="215"/>
      <c r="K18" s="149">
        <v>-81861</v>
      </c>
      <c r="L18" s="149">
        <v>-93046</v>
      </c>
      <c r="M18" s="149">
        <v>-121250</v>
      </c>
      <c r="N18" s="149">
        <v>-147171</v>
      </c>
      <c r="O18" s="149">
        <v>-145120</v>
      </c>
      <c r="P18" s="149">
        <v>-172466</v>
      </c>
      <c r="Q18" s="149">
        <v>-176232</v>
      </c>
      <c r="R18" s="149">
        <v>-239787</v>
      </c>
      <c r="S18" s="149">
        <v>-172412</v>
      </c>
      <c r="T18" s="149">
        <v>-186249</v>
      </c>
      <c r="U18" s="149">
        <v>-210661</v>
      </c>
      <c r="V18" s="149">
        <v>-221417</v>
      </c>
      <c r="W18" s="149">
        <v>-190463</v>
      </c>
      <c r="X18" s="149">
        <v>-204206.56551999997</v>
      </c>
      <c r="Y18" s="149">
        <v>-258954.60447999998</v>
      </c>
      <c r="Z18" s="149">
        <v>-284136.96000000008</v>
      </c>
      <c r="AA18" s="149">
        <v>-234873.2</v>
      </c>
      <c r="AB18" s="149">
        <v>-256765</v>
      </c>
      <c r="AC18" s="149">
        <v>-285248</v>
      </c>
      <c r="AD18" s="149">
        <v>-313446.80000000005</v>
      </c>
      <c r="AE18" s="149"/>
      <c r="AF18" s="320">
        <f>AD18/AC18-1</f>
        <v>9.8857134844065664E-2</v>
      </c>
      <c r="AG18" s="320">
        <f>AD18/Z18-1</f>
        <v>0.10315391563279896</v>
      </c>
    </row>
    <row r="19" spans="1:33" ht="13" customHeight="1">
      <c r="A19" s="211"/>
      <c r="B19" s="22" t="str">
        <f>IF('Summary | Sumário'!D$6=Names!B$3,Names!M15,Names!N15)</f>
        <v>Depreciation and amortization</v>
      </c>
      <c r="C19" s="237">
        <v>-17463</v>
      </c>
      <c r="D19" s="237">
        <v>-43659</v>
      </c>
      <c r="E19" s="237">
        <v>-94250.52</v>
      </c>
      <c r="F19" s="237">
        <v>-163972</v>
      </c>
      <c r="G19" s="237">
        <v>-160440</v>
      </c>
      <c r="H19" s="237">
        <v>-208829.429</v>
      </c>
      <c r="I19" s="237">
        <v>-340727</v>
      </c>
      <c r="J19" s="215"/>
      <c r="K19" s="237">
        <v>-19166</v>
      </c>
      <c r="L19" s="237">
        <v>-25338</v>
      </c>
      <c r="M19" s="237">
        <v>-30883</v>
      </c>
      <c r="N19" s="237">
        <v>-18863.520000000004</v>
      </c>
      <c r="O19" s="237">
        <v>-36478</v>
      </c>
      <c r="P19" s="237">
        <v>-35511</v>
      </c>
      <c r="Q19" s="237">
        <v>-35620</v>
      </c>
      <c r="R19" s="237">
        <v>-56363</v>
      </c>
      <c r="S19" s="237">
        <v>-37577</v>
      </c>
      <c r="T19" s="237">
        <v>-41130</v>
      </c>
      <c r="U19" s="237">
        <v>-40591</v>
      </c>
      <c r="V19" s="237">
        <v>-41142</v>
      </c>
      <c r="W19" s="237">
        <v>-41900</v>
      </c>
      <c r="X19" s="237">
        <v>-53034.879000000001</v>
      </c>
      <c r="Y19" s="237">
        <v>-53349</v>
      </c>
      <c r="Z19" s="237">
        <v>-60545.549999999988</v>
      </c>
      <c r="AA19" s="237">
        <v>-67445</v>
      </c>
      <c r="AB19" s="237">
        <v>-76631</v>
      </c>
      <c r="AC19" s="237">
        <v>-84524</v>
      </c>
      <c r="AD19" s="237">
        <v>-112127</v>
      </c>
      <c r="AE19" s="149"/>
      <c r="AF19" s="502">
        <f>AD19/AC19-1</f>
        <v>0.3265699682930292</v>
      </c>
      <c r="AG19" s="502">
        <f>AD19/Z19-1</f>
        <v>0.85194452771508433</v>
      </c>
    </row>
    <row r="20" spans="1:33" ht="13" customHeight="1">
      <c r="A20" s="211"/>
      <c r="B20" s="16" t="str">
        <f>IF('Summary | Sumário'!D$6=Names!B$3,Names!M16,Names!N16)</f>
        <v>Tax expenses</v>
      </c>
      <c r="C20" s="215">
        <v>0</v>
      </c>
      <c r="D20" s="215">
        <v>0</v>
      </c>
      <c r="E20" s="215">
        <v>-146721.22500000001</v>
      </c>
      <c r="F20" s="215">
        <v>-248588</v>
      </c>
      <c r="G20" s="215">
        <v>-326584</v>
      </c>
      <c r="H20" s="215">
        <v>-477037.39600000001</v>
      </c>
      <c r="I20" s="215">
        <v>-728734</v>
      </c>
      <c r="J20" s="215"/>
      <c r="K20" s="215">
        <v>-27534.687000000002</v>
      </c>
      <c r="L20" s="215">
        <v>-30373</v>
      </c>
      <c r="M20" s="215">
        <v>-40645.811999999998</v>
      </c>
      <c r="N20" s="215">
        <v>-48167.726000000002</v>
      </c>
      <c r="O20" s="215">
        <v>-56693</v>
      </c>
      <c r="P20" s="215">
        <v>-61600</v>
      </c>
      <c r="Q20" s="215">
        <v>-61544</v>
      </c>
      <c r="R20" s="215">
        <v>-68751</v>
      </c>
      <c r="S20" s="215">
        <v>-68871</v>
      </c>
      <c r="T20" s="215">
        <v>-72463</v>
      </c>
      <c r="U20" s="215">
        <v>-94072</v>
      </c>
      <c r="V20" s="215">
        <v>-91178</v>
      </c>
      <c r="W20" s="215">
        <v>-86331</v>
      </c>
      <c r="X20" s="215">
        <v>-99417.270999999993</v>
      </c>
      <c r="Y20" s="215">
        <v>-123632.909</v>
      </c>
      <c r="Z20" s="215">
        <v>-167656.21600000001</v>
      </c>
      <c r="AA20" s="215">
        <v>-136055</v>
      </c>
      <c r="AB20" s="215">
        <v>-176879.6</v>
      </c>
      <c r="AC20" s="215">
        <v>-190327.6</v>
      </c>
      <c r="AD20" s="215">
        <v>-225471.80000000005</v>
      </c>
      <c r="AE20" s="215"/>
      <c r="AF20" s="320">
        <f>AD20/AC20-1</f>
        <v>0.18465109632023968</v>
      </c>
      <c r="AG20" s="320">
        <f>AD20/Z20-1</f>
        <v>0.34484605092124965</v>
      </c>
    </row>
    <row r="21" spans="1:33" ht="13" customHeight="1">
      <c r="A21" s="211"/>
      <c r="B21" s="22" t="str">
        <f>IF('Summary | Sumário'!D$6=Names!B$3,Names!M17,Names!N17)</f>
        <v>Administrative expenses</v>
      </c>
      <c r="C21" s="214">
        <v>-386309</v>
      </c>
      <c r="D21" s="214">
        <v>-641327</v>
      </c>
      <c r="E21" s="214">
        <v>-1164239.7749999999</v>
      </c>
      <c r="F21" s="214">
        <v>-1494484</v>
      </c>
      <c r="G21" s="214">
        <v>-1461348</v>
      </c>
      <c r="H21" s="214">
        <v>-1769055.128</v>
      </c>
      <c r="I21" s="214">
        <v>-2200604</v>
      </c>
      <c r="J21" s="215"/>
      <c r="K21" s="214">
        <v>-219095.31299999999</v>
      </c>
      <c r="L21" s="214">
        <v>-272761</v>
      </c>
      <c r="M21" s="214">
        <v>-235355.18799999999</v>
      </c>
      <c r="N21" s="214">
        <v>-437028.27399999998</v>
      </c>
      <c r="O21" s="214">
        <v>-376806</v>
      </c>
      <c r="P21" s="214">
        <v>-348618</v>
      </c>
      <c r="Q21" s="214">
        <v>-379946</v>
      </c>
      <c r="R21" s="214">
        <v>-389114</v>
      </c>
      <c r="S21" s="214">
        <v>-385615</v>
      </c>
      <c r="T21" s="214">
        <v>-347868</v>
      </c>
      <c r="U21" s="214">
        <v>-362877</v>
      </c>
      <c r="V21" s="214">
        <v>-364988</v>
      </c>
      <c r="W21" s="214">
        <v>-395244</v>
      </c>
      <c r="X21" s="214">
        <v>-402827.25400000002</v>
      </c>
      <c r="Y21" s="214">
        <v>-474826</v>
      </c>
      <c r="Z21" s="214">
        <v>-496157.87400000007</v>
      </c>
      <c r="AA21" s="214">
        <v>-528199.6</v>
      </c>
      <c r="AB21" s="214">
        <v>-540029.6</v>
      </c>
      <c r="AC21" s="214">
        <v>-543343</v>
      </c>
      <c r="AD21" s="214">
        <v>-589031.80000000005</v>
      </c>
      <c r="AE21" s="215"/>
      <c r="AF21" s="502">
        <f>AD21/AC21-1</f>
        <v>8.408831990105714E-2</v>
      </c>
      <c r="AG21" s="502">
        <f>AD21/Z21-1</f>
        <v>0.18718623822545633</v>
      </c>
    </row>
    <row r="22" spans="1:33" ht="13" customHeight="1">
      <c r="A22" s="211"/>
      <c r="B22" s="51" t="str">
        <f>IF('Summary | Sumário'!D$6=Names!B$3,Names!M19,Names!N19)</f>
        <v>Income from equity interests in associates</v>
      </c>
      <c r="C22" s="215">
        <v>0</v>
      </c>
      <c r="D22" s="215">
        <v>0</v>
      </c>
      <c r="E22" s="215">
        <v>-8764</v>
      </c>
      <c r="F22" s="215">
        <v>-17384</v>
      </c>
      <c r="G22" s="215">
        <v>-32040</v>
      </c>
      <c r="H22" s="215">
        <v>-2480</v>
      </c>
      <c r="I22" s="215">
        <v>0</v>
      </c>
      <c r="J22" s="215"/>
      <c r="K22" s="215">
        <v>0</v>
      </c>
      <c r="L22" s="215">
        <v>3893</v>
      </c>
      <c r="M22" s="215">
        <v>-5454</v>
      </c>
      <c r="N22" s="215">
        <v>-7203</v>
      </c>
      <c r="O22" s="215">
        <v>-5572</v>
      </c>
      <c r="P22" s="215">
        <v>-4490</v>
      </c>
      <c r="Q22" s="215">
        <v>-3892</v>
      </c>
      <c r="R22" s="215">
        <v>-3430</v>
      </c>
      <c r="S22" s="215">
        <v>-3061</v>
      </c>
      <c r="T22" s="215">
        <v>-23465</v>
      </c>
      <c r="U22" s="215">
        <v>-4070.8986899999982</v>
      </c>
      <c r="V22" s="215">
        <v>-1443.1013100000018</v>
      </c>
      <c r="W22" s="215">
        <v>-2223</v>
      </c>
      <c r="X22" s="215">
        <v>-257.02199999999999</v>
      </c>
      <c r="Y22" s="215">
        <v>0</v>
      </c>
      <c r="Z22" s="215">
        <v>0</v>
      </c>
      <c r="AA22" s="215">
        <v>0</v>
      </c>
      <c r="AB22" s="215">
        <v>0</v>
      </c>
      <c r="AC22" s="215">
        <v>0</v>
      </c>
      <c r="AD22" s="215">
        <v>0</v>
      </c>
      <c r="AE22" s="215"/>
      <c r="AF22" s="215">
        <v>0</v>
      </c>
      <c r="AG22" s="215">
        <v>0</v>
      </c>
    </row>
    <row r="23" spans="1:33" ht="13" customHeight="1">
      <c r="A23" s="211"/>
      <c r="B23" s="286" t="str">
        <f>IF('Summary | Sumário'!D$6=Names!B$3,Names!M20,Names!N20)</f>
        <v>Profit / (loss) before income tax</v>
      </c>
      <c r="C23" s="282">
        <v>683.66099999996368</v>
      </c>
      <c r="D23" s="282">
        <v>-7175.1048200000077</v>
      </c>
      <c r="E23" s="282">
        <v>-231061.27400000021</v>
      </c>
      <c r="F23" s="282">
        <v>-178572.81500000041</v>
      </c>
      <c r="G23" s="282">
        <v>439842</v>
      </c>
      <c r="H23" s="282">
        <v>1205549.5823173386</v>
      </c>
      <c r="I23" s="282">
        <v>1624186.9999999998</v>
      </c>
      <c r="J23" s="227"/>
      <c r="K23" s="282">
        <v>-37560.065000000002</v>
      </c>
      <c r="L23" s="282">
        <v>-117652.24899999995</v>
      </c>
      <c r="M23" s="282">
        <v>34916.880000000005</v>
      </c>
      <c r="N23" s="282">
        <v>-110766.84000000008</v>
      </c>
      <c r="O23" s="282">
        <v>-100093.9850000001</v>
      </c>
      <c r="P23" s="282">
        <v>11871.311000000103</v>
      </c>
      <c r="Q23" s="282">
        <v>-70043.533000000054</v>
      </c>
      <c r="R23" s="282">
        <v>-20306.608000000007</v>
      </c>
      <c r="S23" s="282">
        <v>5897.1240000000689</v>
      </c>
      <c r="T23" s="282">
        <v>80299</v>
      </c>
      <c r="U23" s="282">
        <v>145354</v>
      </c>
      <c r="V23" s="282">
        <v>208291.87599999993</v>
      </c>
      <c r="W23" s="282">
        <v>273732</v>
      </c>
      <c r="X23" s="282">
        <v>297607</v>
      </c>
      <c r="Y23" s="282">
        <v>293952.08107357216</v>
      </c>
      <c r="Z23" s="282">
        <v>340258.50124376646</v>
      </c>
      <c r="AA23" s="282">
        <v>357546.90000000014</v>
      </c>
      <c r="AB23" s="282">
        <v>383528.19999999995</v>
      </c>
      <c r="AC23" s="282">
        <v>417925.4</v>
      </c>
      <c r="AD23" s="282">
        <v>465186.49999999977</v>
      </c>
      <c r="AE23" s="227"/>
      <c r="AF23" s="317">
        <f>AD23/AC23-1</f>
        <v>0.11308501469400944</v>
      </c>
      <c r="AG23" s="317">
        <f>AD23/Z23-1</f>
        <v>0.36715614246103123</v>
      </c>
    </row>
    <row r="24" spans="1:33" ht="13" customHeight="1">
      <c r="A24" s="211"/>
      <c r="AF24" s="229"/>
      <c r="AG24" s="229"/>
    </row>
    <row r="25" spans="1:33" ht="13" customHeight="1">
      <c r="A25" s="211"/>
      <c r="B25" s="53" t="str">
        <f>IF('Summary | Sumário'!D$6=Names!B$3,Names!M27,Names!N27)</f>
        <v>Income tax</v>
      </c>
      <c r="C25" s="234">
        <v>29686</v>
      </c>
      <c r="D25" s="234">
        <v>37709</v>
      </c>
      <c r="E25" s="234">
        <v>175993</v>
      </c>
      <c r="F25" s="234">
        <v>164494</v>
      </c>
      <c r="G25" s="234">
        <v>-87581</v>
      </c>
      <c r="H25" s="234">
        <v>-232708.78587989899</v>
      </c>
      <c r="I25" s="234">
        <v>-226866</v>
      </c>
      <c r="J25" s="179"/>
      <c r="K25" s="234">
        <v>34867</v>
      </c>
      <c r="L25" s="234">
        <v>87154</v>
      </c>
      <c r="M25" s="234">
        <v>-568.73549999999886</v>
      </c>
      <c r="N25" s="234">
        <v>54540.735499999995</v>
      </c>
      <c r="O25" s="234">
        <v>71272</v>
      </c>
      <c r="P25" s="234">
        <v>3654</v>
      </c>
      <c r="Q25" s="234">
        <v>40448</v>
      </c>
      <c r="R25" s="234">
        <v>49120</v>
      </c>
      <c r="S25" s="234">
        <v>18319</v>
      </c>
      <c r="T25" s="234">
        <v>-16127</v>
      </c>
      <c r="U25" s="234">
        <v>-41194</v>
      </c>
      <c r="V25" s="234">
        <v>-48579</v>
      </c>
      <c r="W25" s="234">
        <v>-78512</v>
      </c>
      <c r="X25" s="234">
        <v>-74943.733999999997</v>
      </c>
      <c r="Y25" s="234">
        <v>-33942</v>
      </c>
      <c r="Z25" s="234">
        <v>-45311.051879898987</v>
      </c>
      <c r="AA25" s="234">
        <v>-50759</v>
      </c>
      <c r="AB25" s="234">
        <v>-51361</v>
      </c>
      <c r="AC25" s="234">
        <v>-61920</v>
      </c>
      <c r="AD25" s="234">
        <v>-62826</v>
      </c>
      <c r="AE25" s="187"/>
      <c r="AF25" s="333">
        <f>AD25/AC25-1</f>
        <v>1.4631782945736527E-2</v>
      </c>
      <c r="AG25" s="333">
        <f>AD25/Z25-1</f>
        <v>0.38654913963432058</v>
      </c>
    </row>
    <row r="26" spans="1:33" ht="13" customHeight="1">
      <c r="A26" s="211"/>
      <c r="B26" s="287" t="str">
        <f>IF('Summary | Sumário'!D$6=Names!B$3,Names!M46,Names!N46)</f>
        <v>Net income from controlling and non-controlling interests</v>
      </c>
      <c r="C26" s="284">
        <f t="shared" ref="C26:AB26" si="0">C23+C25</f>
        <v>30369.660999999964</v>
      </c>
      <c r="D26" s="284">
        <f t="shared" si="0"/>
        <v>30533.895179999992</v>
      </c>
      <c r="E26" s="284">
        <f t="shared" si="0"/>
        <v>-55068.274000000209</v>
      </c>
      <c r="F26" s="284">
        <f t="shared" si="0"/>
        <v>-14078.81500000041</v>
      </c>
      <c r="G26" s="284">
        <f t="shared" si="0"/>
        <v>352261</v>
      </c>
      <c r="H26" s="284">
        <f t="shared" si="0"/>
        <v>972840.79643743951</v>
      </c>
      <c r="I26" s="284">
        <f t="shared" ref="I26" si="1">I23+I25</f>
        <v>1397320.9999999998</v>
      </c>
      <c r="J26" s="227"/>
      <c r="K26" s="284">
        <f t="shared" si="0"/>
        <v>-2693.0650000000023</v>
      </c>
      <c r="L26" s="284">
        <f t="shared" si="0"/>
        <v>-30498.248999999953</v>
      </c>
      <c r="M26" s="284">
        <f t="shared" si="0"/>
        <v>34348.144500000009</v>
      </c>
      <c r="N26" s="284">
        <f t="shared" si="0"/>
        <v>-56226.104500000089</v>
      </c>
      <c r="O26" s="284">
        <f t="shared" si="0"/>
        <v>-28821.985000000102</v>
      </c>
      <c r="P26" s="284">
        <f t="shared" si="0"/>
        <v>15525.311000000103</v>
      </c>
      <c r="Q26" s="284">
        <f t="shared" si="0"/>
        <v>-29595.533000000054</v>
      </c>
      <c r="R26" s="284">
        <f t="shared" si="0"/>
        <v>28813.391999999993</v>
      </c>
      <c r="S26" s="284">
        <f t="shared" si="0"/>
        <v>24216.124000000069</v>
      </c>
      <c r="T26" s="284">
        <f t="shared" si="0"/>
        <v>64172</v>
      </c>
      <c r="U26" s="284">
        <f t="shared" si="0"/>
        <v>104160</v>
      </c>
      <c r="V26" s="284">
        <f t="shared" si="0"/>
        <v>159712.87599999993</v>
      </c>
      <c r="W26" s="284">
        <f t="shared" si="0"/>
        <v>195220</v>
      </c>
      <c r="X26" s="284">
        <f t="shared" si="0"/>
        <v>222663.266</v>
      </c>
      <c r="Y26" s="284">
        <f t="shared" si="0"/>
        <v>260010.08107357216</v>
      </c>
      <c r="Z26" s="284">
        <f t="shared" si="0"/>
        <v>294947.44936386746</v>
      </c>
      <c r="AA26" s="284">
        <f t="shared" si="0"/>
        <v>306787.90000000014</v>
      </c>
      <c r="AB26" s="284">
        <f t="shared" si="0"/>
        <v>332167.19999999995</v>
      </c>
      <c r="AC26" s="284">
        <f>AC23+AC25</f>
        <v>356005.4</v>
      </c>
      <c r="AD26" s="284">
        <f>AD23+AD25</f>
        <v>402360.49999999977</v>
      </c>
      <c r="AE26" s="227"/>
      <c r="AF26" s="334">
        <f>AD26/AC26-1</f>
        <v>0.13020897997614567</v>
      </c>
      <c r="AG26" s="334">
        <f>AD26/Z26-1</f>
        <v>0.3641769097098384</v>
      </c>
    </row>
    <row r="27" spans="1:33" ht="13" customHeight="1">
      <c r="A27" s="211"/>
      <c r="B27" s="53"/>
      <c r="C27" s="234"/>
      <c r="D27" s="234"/>
      <c r="E27" s="234"/>
      <c r="F27" s="234"/>
      <c r="G27" s="234"/>
      <c r="H27" s="234"/>
      <c r="I27" s="234"/>
      <c r="J27" s="179"/>
      <c r="K27" s="234"/>
      <c r="L27" s="234"/>
      <c r="M27" s="234"/>
      <c r="N27" s="234"/>
      <c r="O27" s="234"/>
      <c r="P27" s="234"/>
      <c r="Q27" s="234"/>
      <c r="R27" s="234"/>
      <c r="S27" s="234"/>
      <c r="T27" s="234"/>
      <c r="U27" s="234"/>
      <c r="V27" s="234"/>
      <c r="W27" s="234"/>
      <c r="X27" s="234"/>
      <c r="Y27" s="234"/>
      <c r="Z27" s="234"/>
      <c r="AA27" s="234"/>
      <c r="AB27" s="234"/>
      <c r="AC27" s="234"/>
      <c r="AD27" s="234"/>
      <c r="AE27" s="187"/>
      <c r="AF27" s="333"/>
      <c r="AG27" s="333"/>
    </row>
    <row r="28" spans="1:33" ht="13" customHeight="1">
      <c r="A28" s="211"/>
      <c r="B28" s="51" t="str">
        <f>IF('Summary | Sumário'!D$6=Names!B$3,Names!M45,Names!N45)</f>
        <v>Non-controlling interest</v>
      </c>
      <c r="C28" s="187">
        <v>-2687</v>
      </c>
      <c r="D28" s="187">
        <v>-12775</v>
      </c>
      <c r="E28" s="187">
        <v>-17597</v>
      </c>
      <c r="F28" s="187">
        <v>2989</v>
      </c>
      <c r="G28" s="187">
        <v>-49917</v>
      </c>
      <c r="H28" s="187">
        <v>-65709</v>
      </c>
      <c r="I28" s="187">
        <v>-84930.999999999884</v>
      </c>
      <c r="J28" s="187"/>
      <c r="K28" s="187">
        <v>-5966</v>
      </c>
      <c r="L28" s="187">
        <v>18469</v>
      </c>
      <c r="M28" s="187">
        <v>-31198.785119999917</v>
      </c>
      <c r="N28" s="187">
        <v>1098.7851199999168</v>
      </c>
      <c r="O28" s="187">
        <v>32094</v>
      </c>
      <c r="P28" s="187">
        <v>-32115</v>
      </c>
      <c r="Q28" s="187">
        <v>-413</v>
      </c>
      <c r="R28" s="187">
        <v>3423</v>
      </c>
      <c r="S28" s="187">
        <v>-12810</v>
      </c>
      <c r="T28" s="187">
        <v>-15426</v>
      </c>
      <c r="U28" s="187">
        <v>-12870</v>
      </c>
      <c r="V28" s="187">
        <v>-8811</v>
      </c>
      <c r="W28" s="187">
        <v>-12427</v>
      </c>
      <c r="X28" s="187">
        <v>-16186</v>
      </c>
      <c r="Y28" s="187">
        <v>-17340</v>
      </c>
      <c r="Z28" s="187">
        <v>-19756</v>
      </c>
      <c r="AA28" s="187">
        <v>-20265.90000000014</v>
      </c>
      <c r="AB28" s="187">
        <v>-17036.399999999965</v>
      </c>
      <c r="AC28" s="187">
        <v>-19660.200000000012</v>
      </c>
      <c r="AD28" s="187">
        <v>-27968.499999999767</v>
      </c>
      <c r="AE28" s="187"/>
      <c r="AF28" s="332">
        <f>AD28/AC28-1</f>
        <v>0.42259488713236637</v>
      </c>
      <c r="AG28" s="332">
        <f>AD28/Z28-1</f>
        <v>0.41569649726664148</v>
      </c>
    </row>
    <row r="29" spans="1:33" ht="13" customHeight="1">
      <c r="A29" s="211"/>
      <c r="B29" s="286" t="str">
        <f>IF('Summary | Sumário'!D$6=Names!B$3,Names!M24,Names!N24)</f>
        <v>Net income</v>
      </c>
      <c r="C29" s="282">
        <v>27683</v>
      </c>
      <c r="D29" s="282">
        <v>17911</v>
      </c>
      <c r="E29" s="282">
        <v>-72664</v>
      </c>
      <c r="F29" s="282">
        <v>-11090</v>
      </c>
      <c r="G29" s="282">
        <v>302343</v>
      </c>
      <c r="H29" s="282">
        <v>907132</v>
      </c>
      <c r="I29" s="282">
        <v>1312390</v>
      </c>
      <c r="J29" s="227"/>
      <c r="K29" s="282">
        <v>-8659</v>
      </c>
      <c r="L29" s="282">
        <v>-12029</v>
      </c>
      <c r="M29" s="282">
        <v>3148.9583099999968</v>
      </c>
      <c r="N29" s="282">
        <v>-55124.958310000002</v>
      </c>
      <c r="O29" s="282">
        <v>3272</v>
      </c>
      <c r="P29" s="282">
        <v>-16590</v>
      </c>
      <c r="Q29" s="282">
        <v>-30008</v>
      </c>
      <c r="R29" s="282">
        <v>32236</v>
      </c>
      <c r="S29" s="282">
        <v>11405</v>
      </c>
      <c r="T29" s="282">
        <v>48746</v>
      </c>
      <c r="U29" s="282">
        <v>91291</v>
      </c>
      <c r="V29" s="282">
        <v>150901</v>
      </c>
      <c r="W29" s="282">
        <v>182793</v>
      </c>
      <c r="X29" s="282">
        <v>206479</v>
      </c>
      <c r="Y29" s="282">
        <v>242671</v>
      </c>
      <c r="Z29" s="282">
        <v>275189</v>
      </c>
      <c r="AA29" s="282">
        <v>286522</v>
      </c>
      <c r="AB29" s="282">
        <v>315130.8</v>
      </c>
      <c r="AC29" s="282">
        <v>336345.2</v>
      </c>
      <c r="AD29" s="282">
        <v>374392</v>
      </c>
      <c r="AE29" s="227"/>
      <c r="AF29" s="317">
        <f>AD29/AC29-1</f>
        <v>0.1131183082142988</v>
      </c>
      <c r="AG29" s="317">
        <f>AD29/Z29-1</f>
        <v>0.36049042657955077</v>
      </c>
    </row>
    <row r="30" spans="1:33" ht="13" customHeight="1">
      <c r="A30" s="211"/>
      <c r="B30" s="3"/>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330"/>
      <c r="AG30" s="330"/>
    </row>
    <row r="31" spans="1:33" ht="13" customHeight="1">
      <c r="C31" s="696"/>
      <c r="D31" s="696"/>
      <c r="E31" s="696"/>
      <c r="F31" s="696"/>
      <c r="G31" s="696"/>
      <c r="H31" s="696"/>
      <c r="I31" s="696"/>
      <c r="J31" s="696"/>
      <c r="K31" s="696"/>
      <c r="L31" s="696"/>
      <c r="M31" s="696"/>
      <c r="N31" s="696"/>
      <c r="O31" s="696"/>
      <c r="P31" s="696"/>
      <c r="Q31" s="696"/>
      <c r="R31" s="696"/>
      <c r="S31" s="696"/>
      <c r="T31" s="696"/>
      <c r="U31" s="696"/>
      <c r="V31" s="696"/>
      <c r="W31" s="696"/>
      <c r="X31" s="696"/>
      <c r="Y31" s="696"/>
      <c r="Z31" s="696"/>
      <c r="AA31" s="696"/>
      <c r="AB31" s="696"/>
      <c r="AC31" s="696"/>
      <c r="AD31" s="696"/>
      <c r="AE31" s="696"/>
      <c r="AF31" s="696"/>
      <c r="AG31" s="696"/>
    </row>
    <row r="32" spans="1:33" ht="13" customHeight="1">
      <c r="B32" s="26"/>
    </row>
    <row r="33" spans="2:36" ht="13" customHeight="1">
      <c r="C33" s="187"/>
      <c r="D33" s="187"/>
      <c r="E33" s="187"/>
      <c r="F33" s="187"/>
      <c r="G33" s="187"/>
      <c r="H33" s="187"/>
      <c r="I33" s="187"/>
      <c r="J33" s="179"/>
      <c r="K33" s="187"/>
      <c r="L33" s="187"/>
      <c r="M33" s="187"/>
      <c r="N33" s="187"/>
      <c r="O33" s="187"/>
      <c r="P33" s="187"/>
      <c r="Q33" s="187"/>
      <c r="R33" s="187"/>
      <c r="S33" s="187"/>
      <c r="T33" s="187"/>
      <c r="U33" s="187"/>
      <c r="V33" s="187"/>
      <c r="W33" s="187"/>
      <c r="X33" s="187"/>
      <c r="Y33" s="187"/>
      <c r="Z33" s="187"/>
      <c r="AA33" s="187"/>
      <c r="AB33" s="187"/>
      <c r="AC33" s="187"/>
      <c r="AD33" s="187"/>
      <c r="AF33" s="332"/>
      <c r="AG33" s="332"/>
    </row>
    <row r="34" spans="2:36" ht="13" customHeight="1">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F34" s="320"/>
      <c r="AG34" s="320"/>
    </row>
    <row r="36" spans="2:36" ht="13" customHeight="1">
      <c r="B36" s="761" t="str">
        <f>IF('Summary | Sumário'!D$6=Names!B$3,Names!K43,Names!L43)</f>
        <v>Note: Revenue from foreign exchange was reallocated from Other Revenues to Income from Securities, Derivatives, and Foreign Exchange in Q4 2024. To ensure better comparability between quarters and years, this adjustment has been applied historically in this material.</v>
      </c>
      <c r="C36" s="116" t="s">
        <v>1046</v>
      </c>
      <c r="AB36" s="188"/>
      <c r="AC36" s="188"/>
      <c r="AD36" s="188"/>
    </row>
    <row r="37" spans="2:36" ht="13" customHeight="1">
      <c r="B37" s="761"/>
    </row>
    <row r="38" spans="2:36" ht="13" customHeight="1">
      <c r="B38" s="761"/>
      <c r="AJ38" s="188"/>
    </row>
    <row r="39" spans="2:36" ht="13" customHeight="1">
      <c r="B39" s="761"/>
    </row>
    <row r="40" spans="2:36" ht="13" customHeight="1">
      <c r="B40" s="761"/>
    </row>
  </sheetData>
  <sheetProtection algorithmName="SHA-512" hashValue="M1OEf4mZC84JShfGiq1jn9ZrOxhp+zvriZR4/tQbZPyBF/WFqH+hqJiF8u3h7nOzj8Kf9raGGm6TNeaUiAGB+w==" saltValue="mAhCzz6rp246RLURgYODqA==" spinCount="100000" sheet="1" formatCells="0" formatColumns="0" formatRows="0" insertColumns="0" insertRows="0" insertHyperlinks="0" deleteColumns="0" deleteRows="0" sort="0" autoFilter="0" pivotTables="0"/>
  <mergeCells count="1">
    <mergeCell ref="B36:B40"/>
  </mergeCells>
  <phoneticPr fontId="6" type="noConversion"/>
  <pageMargins left="0.511811024" right="0.511811024" top="0.78740157499999996" bottom="0.78740157499999996" header="0.31496062000000002" footer="0.31496062000000002"/>
  <pageSetup paperSize="9" orientation="portrait" horizontalDpi="0" verticalDpi="0"/>
  <ignoredErrors>
    <ignoredError sqref="B9 B25 J18 AE22:AG22 J22 AE2:AG3 J17 AE17 J21 J24:AC24 J2:AC3 B2:H3 B13:H13 B26:H27 B16:H16 AE8:AG8 AE4 AE5 AE6 AE7 AE13:AG13 AE9 AE10 AE11 AE12 AE16:AG16 AE14 AE15 AE18 AE19 AE20 AE21 AE24:AG24 AE23 AE27:AG27 AE25 AE26 AE29 AE28 B8:H8 B4 J8:AC8 J4 B5 J5 B6 J6 B7 J7 J13:AC13 J9 B10 J10 B11 J11 B12 J12 J16:AC16 J14 B15 J15 B24:H24 B17 B18 B19 J19 B20 J20 B21 B22 B23 J23 J26:AC27 J25 B29 B28 J29 J28"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157B1-884C-F34F-85BA-2CF138B0AC39}">
  <sheetPr codeName="Sheet7">
    <tabColor rgb="FFEC7100"/>
  </sheetPr>
  <dimension ref="A1:AK26"/>
  <sheetViews>
    <sheetView showGridLines="0" zoomScaleNormal="100" zoomScaleSheetLayoutView="5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ustomWidth="1"/>
    <col min="10" max="10" width="2.83203125" style="116" customWidth="1"/>
    <col min="11" max="30" width="10.83203125" style="116" customWidth="1"/>
    <col min="31" max="31" width="5.83203125" style="116" customWidth="1"/>
    <col min="32" max="33" width="10.83203125" style="116" customWidth="1"/>
    <col min="34" max="16384" width="10.83203125" style="116"/>
  </cols>
  <sheetData>
    <row r="1" spans="1:37" ht="13" customHeight="1">
      <c r="C1" s="117"/>
      <c r="D1" s="117"/>
      <c r="E1" s="117"/>
      <c r="F1" s="117"/>
      <c r="G1" s="117"/>
      <c r="H1" s="117"/>
      <c r="I1" s="117"/>
      <c r="K1" s="117"/>
      <c r="L1" s="117"/>
      <c r="M1" s="117"/>
      <c r="N1" s="117"/>
      <c r="O1" s="117"/>
      <c r="P1" s="117"/>
      <c r="Q1" s="117"/>
      <c r="R1" s="117"/>
      <c r="S1" s="117"/>
    </row>
    <row r="2" spans="1:37" s="10" customFormat="1" ht="13" customHeight="1">
      <c r="B2" s="267" t="str">
        <f>IF('Summary | Sumário'!D$6=Names!B$3,Names!AA1,Names!AB1)</f>
        <v>Funding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1:37"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row>
    <row r="4" spans="1:37" s="145" customFormat="1" ht="13" customHeight="1">
      <c r="A4" s="143"/>
      <c r="B4" s="3" t="str">
        <f>IF('Summary | Sumário'!D$6=Names!B$3,Names!AA2,Names!AB2)</f>
        <v>Funding - including other interest bearing liabilities</v>
      </c>
      <c r="C4" s="179"/>
      <c r="AH4" s="217"/>
    </row>
    <row r="5" spans="1:37" ht="13" customHeight="1">
      <c r="A5" s="211"/>
      <c r="B5" s="271" t="str">
        <f>IF('Summary | Sumário'!D$6=Names!B$3,Names!AA3,Names!AB3)</f>
        <v>Deposits from customers</v>
      </c>
      <c r="C5" s="289">
        <v>4714439</v>
      </c>
      <c r="D5" s="289">
        <v>12436632</v>
      </c>
      <c r="E5" s="289">
        <f>N5</f>
        <v>18333543</v>
      </c>
      <c r="F5" s="289">
        <f>R5</f>
        <v>23642804</v>
      </c>
      <c r="G5" s="289">
        <f>V5</f>
        <v>32651620</v>
      </c>
      <c r="H5" s="289">
        <f>Z5</f>
        <v>42803229</v>
      </c>
      <c r="I5" s="289">
        <f t="shared" ref="I5:I15" si="0">AD5</f>
        <v>54883084</v>
      </c>
      <c r="J5" s="179"/>
      <c r="K5" s="289">
        <v>13392679</v>
      </c>
      <c r="L5" s="289">
        <v>15629130.619999999</v>
      </c>
      <c r="M5" s="289">
        <v>17093473.298</v>
      </c>
      <c r="N5" s="289">
        <v>18333543</v>
      </c>
      <c r="O5" s="289">
        <v>18958118</v>
      </c>
      <c r="P5" s="289">
        <v>19746409</v>
      </c>
      <c r="Q5" s="289">
        <v>21452026</v>
      </c>
      <c r="R5" s="289">
        <v>23642804</v>
      </c>
      <c r="S5" s="289">
        <v>24182006</v>
      </c>
      <c r="T5" s="289">
        <v>26299326</v>
      </c>
      <c r="U5" s="289">
        <v>29063988</v>
      </c>
      <c r="V5" s="289">
        <v>32651620</v>
      </c>
      <c r="W5" s="289">
        <v>32643444.086135942</v>
      </c>
      <c r="X5" s="289">
        <v>35978318.071000002</v>
      </c>
      <c r="Y5" s="289">
        <v>39129759</v>
      </c>
      <c r="Z5" s="289">
        <v>42803229</v>
      </c>
      <c r="AA5" s="289">
        <v>43647768</v>
      </c>
      <c r="AB5" s="289">
        <v>46667343</v>
      </c>
      <c r="AC5" s="289">
        <v>51496386</v>
      </c>
      <c r="AD5" s="289">
        <v>54883084</v>
      </c>
      <c r="AE5" s="179"/>
      <c r="AF5" s="348">
        <f t="shared" ref="AF5:AF15" si="1">AD5/AC5-1</f>
        <v>6.5765741308525971E-2</v>
      </c>
      <c r="AG5" s="348">
        <f>AD5/Z5-1</f>
        <v>0.28221831114657259</v>
      </c>
    </row>
    <row r="6" spans="1:37" ht="13" customHeight="1">
      <c r="A6" s="211"/>
      <c r="B6" s="17" t="str">
        <f>IF('Summary | Sumário'!D$6=Names!B$3,Names!AA4,Names!AB4)</f>
        <v>Demand deposits</v>
      </c>
      <c r="C6" s="179">
        <v>2094127</v>
      </c>
      <c r="D6" s="179">
        <v>6713351</v>
      </c>
      <c r="E6" s="179">
        <f t="shared" ref="E6:E15" si="2">N6</f>
        <v>9932809</v>
      </c>
      <c r="F6" s="179">
        <f t="shared" ref="F6:F15" si="3">R6</f>
        <v>11566826</v>
      </c>
      <c r="G6" s="179">
        <f t="shared" ref="G6:G15" si="4">V6</f>
        <v>2572536</v>
      </c>
      <c r="H6" s="179">
        <f t="shared" ref="H6:H15" si="5">Z6</f>
        <v>1415426.8934948002</v>
      </c>
      <c r="I6" s="179">
        <f t="shared" si="0"/>
        <v>1376606</v>
      </c>
      <c r="J6" s="179"/>
      <c r="K6" s="179">
        <v>6984899</v>
      </c>
      <c r="L6" s="179">
        <v>8299742</v>
      </c>
      <c r="M6" s="179">
        <v>9163029</v>
      </c>
      <c r="N6" s="179">
        <v>9932809</v>
      </c>
      <c r="O6" s="179">
        <v>9620809</v>
      </c>
      <c r="P6" s="179">
        <v>9784611</v>
      </c>
      <c r="Q6" s="179">
        <v>10418989</v>
      </c>
      <c r="R6" s="179">
        <v>11566826</v>
      </c>
      <c r="S6" s="179">
        <v>11005662</v>
      </c>
      <c r="T6" s="179">
        <v>3109793</v>
      </c>
      <c r="U6" s="179">
        <v>1813779</v>
      </c>
      <c r="V6" s="179">
        <v>2572536</v>
      </c>
      <c r="W6" s="179">
        <v>1593427.4698459422</v>
      </c>
      <c r="X6" s="179">
        <v>1431720.5060000001</v>
      </c>
      <c r="Y6" s="179">
        <v>1457541.7699500001</v>
      </c>
      <c r="Z6" s="179">
        <v>1415426.8934948002</v>
      </c>
      <c r="AA6" s="179">
        <v>1411097</v>
      </c>
      <c r="AB6" s="179">
        <v>1037178</v>
      </c>
      <c r="AC6" s="179">
        <v>1530135</v>
      </c>
      <c r="AD6" s="179">
        <v>1376606</v>
      </c>
      <c r="AE6" s="179"/>
      <c r="AF6" s="349">
        <f>AD6/AC6-1</f>
        <v>-0.10033689837824766</v>
      </c>
      <c r="AG6" s="349">
        <f t="shared" ref="AG6:AG15" si="6">AD6/Z6-1</f>
        <v>-2.7426985931395143E-2</v>
      </c>
      <c r="AH6" s="218"/>
    </row>
    <row r="7" spans="1:37" ht="13" customHeight="1">
      <c r="A7" s="211"/>
      <c r="B7" s="23" t="str">
        <f>IF('Summary | Sumário'!D$6=Names!B$3,Names!AA5,Names!AB5)</f>
        <v>Time deposits</v>
      </c>
      <c r="C7" s="174">
        <v>2259047</v>
      </c>
      <c r="D7" s="174">
        <v>4771204</v>
      </c>
      <c r="E7" s="174">
        <f t="shared" si="2"/>
        <v>6922061</v>
      </c>
      <c r="F7" s="174">
        <f t="shared" si="3"/>
        <v>10517060</v>
      </c>
      <c r="G7" s="174">
        <f t="shared" si="4"/>
        <v>28158459</v>
      </c>
      <c r="H7" s="174">
        <f t="shared" si="5"/>
        <v>39228574.976070002</v>
      </c>
      <c r="I7" s="174">
        <f t="shared" si="0"/>
        <v>51292542</v>
      </c>
      <c r="J7" s="179"/>
      <c r="K7" s="174">
        <v>5394450</v>
      </c>
      <c r="L7" s="174">
        <v>6119961</v>
      </c>
      <c r="M7" s="174">
        <v>6580559</v>
      </c>
      <c r="N7" s="174">
        <v>6922061</v>
      </c>
      <c r="O7" s="174">
        <v>7894003</v>
      </c>
      <c r="P7" s="174">
        <v>8579727</v>
      </c>
      <c r="Q7" s="174">
        <v>9558462</v>
      </c>
      <c r="R7" s="174">
        <v>10517060</v>
      </c>
      <c r="S7" s="174">
        <v>11687031</v>
      </c>
      <c r="T7" s="174">
        <v>21616586</v>
      </c>
      <c r="U7" s="174">
        <v>25572336</v>
      </c>
      <c r="V7" s="174">
        <v>28158459</v>
      </c>
      <c r="W7" s="174">
        <v>29169018.986099999</v>
      </c>
      <c r="X7" s="174">
        <v>32531468.234000001</v>
      </c>
      <c r="Y7" s="174">
        <v>35665570.401489995</v>
      </c>
      <c r="Z7" s="174">
        <v>39228574.976070002</v>
      </c>
      <c r="AA7" s="174">
        <v>40140843</v>
      </c>
      <c r="AB7" s="174">
        <v>43392647</v>
      </c>
      <c r="AC7" s="174">
        <v>47753948</v>
      </c>
      <c r="AD7" s="174">
        <v>51292542</v>
      </c>
      <c r="AE7" s="179"/>
      <c r="AF7" s="350">
        <f t="shared" si="1"/>
        <v>7.4100553947916481E-2</v>
      </c>
      <c r="AG7" s="350">
        <f t="shared" si="6"/>
        <v>0.30753008569108586</v>
      </c>
      <c r="AH7" s="219"/>
    </row>
    <row r="8" spans="1:37" ht="13" customHeight="1">
      <c r="A8" s="211"/>
      <c r="B8" s="17" t="str">
        <f>IF('Summary | Sumário'!D$6=Names!B$3,Names!AA6,Names!AB6)</f>
        <v>Savings deposits</v>
      </c>
      <c r="C8" s="179">
        <v>307098</v>
      </c>
      <c r="D8" s="179">
        <v>887666</v>
      </c>
      <c r="E8" s="179">
        <f t="shared" si="2"/>
        <v>1230039</v>
      </c>
      <c r="F8" s="179">
        <f t="shared" si="3"/>
        <v>1307055</v>
      </c>
      <c r="G8" s="179">
        <f t="shared" si="4"/>
        <v>1540604</v>
      </c>
      <c r="H8" s="179">
        <f t="shared" si="5"/>
        <v>1883431.889</v>
      </c>
      <c r="I8" s="179">
        <f t="shared" si="0"/>
        <v>1599609</v>
      </c>
      <c r="J8" s="179"/>
      <c r="K8" s="179">
        <v>935359</v>
      </c>
      <c r="L8" s="179">
        <v>1049178</v>
      </c>
      <c r="M8" s="179">
        <v>1138085</v>
      </c>
      <c r="N8" s="179">
        <v>1230039</v>
      </c>
      <c r="O8" s="179">
        <v>1215061</v>
      </c>
      <c r="P8" s="179">
        <v>1182012</v>
      </c>
      <c r="Q8" s="179">
        <v>1216043</v>
      </c>
      <c r="R8" s="179">
        <v>1307055</v>
      </c>
      <c r="S8" s="179">
        <v>1274938</v>
      </c>
      <c r="T8" s="179">
        <v>1305803</v>
      </c>
      <c r="U8" s="179">
        <v>1350713</v>
      </c>
      <c r="V8" s="179">
        <v>1540604</v>
      </c>
      <c r="W8" s="179">
        <v>1549652.25122</v>
      </c>
      <c r="X8" s="179">
        <v>1715785.118</v>
      </c>
      <c r="Y8" s="179">
        <v>1777366.3865499999</v>
      </c>
      <c r="Z8" s="179">
        <v>1883431.889</v>
      </c>
      <c r="AA8" s="179">
        <v>1727777</v>
      </c>
      <c r="AB8" s="179">
        <v>1705232</v>
      </c>
      <c r="AC8" s="179">
        <v>1618140</v>
      </c>
      <c r="AD8" s="179">
        <v>1599609</v>
      </c>
      <c r="AE8" s="179"/>
      <c r="AF8" s="349">
        <f t="shared" si="1"/>
        <v>-1.1452037524565251E-2</v>
      </c>
      <c r="AG8" s="349">
        <f t="shared" si="6"/>
        <v>-0.15069453302646085</v>
      </c>
      <c r="AH8" s="219"/>
    </row>
    <row r="9" spans="1:37" ht="13" customHeight="1">
      <c r="A9" s="211"/>
      <c r="B9" s="23" t="str">
        <f>IF('Summary | Sumário'!D$6=Names!B$3,Names!AA7,Names!AB7)</f>
        <v>Creditors by resources to release</v>
      </c>
      <c r="C9" s="174">
        <v>54167</v>
      </c>
      <c r="D9" s="174">
        <v>64410</v>
      </c>
      <c r="E9" s="174">
        <f t="shared" si="2"/>
        <v>248633</v>
      </c>
      <c r="F9" s="174">
        <f t="shared" si="3"/>
        <v>251863</v>
      </c>
      <c r="G9" s="174">
        <f t="shared" si="4"/>
        <v>380021</v>
      </c>
      <c r="H9" s="174">
        <f t="shared" si="5"/>
        <v>275795.36</v>
      </c>
      <c r="I9" s="174">
        <f t="shared" si="0"/>
        <v>614327</v>
      </c>
      <c r="J9" s="179"/>
      <c r="K9" s="174">
        <v>77971</v>
      </c>
      <c r="L9" s="174">
        <v>160250</v>
      </c>
      <c r="M9" s="174">
        <v>211800</v>
      </c>
      <c r="N9" s="174">
        <v>248633</v>
      </c>
      <c r="O9" s="174">
        <v>228245</v>
      </c>
      <c r="P9" s="174">
        <v>200059</v>
      </c>
      <c r="Q9" s="174">
        <v>258532</v>
      </c>
      <c r="R9" s="174">
        <v>251863</v>
      </c>
      <c r="S9" s="174">
        <v>214375</v>
      </c>
      <c r="T9" s="174">
        <v>267144</v>
      </c>
      <c r="U9" s="174">
        <v>327160</v>
      </c>
      <c r="V9" s="174">
        <v>380021</v>
      </c>
      <c r="W9" s="174">
        <v>331346</v>
      </c>
      <c r="X9" s="174">
        <v>299344.21299999999</v>
      </c>
      <c r="Y9" s="174">
        <v>229281.05566999997</v>
      </c>
      <c r="Z9" s="174">
        <v>275795.36</v>
      </c>
      <c r="AA9" s="174">
        <v>368051</v>
      </c>
      <c r="AB9" s="174">
        <v>532286</v>
      </c>
      <c r="AC9" s="174">
        <v>594163</v>
      </c>
      <c r="AD9" s="174">
        <v>614327</v>
      </c>
      <c r="AE9" s="179"/>
      <c r="AF9" s="350">
        <f t="shared" si="1"/>
        <v>3.3936815318355462E-2</v>
      </c>
      <c r="AG9" s="350">
        <f t="shared" si="6"/>
        <v>1.227474022768186</v>
      </c>
      <c r="AH9" s="219"/>
    </row>
    <row r="10" spans="1:37" ht="13" customHeight="1">
      <c r="A10" s="211"/>
      <c r="B10" s="16" t="str">
        <f>IF('Summary | Sumário'!D$6=Names!B$3,Names!AA8,Names!AB8)</f>
        <v>Securities issued</v>
      </c>
      <c r="C10" s="179">
        <v>1719580</v>
      </c>
      <c r="D10" s="179">
        <v>1729436</v>
      </c>
      <c r="E10" s="179">
        <f t="shared" si="2"/>
        <v>3572093</v>
      </c>
      <c r="F10" s="179">
        <f t="shared" si="3"/>
        <v>6202165</v>
      </c>
      <c r="G10" s="179">
        <f t="shared" si="4"/>
        <v>8095042</v>
      </c>
      <c r="H10" s="179">
        <f t="shared" si="5"/>
        <v>9890219</v>
      </c>
      <c r="I10" s="179">
        <f t="shared" si="0"/>
        <v>14127144</v>
      </c>
      <c r="J10" s="179"/>
      <c r="K10" s="179">
        <v>1704892</v>
      </c>
      <c r="L10" s="179">
        <v>2081723</v>
      </c>
      <c r="M10" s="179">
        <v>3093320</v>
      </c>
      <c r="N10" s="179">
        <v>3572093</v>
      </c>
      <c r="O10" s="179">
        <v>4280956</v>
      </c>
      <c r="P10" s="179">
        <v>6104223</v>
      </c>
      <c r="Q10" s="179">
        <v>6916919</v>
      </c>
      <c r="R10" s="179">
        <v>6202165</v>
      </c>
      <c r="S10" s="179">
        <v>6640557</v>
      </c>
      <c r="T10" s="179">
        <v>7006191.0407400001</v>
      </c>
      <c r="U10" s="179">
        <v>7462564.5372699993</v>
      </c>
      <c r="V10" s="179">
        <v>8095042</v>
      </c>
      <c r="W10" s="179">
        <v>8249142.2142699994</v>
      </c>
      <c r="X10" s="179">
        <v>8543248.1730000004</v>
      </c>
      <c r="Y10" s="179">
        <v>9047656</v>
      </c>
      <c r="Z10" s="179">
        <v>9890219</v>
      </c>
      <c r="AA10" s="179">
        <v>10697969</v>
      </c>
      <c r="AB10" s="179">
        <v>11378259</v>
      </c>
      <c r="AC10" s="179">
        <v>12242366</v>
      </c>
      <c r="AD10" s="179">
        <v>14127144</v>
      </c>
      <c r="AE10" s="179"/>
      <c r="AF10" s="349">
        <f t="shared" si="1"/>
        <v>0.1539553710451067</v>
      </c>
      <c r="AG10" s="349">
        <f t="shared" si="6"/>
        <v>0.42839546829043917</v>
      </c>
      <c r="AH10" s="219"/>
    </row>
    <row r="11" spans="1:37" ht="13" customHeight="1">
      <c r="A11" s="211"/>
      <c r="B11" s="22" t="str">
        <f>IF('Summary | Sumário'!D$6=Names!B$3,Names!AA24,Names!AB24)</f>
        <v>Interest bearing deposits from banks</v>
      </c>
      <c r="C11" s="174">
        <f>SUM(C12:C13)</f>
        <v>510733</v>
      </c>
      <c r="D11" s="174">
        <f t="shared" ref="D11:AA11" si="7">SUM(D12:D13)</f>
        <v>102874</v>
      </c>
      <c r="E11" s="174">
        <f t="shared" si="2"/>
        <v>1113010</v>
      </c>
      <c r="F11" s="174">
        <f t="shared" si="3"/>
        <v>2635401</v>
      </c>
      <c r="G11" s="174">
        <f t="shared" si="4"/>
        <v>2658958</v>
      </c>
      <c r="H11" s="174">
        <f t="shared" si="5"/>
        <v>2242924.3964400003</v>
      </c>
      <c r="I11" s="174">
        <f t="shared" si="0"/>
        <v>3091883</v>
      </c>
      <c r="J11" s="179"/>
      <c r="K11" s="174">
        <f t="shared" si="7"/>
        <v>215077.01337999999</v>
      </c>
      <c r="L11" s="174">
        <f t="shared" si="7"/>
        <v>385394.85464999999</v>
      </c>
      <c r="M11" s="174">
        <f t="shared" si="7"/>
        <v>947510.22100000002</v>
      </c>
      <c r="N11" s="174">
        <f t="shared" si="7"/>
        <v>1113010</v>
      </c>
      <c r="O11" s="174">
        <f t="shared" si="7"/>
        <v>1473583</v>
      </c>
      <c r="P11" s="174">
        <f t="shared" si="7"/>
        <v>1795650</v>
      </c>
      <c r="Q11" s="174">
        <f t="shared" si="7"/>
        <v>2286525</v>
      </c>
      <c r="R11" s="174">
        <f t="shared" si="7"/>
        <v>2635401</v>
      </c>
      <c r="S11" s="174">
        <f t="shared" si="7"/>
        <v>2673490</v>
      </c>
      <c r="T11" s="174">
        <f t="shared" si="7"/>
        <v>2320817</v>
      </c>
      <c r="U11" s="174">
        <f t="shared" si="7"/>
        <v>2957425.0232100002</v>
      </c>
      <c r="V11" s="174">
        <f t="shared" si="7"/>
        <v>2658958</v>
      </c>
      <c r="W11" s="174">
        <f t="shared" si="7"/>
        <v>2788975.0564099997</v>
      </c>
      <c r="X11" s="174">
        <f t="shared" si="7"/>
        <v>3136404.7650000001</v>
      </c>
      <c r="Y11" s="174">
        <f t="shared" si="7"/>
        <v>1975608.0917399998</v>
      </c>
      <c r="Z11" s="174">
        <f t="shared" si="7"/>
        <v>2242924.3964400003</v>
      </c>
      <c r="AA11" s="174">
        <f t="shared" si="7"/>
        <v>4330418</v>
      </c>
      <c r="AB11" s="174">
        <f t="shared" ref="AB11:AC11" si="8">SUM(AB12:AB13)</f>
        <v>3623551</v>
      </c>
      <c r="AC11" s="174">
        <f t="shared" si="8"/>
        <v>3533488</v>
      </c>
      <c r="AD11" s="174">
        <f t="shared" ref="AD11" si="9">SUM(AD12:AD13)</f>
        <v>3091883</v>
      </c>
      <c r="AE11" s="179"/>
      <c r="AF11" s="350">
        <f t="shared" si="1"/>
        <v>-0.124977076475143</v>
      </c>
      <c r="AG11" s="350">
        <f t="shared" si="6"/>
        <v>0.37850522510142492</v>
      </c>
      <c r="AH11" s="219"/>
    </row>
    <row r="12" spans="1:37" ht="13" customHeight="1">
      <c r="A12" s="211"/>
      <c r="B12" s="17" t="str">
        <f>IF('Summary | Sumário'!D$6=Names!B$3,Names!AA20,Names!AB20)</f>
        <v>Securities sold under agreements to repurchase</v>
      </c>
      <c r="C12" s="179">
        <v>178491</v>
      </c>
      <c r="D12" s="179">
        <v>102874</v>
      </c>
      <c r="E12" s="179">
        <f t="shared" si="2"/>
        <v>973533</v>
      </c>
      <c r="F12" s="179">
        <f t="shared" si="3"/>
        <v>1902873</v>
      </c>
      <c r="G12" s="179">
        <f t="shared" si="4"/>
        <v>1011092</v>
      </c>
      <c r="H12" s="179">
        <f t="shared" si="5"/>
        <v>1725851.9284400002</v>
      </c>
      <c r="I12" s="179">
        <f t="shared" si="0"/>
        <v>3023399</v>
      </c>
      <c r="J12" s="179"/>
      <c r="K12" s="179">
        <v>164878.20288</v>
      </c>
      <c r="L12" s="179">
        <v>209582.78599999999</v>
      </c>
      <c r="M12" s="179">
        <v>656030.402</v>
      </c>
      <c r="N12" s="179">
        <v>973533</v>
      </c>
      <c r="O12" s="179">
        <v>976192</v>
      </c>
      <c r="P12" s="179">
        <v>1480935</v>
      </c>
      <c r="Q12" s="179">
        <v>1354877</v>
      </c>
      <c r="R12" s="179">
        <v>1902873</v>
      </c>
      <c r="S12" s="179">
        <v>1882289</v>
      </c>
      <c r="T12" s="179">
        <v>1727567</v>
      </c>
      <c r="U12" s="179">
        <v>1600987.9855800001</v>
      </c>
      <c r="V12" s="179">
        <v>1011092</v>
      </c>
      <c r="W12" s="179">
        <v>1107832.7549099999</v>
      </c>
      <c r="X12" s="179">
        <v>1372709.743</v>
      </c>
      <c r="Y12" s="179">
        <v>1776578.1025399999</v>
      </c>
      <c r="Z12" s="179">
        <v>1725851.9284400002</v>
      </c>
      <c r="AA12" s="179">
        <v>3798106</v>
      </c>
      <c r="AB12" s="179">
        <v>3088200</v>
      </c>
      <c r="AC12" s="179">
        <v>3479847</v>
      </c>
      <c r="AD12" s="179">
        <v>3023399</v>
      </c>
      <c r="AE12" s="179"/>
      <c r="AF12" s="349">
        <f t="shared" si="1"/>
        <v>-0.13116898530308951</v>
      </c>
      <c r="AG12" s="349">
        <f t="shared" si="6"/>
        <v>0.7518298935024248</v>
      </c>
      <c r="AH12" s="219"/>
    </row>
    <row r="13" spans="1:37" ht="13" customHeight="1">
      <c r="A13" s="211"/>
      <c r="B13" s="23" t="str">
        <f>IF('Summary | Sumário'!D$6=Names!B$3,Names!AA21,Names!AB21)</f>
        <v>Interbank deposits</v>
      </c>
      <c r="C13" s="174">
        <v>332242</v>
      </c>
      <c r="D13" s="174">
        <v>0</v>
      </c>
      <c r="E13" s="174">
        <f t="shared" si="2"/>
        <v>139477</v>
      </c>
      <c r="F13" s="174">
        <f t="shared" si="3"/>
        <v>732528</v>
      </c>
      <c r="G13" s="174">
        <f t="shared" si="4"/>
        <v>1647866</v>
      </c>
      <c r="H13" s="174">
        <f t="shared" si="5"/>
        <v>517072.46799999999</v>
      </c>
      <c r="I13" s="174">
        <f t="shared" si="0"/>
        <v>68484</v>
      </c>
      <c r="J13" s="179"/>
      <c r="K13" s="174">
        <v>50198.8105</v>
      </c>
      <c r="L13" s="174">
        <v>175812.06864999997</v>
      </c>
      <c r="M13" s="174">
        <v>291479.81900000002</v>
      </c>
      <c r="N13" s="174">
        <v>139477</v>
      </c>
      <c r="O13" s="174">
        <v>497391</v>
      </c>
      <c r="P13" s="174">
        <v>314715</v>
      </c>
      <c r="Q13" s="174">
        <v>931648</v>
      </c>
      <c r="R13" s="174">
        <v>732528</v>
      </c>
      <c r="S13" s="174">
        <v>791201</v>
      </c>
      <c r="T13" s="174">
        <v>593250</v>
      </c>
      <c r="U13" s="174">
        <v>1356437.0376300002</v>
      </c>
      <c r="V13" s="174">
        <v>1647866</v>
      </c>
      <c r="W13" s="174">
        <v>1681142.3015000001</v>
      </c>
      <c r="X13" s="174">
        <v>1763695.0220000001</v>
      </c>
      <c r="Y13" s="174">
        <v>199029.98919999998</v>
      </c>
      <c r="Z13" s="174">
        <v>517072.46799999999</v>
      </c>
      <c r="AA13" s="174">
        <v>532312</v>
      </c>
      <c r="AB13" s="174">
        <v>535351</v>
      </c>
      <c r="AC13" s="174">
        <v>53641</v>
      </c>
      <c r="AD13" s="174">
        <v>68484</v>
      </c>
      <c r="AE13" s="179"/>
      <c r="AF13" s="350">
        <f t="shared" si="1"/>
        <v>0.27670997930687347</v>
      </c>
      <c r="AG13" s="350">
        <f t="shared" si="6"/>
        <v>-0.86755434830074918</v>
      </c>
      <c r="AH13" s="219"/>
    </row>
    <row r="14" spans="1:37" ht="13" customHeight="1">
      <c r="A14" s="211"/>
      <c r="B14" s="16" t="str">
        <f>IF('Summary | Sumário'!D$6=Names!B$3,Names!AA22,Names!AB22)</f>
        <v>Borrowings and on-lending</v>
      </c>
      <c r="C14" s="179">
        <v>29800</v>
      </c>
      <c r="D14" s="179">
        <v>27405</v>
      </c>
      <c r="E14" s="179">
        <f t="shared" si="2"/>
        <v>25071</v>
      </c>
      <c r="F14" s="179">
        <f t="shared" si="3"/>
        <v>36448</v>
      </c>
      <c r="G14" s="179">
        <f t="shared" si="4"/>
        <v>107412</v>
      </c>
      <c r="H14" s="179">
        <f t="shared" si="5"/>
        <v>128924</v>
      </c>
      <c r="I14" s="179">
        <f t="shared" si="0"/>
        <v>817495</v>
      </c>
      <c r="J14" s="179"/>
      <c r="K14" s="179">
        <v>27179</v>
      </c>
      <c r="L14" s="179">
        <v>26325</v>
      </c>
      <c r="M14" s="179">
        <v>25580</v>
      </c>
      <c r="N14" s="179">
        <v>25071</v>
      </c>
      <c r="O14" s="179">
        <v>33002</v>
      </c>
      <c r="P14" s="179">
        <v>31855</v>
      </c>
      <c r="Q14" s="179">
        <v>33119</v>
      </c>
      <c r="R14" s="179">
        <v>36448</v>
      </c>
      <c r="S14" s="179">
        <v>36632</v>
      </c>
      <c r="T14" s="179">
        <v>38753</v>
      </c>
      <c r="U14" s="179">
        <v>87649</v>
      </c>
      <c r="V14" s="179">
        <v>107412</v>
      </c>
      <c r="W14" s="179">
        <v>102019.6489</v>
      </c>
      <c r="X14" s="179">
        <v>101630.08100000001</v>
      </c>
      <c r="Y14" s="179">
        <v>114824</v>
      </c>
      <c r="Z14" s="179">
        <v>128924</v>
      </c>
      <c r="AA14" s="179">
        <v>397953</v>
      </c>
      <c r="AB14" s="179">
        <v>572557</v>
      </c>
      <c r="AC14" s="179">
        <v>676424</v>
      </c>
      <c r="AD14" s="179">
        <v>817495</v>
      </c>
      <c r="AE14" s="179"/>
      <c r="AF14" s="349">
        <f t="shared" si="1"/>
        <v>0.20855410216077486</v>
      </c>
      <c r="AG14" s="349">
        <f t="shared" si="6"/>
        <v>5.3409062703608328</v>
      </c>
      <c r="AH14" s="219"/>
    </row>
    <row r="15" spans="1:37" ht="13" customHeight="1">
      <c r="A15" s="211"/>
      <c r="B15" s="294" t="str">
        <f>IF('Summary | Sumário'!D$6=Names!B$3,Names!AA9,Names!AB9)</f>
        <v>Total funding</v>
      </c>
      <c r="C15" s="295">
        <f>C5+C10+C11+C14</f>
        <v>6974552</v>
      </c>
      <c r="D15" s="295">
        <f t="shared" ref="D15:AA15" si="10">D5+D10+D11+D14</f>
        <v>14296347</v>
      </c>
      <c r="E15" s="295">
        <f t="shared" si="2"/>
        <v>23043717</v>
      </c>
      <c r="F15" s="295">
        <f t="shared" si="3"/>
        <v>32516818</v>
      </c>
      <c r="G15" s="295">
        <f t="shared" si="4"/>
        <v>43513032</v>
      </c>
      <c r="H15" s="295">
        <f t="shared" si="5"/>
        <v>55065296.396439999</v>
      </c>
      <c r="I15" s="295">
        <f t="shared" si="0"/>
        <v>72919606</v>
      </c>
      <c r="J15" s="336"/>
      <c r="K15" s="295">
        <f t="shared" si="10"/>
        <v>15339827.01338</v>
      </c>
      <c r="L15" s="295">
        <f t="shared" si="10"/>
        <v>18122573.474649996</v>
      </c>
      <c r="M15" s="295">
        <f t="shared" si="10"/>
        <v>21159883.519000001</v>
      </c>
      <c r="N15" s="295">
        <f t="shared" si="10"/>
        <v>23043717</v>
      </c>
      <c r="O15" s="295">
        <f t="shared" si="10"/>
        <v>24745659</v>
      </c>
      <c r="P15" s="295">
        <f t="shared" si="10"/>
        <v>27678137</v>
      </c>
      <c r="Q15" s="295">
        <f t="shared" si="10"/>
        <v>30688589</v>
      </c>
      <c r="R15" s="295">
        <f t="shared" si="10"/>
        <v>32516818</v>
      </c>
      <c r="S15" s="295">
        <f t="shared" si="10"/>
        <v>33532685</v>
      </c>
      <c r="T15" s="295">
        <f t="shared" si="10"/>
        <v>35665087.040739998</v>
      </c>
      <c r="U15" s="295">
        <f t="shared" si="10"/>
        <v>39571626.560479999</v>
      </c>
      <c r="V15" s="295">
        <f t="shared" si="10"/>
        <v>43513032</v>
      </c>
      <c r="W15" s="295">
        <f t="shared" si="10"/>
        <v>43783581.005715944</v>
      </c>
      <c r="X15" s="295">
        <f t="shared" si="10"/>
        <v>47759601.090000004</v>
      </c>
      <c r="Y15" s="295">
        <f t="shared" si="10"/>
        <v>50267847.091739997</v>
      </c>
      <c r="Z15" s="295">
        <f t="shared" si="10"/>
        <v>55065296.396439999</v>
      </c>
      <c r="AA15" s="295">
        <f t="shared" si="10"/>
        <v>59074108</v>
      </c>
      <c r="AB15" s="295">
        <f t="shared" ref="AB15" si="11">AB5+AB10+AB11+AB14</f>
        <v>62241710</v>
      </c>
      <c r="AC15" s="295">
        <f>AC5+AC10+AC11+AC14</f>
        <v>67948664</v>
      </c>
      <c r="AD15" s="295">
        <f>AD5+AD10+AD11+AD14</f>
        <v>72919606</v>
      </c>
      <c r="AE15" s="336"/>
      <c r="AF15" s="351">
        <f t="shared" si="1"/>
        <v>7.3157317706791014E-2</v>
      </c>
      <c r="AG15" s="351">
        <f t="shared" si="6"/>
        <v>0.3242388722475722</v>
      </c>
      <c r="AH15" s="219"/>
    </row>
    <row r="16" spans="1:37" ht="13" customHeight="1">
      <c r="B16" s="57"/>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I16" s="149"/>
    </row>
    <row r="17" spans="1:36" ht="13" customHeight="1">
      <c r="A17" s="211"/>
      <c r="B17" s="57"/>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736"/>
      <c r="AE17" s="226"/>
      <c r="AF17" s="226"/>
      <c r="AG17" s="226"/>
      <c r="AH17" s="149"/>
      <c r="AI17" s="149"/>
      <c r="AJ17" s="208"/>
    </row>
    <row r="18" spans="1:36" ht="13" customHeight="1">
      <c r="A18" s="211"/>
      <c r="B18" s="4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49"/>
      <c r="AI18" s="149"/>
      <c r="AJ18" s="208"/>
    </row>
    <row r="19" spans="1:36" ht="13" customHeight="1">
      <c r="A19" s="211"/>
      <c r="B19" s="49"/>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149"/>
      <c r="AI19" s="149"/>
    </row>
    <row r="20" spans="1:36" ht="13" customHeight="1">
      <c r="A20" s="211"/>
      <c r="B20" s="50"/>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149"/>
      <c r="AI20" s="149"/>
    </row>
    <row r="21" spans="1:36" ht="13" customHeight="1">
      <c r="A21" s="211"/>
      <c r="AH21" s="149"/>
      <c r="AI21" s="149"/>
    </row>
    <row r="22" spans="1:36" ht="13" customHeight="1">
      <c r="A22" s="211"/>
      <c r="B22" s="51"/>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row>
    <row r="23" spans="1:36" ht="13" customHeight="1">
      <c r="A23" s="211"/>
      <c r="B23" s="51"/>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row>
    <row r="24" spans="1:36" ht="13" customHeight="1">
      <c r="A24" s="211"/>
      <c r="B24" s="51"/>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row>
    <row r="25" spans="1:36" ht="13" customHeight="1">
      <c r="A25" s="211"/>
      <c r="AH25" s="185"/>
    </row>
    <row r="26" spans="1:36" ht="13" customHeight="1">
      <c r="AH26" s="185"/>
    </row>
  </sheetData>
  <sheetProtection algorithmName="SHA-512" hashValue="CCuOwpqtpUGY+9+K+Y5GQhUkky7TeB0U4UMPWXe7LzfN3sHNY/FOdR75jWT8o8HPqpK+AYp/IgiPugsXsv6SSA==" saltValue="BU+xKGmoetQLGo2cJg8Or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ignoredErrors>
    <ignoredError sqref="AE2:AG4 AE15 J10 AE10 J11 AE11 C11:H11 E10:H10 C15:H15 C2:H4 J15:AC15 J3:AC4 AE9 AE5 AE6 AE7 AE8 AE12 AE13 AE14 J2:AB2 E9:H9 E5:H5 E6:H6 E7:H7 E8:H8 E12:H12 E13:H13 E14:H14 J9 J5 J6 J7 J8 J12 J13 J14" unlockedFormula="1"/>
    <ignoredError sqref="K11:AC11" formula="1" unlocked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E781-4025-2040-B493-11733DB11A31}">
  <sheetPr codeName="Sheet8">
    <tabColor rgb="FFEB7100"/>
  </sheetPr>
  <dimension ref="A1:AM12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6" customWidth="1"/>
    <col min="9" max="9" width="11.5" style="116" bestFit="1" customWidth="1"/>
    <col min="10" max="10" width="2.83203125" style="116" customWidth="1"/>
    <col min="11" max="19" width="10.83203125" style="116" customWidth="1"/>
    <col min="20" max="26" width="10.83203125" style="116"/>
    <col min="27" max="27" width="10.83203125" style="116" customWidth="1"/>
    <col min="28" max="28" width="11.5" style="116" bestFit="1" customWidth="1"/>
    <col min="29" max="30" width="11.5" style="116" customWidth="1"/>
    <col min="31" max="31" width="5.83203125" style="116" customWidth="1"/>
    <col min="32" max="16384" width="10.83203125" style="116"/>
  </cols>
  <sheetData>
    <row r="1" spans="1:39"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1:39" s="10" customFormat="1" ht="13" customHeight="1">
      <c r="B2" s="267" t="str">
        <f>IF('Summary | Sumário'!D$6=Names!B$3,Names!V1,Names!W1)</f>
        <v>IEP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0" t="str">
        <f>IF('Summary | Sumário'!D6=Names!B3,Names!C7,Names!D7)</f>
        <v>2Q21</v>
      </c>
      <c r="M2" s="20"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58"/>
      <c r="AI2" s="58"/>
      <c r="AJ2" s="11"/>
      <c r="AL2" s="12"/>
      <c r="AM2" s="13"/>
    </row>
    <row r="3" spans="1:39" ht="13" customHeight="1">
      <c r="B3" s="14"/>
      <c r="C3" s="126"/>
      <c r="D3" s="126"/>
      <c r="E3" s="126"/>
      <c r="F3" s="126"/>
      <c r="G3" s="126"/>
      <c r="H3" s="126"/>
      <c r="I3" s="126"/>
      <c r="J3" s="321"/>
      <c r="K3" s="127"/>
      <c r="L3" s="127"/>
      <c r="M3" s="127"/>
      <c r="N3" s="127"/>
      <c r="O3" s="127"/>
      <c r="P3" s="127"/>
      <c r="Q3" s="127"/>
      <c r="R3" s="127"/>
      <c r="S3" s="127"/>
      <c r="T3" s="127"/>
      <c r="U3" s="127"/>
      <c r="V3" s="127"/>
      <c r="W3" s="127"/>
      <c r="X3" s="127"/>
      <c r="Y3" s="127"/>
      <c r="Z3" s="127"/>
      <c r="AA3" s="127"/>
      <c r="AB3" s="120"/>
      <c r="AC3" s="120"/>
      <c r="AD3" s="120"/>
      <c r="AE3" s="120"/>
      <c r="AF3" s="120"/>
      <c r="AG3" s="120"/>
    </row>
    <row r="4" spans="1:39" s="145" customFormat="1" ht="13" customHeight="1">
      <c r="A4" s="143"/>
      <c r="B4" s="3" t="str">
        <f>IF('Summary | Sumário'!D$6=Names!B$3,Names!V4,Names!W4)</f>
        <v>Total Interest Earning Assets</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2"/>
      <c r="AG4" s="182"/>
    </row>
    <row r="5" spans="1:39" ht="13" customHeight="1">
      <c r="A5" s="211"/>
      <c r="B5" s="288" t="str">
        <f>IF('Summary | Sumário'!D6=Names!B3,Names!K3,Names!L3)</f>
        <v>Cash and equivalents</v>
      </c>
      <c r="C5" s="289">
        <f>'2. BS | BP'!C5</f>
        <v>3114789</v>
      </c>
      <c r="D5" s="289">
        <f>'2. BS | BP'!D5</f>
        <v>2154687</v>
      </c>
      <c r="E5" s="289">
        <f>'2. BS | BP'!E5</f>
        <v>500446</v>
      </c>
      <c r="F5" s="289">
        <f>'2. BS | BP'!F5</f>
        <v>1331648</v>
      </c>
      <c r="G5" s="289">
        <f>'2. BS | BP'!G5</f>
        <v>4259379</v>
      </c>
      <c r="H5" s="289">
        <f>'2. BS | BP'!H5</f>
        <v>1108393.9463064999</v>
      </c>
      <c r="I5" s="289">
        <f>'2. BS | BP'!I5</f>
        <v>3801513</v>
      </c>
      <c r="J5" s="179"/>
      <c r="K5" s="289">
        <f>'2. BS | BP'!K5</f>
        <v>906123</v>
      </c>
      <c r="L5" s="289">
        <f>'2. BS | BP'!L5</f>
        <v>5731007.0010000002</v>
      </c>
      <c r="M5" s="289">
        <f>'2. BS | BP'!M5</f>
        <v>451774.29800000001</v>
      </c>
      <c r="N5" s="289">
        <f>'2. BS | BP'!N5</f>
        <v>500446</v>
      </c>
      <c r="O5" s="289">
        <f>'2. BS | BP'!O5</f>
        <v>1171654</v>
      </c>
      <c r="P5" s="289">
        <f>'2. BS | BP'!P5</f>
        <v>1549158</v>
      </c>
      <c r="Q5" s="289">
        <f>'2. BS | BP'!Q5</f>
        <v>838310</v>
      </c>
      <c r="R5" s="289">
        <f>'2. BS | BP'!R5</f>
        <v>1331648</v>
      </c>
      <c r="S5" s="289">
        <f>'2. BS | BP'!S5</f>
        <v>1791707</v>
      </c>
      <c r="T5" s="289">
        <f>'2. BS | BP'!T5</f>
        <v>3672219</v>
      </c>
      <c r="U5" s="289">
        <f>'2. BS | BP'!U5</f>
        <v>4297077.8057988677</v>
      </c>
      <c r="V5" s="289">
        <f>'2. BS | BP'!V5</f>
        <v>4259379</v>
      </c>
      <c r="W5" s="289">
        <f>'2. BS | BP'!W5</f>
        <v>2830309.989293688</v>
      </c>
      <c r="X5" s="289">
        <f>'2. BS | BP'!X5</f>
        <v>2797339.324</v>
      </c>
      <c r="Y5" s="289">
        <f>'2. BS | BP'!Y5</f>
        <v>2273564.7124805599</v>
      </c>
      <c r="Z5" s="289">
        <f>'2. BS | BP'!Z5</f>
        <v>1108393.9463064999</v>
      </c>
      <c r="AA5" s="289">
        <f>'2. BS | BP'!AA5</f>
        <v>1458588</v>
      </c>
      <c r="AB5" s="289">
        <f>'2. BS | BP'!AB5</f>
        <v>4834125</v>
      </c>
      <c r="AC5" s="289">
        <f>'2. BS | BP'!AC5</f>
        <v>5695320</v>
      </c>
      <c r="AD5" s="289">
        <f>'2. BS | BP'!AD5</f>
        <v>3801513</v>
      </c>
      <c r="AE5" s="179"/>
      <c r="AF5" s="337">
        <f t="shared" ref="AF5:AF23" si="0">AD5/AC5-1</f>
        <v>-0.33251985841006304</v>
      </c>
      <c r="AG5" s="337">
        <f t="shared" ref="AG5:AG23" si="1">AD5/Z5-1</f>
        <v>2.4297489738804314</v>
      </c>
    </row>
    <row r="6" spans="1:39" ht="13" customHeight="1">
      <c r="A6" s="211"/>
      <c r="B6" s="51" t="str">
        <f>IF('Summary | Sumário'!D7=Names!B4,Names!V2,Names!W2)</f>
        <v>Amounts due from financial institutions excl. interbank onlending</v>
      </c>
      <c r="C6" s="220">
        <f>'2. BS | BP'!C6+C8</f>
        <v>229088</v>
      </c>
      <c r="D6" s="220">
        <f>'2. BS | BP'!D6+D8</f>
        <v>502391</v>
      </c>
      <c r="E6" s="220">
        <f>'2. BS | BP'!E6+E8</f>
        <v>2026303</v>
      </c>
      <c r="F6" s="220">
        <f>'2. BS | BP'!F6+F8</f>
        <v>4227051</v>
      </c>
      <c r="G6" s="220">
        <f>'2. BS | BP'!G6+G8</f>
        <v>3687019</v>
      </c>
      <c r="H6" s="220">
        <f>'2. BS | BP'!H6+H8</f>
        <v>6161040.6410200009</v>
      </c>
      <c r="I6" s="220">
        <f>'2. BS | BP'!I6+I8</f>
        <v>4579665</v>
      </c>
      <c r="J6" s="220"/>
      <c r="K6" s="220">
        <f>'2. BS | BP'!K6+K8</f>
        <v>578499</v>
      </c>
      <c r="L6" s="220">
        <f>'2. BS | BP'!L6+L8</f>
        <v>646905</v>
      </c>
      <c r="M6" s="220">
        <f>'2. BS | BP'!M6+M8</f>
        <v>1408183</v>
      </c>
      <c r="N6" s="220">
        <f>'2. BS | BP'!N6+N8</f>
        <v>2026303</v>
      </c>
      <c r="O6" s="220">
        <f>'2. BS | BP'!O6+O8</f>
        <v>1439464</v>
      </c>
      <c r="P6" s="220">
        <f>'2. BS | BP'!P6+P8</f>
        <v>1418548</v>
      </c>
      <c r="Q6" s="220">
        <f>'2. BS | BP'!Q6+Q8</f>
        <v>3402731</v>
      </c>
      <c r="R6" s="220">
        <f>'2. BS | BP'!R6+R8</f>
        <v>4227051</v>
      </c>
      <c r="S6" s="220">
        <f>'2. BS | BP'!S6+S8</f>
        <v>3740726</v>
      </c>
      <c r="T6" s="220">
        <f>'2. BS | BP'!T6+T8</f>
        <v>2539972</v>
      </c>
      <c r="U6" s="220">
        <f>'2. BS | BP'!U6+U8</f>
        <v>3339757.8523399998</v>
      </c>
      <c r="V6" s="220">
        <f>'2. BS | BP'!V6+V8</f>
        <v>3687019</v>
      </c>
      <c r="W6" s="220">
        <f>'2. BS | BP'!W6+W8</f>
        <v>3892684.4775399994</v>
      </c>
      <c r="X6" s="220">
        <f>'2. BS | BP'!X6+X8</f>
        <v>5102987.9583599996</v>
      </c>
      <c r="Y6" s="220">
        <f>'2. BS | BP'!Y6+Y8</f>
        <v>4914229.53804</v>
      </c>
      <c r="Z6" s="220">
        <f>'2. BS | BP'!Z6+Z8</f>
        <v>6161040.6410200009</v>
      </c>
      <c r="AA6" s="220">
        <f>'2. BS | BP'!AA6+AA8</f>
        <v>5748078</v>
      </c>
      <c r="AB6" s="220">
        <f>'2. BS | BP'!AB6+AB8</f>
        <v>4066035</v>
      </c>
      <c r="AC6" s="220">
        <f>'2. BS | BP'!AC6+AC8</f>
        <v>3068027</v>
      </c>
      <c r="AD6" s="220">
        <f>'2. BS | BP'!AD6+AD8</f>
        <v>4579665</v>
      </c>
      <c r="AE6" s="220"/>
      <c r="AF6" s="204">
        <f t="shared" si="0"/>
        <v>0.49270687643883182</v>
      </c>
      <c r="AG6" s="204">
        <f t="shared" si="1"/>
        <v>-0.25667346365015919</v>
      </c>
      <c r="AH6" s="335"/>
      <c r="AI6" s="335"/>
      <c r="AJ6" s="335"/>
    </row>
    <row r="7" spans="1:39" ht="13" customHeight="1">
      <c r="B7" s="59" t="str">
        <f>IF('Summary | Sumário'!D7=Names!B4,Names!V10,Names!W10)</f>
        <v>Amounts due from financial institutions</v>
      </c>
      <c r="C7" s="216">
        <f t="shared" ref="C7:Z7" si="2">C6-C8</f>
        <v>256097</v>
      </c>
      <c r="D7" s="216">
        <f t="shared" si="2"/>
        <v>502369</v>
      </c>
      <c r="E7" s="216">
        <f t="shared" si="2"/>
        <v>2051862</v>
      </c>
      <c r="F7" s="216">
        <f t="shared" si="2"/>
        <v>4258856</v>
      </c>
      <c r="G7" s="216">
        <f t="shared" si="2"/>
        <v>3718505.7949100002</v>
      </c>
      <c r="H7" s="216">
        <f t="shared" si="2"/>
        <v>6194960.1520200009</v>
      </c>
      <c r="I7" s="216">
        <f t="shared" ref="I7" si="3">I6-I8</f>
        <v>4600218</v>
      </c>
      <c r="J7" s="188"/>
      <c r="K7" s="216">
        <f t="shared" si="2"/>
        <v>578499</v>
      </c>
      <c r="L7" s="216">
        <f t="shared" si="2"/>
        <v>646905</v>
      </c>
      <c r="M7" s="216">
        <f t="shared" si="2"/>
        <v>1408183</v>
      </c>
      <c r="N7" s="216">
        <f t="shared" si="2"/>
        <v>2051862</v>
      </c>
      <c r="O7" s="216">
        <f t="shared" si="2"/>
        <v>1807258</v>
      </c>
      <c r="P7" s="216">
        <f t="shared" si="2"/>
        <v>1825289</v>
      </c>
      <c r="Q7" s="216">
        <f t="shared" si="2"/>
        <v>3417500</v>
      </c>
      <c r="R7" s="216">
        <f t="shared" si="2"/>
        <v>4258856</v>
      </c>
      <c r="S7" s="216">
        <f t="shared" si="2"/>
        <v>3770074</v>
      </c>
      <c r="T7" s="216">
        <f t="shared" si="2"/>
        <v>2556811</v>
      </c>
      <c r="U7" s="216">
        <f t="shared" si="2"/>
        <v>3474243.8523399998</v>
      </c>
      <c r="V7" s="216">
        <f t="shared" si="2"/>
        <v>3718505.7949100002</v>
      </c>
      <c r="W7" s="216">
        <f t="shared" si="2"/>
        <v>4051287.3041199995</v>
      </c>
      <c r="X7" s="216">
        <f t="shared" si="2"/>
        <v>5280321.6449999996</v>
      </c>
      <c r="Y7" s="216">
        <f t="shared" si="2"/>
        <v>5225481.9997899998</v>
      </c>
      <c r="Z7" s="216">
        <f t="shared" si="2"/>
        <v>6194960.1520200009</v>
      </c>
      <c r="AA7" s="216">
        <f>AA6-AA8</f>
        <v>6595073</v>
      </c>
      <c r="AB7" s="216">
        <f>AB6-AB8</f>
        <v>4952995</v>
      </c>
      <c r="AC7" s="216">
        <f>AC6-AC8</f>
        <v>3275871</v>
      </c>
      <c r="AD7" s="216">
        <f>AD6-AD8</f>
        <v>4600218</v>
      </c>
      <c r="AF7" s="203">
        <f t="shared" si="0"/>
        <v>0.40427324519188934</v>
      </c>
      <c r="AG7" s="203">
        <f t="shared" si="1"/>
        <v>-0.25742573202831676</v>
      </c>
    </row>
    <row r="8" spans="1:39" ht="13" customHeight="1">
      <c r="A8" s="211"/>
      <c r="B8" s="54" t="str">
        <f>IF('Summary | Sumário'!D7=Names!B4,Names!V3,Names!W3)</f>
        <v>(-) Interbank on-lending</v>
      </c>
      <c r="C8" s="220">
        <v>-27009</v>
      </c>
      <c r="D8" s="220">
        <v>22</v>
      </c>
      <c r="E8" s="220">
        <f>N8</f>
        <v>-25559</v>
      </c>
      <c r="F8" s="220">
        <f>R8</f>
        <v>-31805</v>
      </c>
      <c r="G8" s="220">
        <f>V8</f>
        <v>-31486.794910000001</v>
      </c>
      <c r="H8" s="220">
        <f>Z8</f>
        <v>-33919.510999999999</v>
      </c>
      <c r="I8" s="220">
        <f>AD8</f>
        <v>-20553</v>
      </c>
      <c r="J8" s="220"/>
      <c r="K8" s="220">
        <v>0</v>
      </c>
      <c r="L8" s="220">
        <v>0</v>
      </c>
      <c r="M8" s="220">
        <v>0</v>
      </c>
      <c r="N8" s="220">
        <v>-25559</v>
      </c>
      <c r="O8" s="220">
        <v>-367794</v>
      </c>
      <c r="P8" s="220">
        <v>-406741</v>
      </c>
      <c r="Q8" s="220">
        <v>-14769</v>
      </c>
      <c r="R8" s="220">
        <v>-31805</v>
      </c>
      <c r="S8" s="220">
        <v>-29348</v>
      </c>
      <c r="T8" s="220">
        <v>-16839</v>
      </c>
      <c r="U8" s="220">
        <v>-134486</v>
      </c>
      <c r="V8" s="220">
        <v>-31486.794910000001</v>
      </c>
      <c r="W8" s="220">
        <v>-158602.82658000002</v>
      </c>
      <c r="X8" s="220">
        <v>-177333.68664000003</v>
      </c>
      <c r="Y8" s="220">
        <v>-311252.46175000002</v>
      </c>
      <c r="Z8" s="220">
        <v>-33919.510999999999</v>
      </c>
      <c r="AA8" s="220">
        <v>-846995</v>
      </c>
      <c r="AB8" s="220">
        <v>-886960</v>
      </c>
      <c r="AC8" s="220">
        <v>-207844</v>
      </c>
      <c r="AD8" s="220">
        <v>-20553</v>
      </c>
      <c r="AE8" s="220"/>
      <c r="AF8" s="204">
        <f t="shared" si="0"/>
        <v>-0.9011133350012509</v>
      </c>
      <c r="AG8" s="204">
        <f t="shared" si="1"/>
        <v>-0.39406555713612734</v>
      </c>
      <c r="AH8" s="335"/>
      <c r="AI8" s="335"/>
      <c r="AJ8" s="335"/>
    </row>
    <row r="9" spans="1:39" ht="13" customHeight="1">
      <c r="A9" s="211"/>
      <c r="B9" s="177" t="str">
        <f>IF('Summary | Sumário'!D6=Names!B3,Names!K5,Names!L5)</f>
        <v>Deposits at Central Bank of Brazil</v>
      </c>
      <c r="C9" s="221">
        <f>'2. BS | BP'!C7</f>
        <v>392280</v>
      </c>
      <c r="D9" s="221">
        <f>'2. BS | BP'!D7</f>
        <v>1709729</v>
      </c>
      <c r="E9" s="221">
        <f>'2. BS | BP'!E7</f>
        <v>2399488</v>
      </c>
      <c r="F9" s="221">
        <f>'2. BS | BP'!F7</f>
        <v>2854778</v>
      </c>
      <c r="G9" s="221">
        <f>'2. BS | BP'!G7</f>
        <v>2664415</v>
      </c>
      <c r="H9" s="221">
        <f>'2. BS | BP'!H7</f>
        <v>5285401.7280000001</v>
      </c>
      <c r="I9" s="221">
        <f>'2. BS | BP'!I7</f>
        <v>7867658</v>
      </c>
      <c r="J9" s="220"/>
      <c r="K9" s="221">
        <f>'2. BS | BP'!K7</f>
        <v>1644359</v>
      </c>
      <c r="L9" s="221">
        <f>'2. BS | BP'!L7</f>
        <v>1593298</v>
      </c>
      <c r="M9" s="221">
        <f>'2. BS | BP'!M7</f>
        <v>2331697</v>
      </c>
      <c r="N9" s="221">
        <f>'2. BS | BP'!N7</f>
        <v>2399488</v>
      </c>
      <c r="O9" s="221">
        <f>'2. BS | BP'!O7</f>
        <v>2361774</v>
      </c>
      <c r="P9" s="221">
        <f>'2. BS | BP'!P7</f>
        <v>2580989</v>
      </c>
      <c r="Q9" s="221">
        <f>'2. BS | BP'!Q7</f>
        <v>2686243</v>
      </c>
      <c r="R9" s="221">
        <f>'2. BS | BP'!R7</f>
        <v>2854778</v>
      </c>
      <c r="S9" s="221">
        <f>'2. BS | BP'!S7</f>
        <v>2993616</v>
      </c>
      <c r="T9" s="221">
        <f>'2. BS | BP'!T7</f>
        <v>1703869</v>
      </c>
      <c r="U9" s="221">
        <f>'2. BS | BP'!U7</f>
        <v>2190872.3033499997</v>
      </c>
      <c r="V9" s="221">
        <f>'2. BS | BP'!V7</f>
        <v>2664415</v>
      </c>
      <c r="W9" s="221">
        <f>'2. BS | BP'!W7</f>
        <v>2925658.3690599999</v>
      </c>
      <c r="X9" s="221">
        <f>'2. BS | BP'!X7</f>
        <v>3725774.7710000002</v>
      </c>
      <c r="Y9" s="221">
        <f>'2. BS | BP'!Y7</f>
        <v>4185155.9511100003</v>
      </c>
      <c r="Z9" s="221">
        <f>'2. BS | BP'!Z7</f>
        <v>5285401.7280000001</v>
      </c>
      <c r="AA9" s="221">
        <f>'2. BS | BP'!AA7</f>
        <v>5648238</v>
      </c>
      <c r="AB9" s="221">
        <f>'2. BS | BP'!AB7</f>
        <v>6179662</v>
      </c>
      <c r="AC9" s="221">
        <f>'2. BS | BP'!AC7</f>
        <v>7072746</v>
      </c>
      <c r="AD9" s="221">
        <f>'2. BS | BP'!AD7</f>
        <v>7867658</v>
      </c>
      <c r="AE9" s="220"/>
      <c r="AF9" s="203">
        <f t="shared" si="0"/>
        <v>0.11239085922214653</v>
      </c>
      <c r="AG9" s="203">
        <f t="shared" si="1"/>
        <v>0.48856386040066013</v>
      </c>
      <c r="AH9" s="323"/>
      <c r="AI9" s="323"/>
      <c r="AJ9" s="323"/>
    </row>
    <row r="10" spans="1:39" ht="13" customHeight="1">
      <c r="A10" s="211"/>
      <c r="B10" s="116" t="str">
        <f>IF('Summary | Sumário'!D6=Names!B3,Names!K6,Names!L6)</f>
        <v>Securities, net of provisions for expected credit losses</v>
      </c>
      <c r="C10" s="220">
        <f>'2. BS | BP'!C8</f>
        <v>1155094</v>
      </c>
      <c r="D10" s="220">
        <f>'2. BS | BP'!D8</f>
        <v>5812622</v>
      </c>
      <c r="E10" s="220">
        <f>'2. BS | BP'!E8</f>
        <v>12757687</v>
      </c>
      <c r="F10" s="220">
        <f>'2. BS | BP'!F8</f>
        <v>12448565</v>
      </c>
      <c r="G10" s="220">
        <f>'2. BS | BP'!G8</f>
        <v>16868112</v>
      </c>
      <c r="H10" s="220">
        <f>'2. BS | BP'!H8</f>
        <v>23899551.020405103</v>
      </c>
      <c r="I10" s="220">
        <f>'2. BS | BP'!I8</f>
        <v>29010323</v>
      </c>
      <c r="J10" s="220"/>
      <c r="K10" s="220">
        <f>'2. BS | BP'!K8</f>
        <v>6619726</v>
      </c>
      <c r="L10" s="220">
        <f>'2. BS | BP'!L8</f>
        <v>8230481</v>
      </c>
      <c r="M10" s="220">
        <f>'2. BS | BP'!M8</f>
        <v>13241180</v>
      </c>
      <c r="N10" s="220">
        <f>'2. BS | BP'!N8</f>
        <v>12757687</v>
      </c>
      <c r="O10" s="220">
        <f>'2. BS | BP'!O8</f>
        <v>12335401</v>
      </c>
      <c r="P10" s="220">
        <f>'2. BS | BP'!P8</f>
        <v>12710051</v>
      </c>
      <c r="Q10" s="220">
        <f>'2. BS | BP'!Q8</f>
        <v>13373465</v>
      </c>
      <c r="R10" s="220">
        <f>'2. BS | BP'!R8</f>
        <v>12448565</v>
      </c>
      <c r="S10" s="220">
        <f>'2. BS | BP'!S8</f>
        <v>12535351</v>
      </c>
      <c r="T10" s="220">
        <f>'2. BS | BP'!T8</f>
        <v>14169684</v>
      </c>
      <c r="U10" s="220">
        <f>'2. BS | BP'!U8</f>
        <v>14908297</v>
      </c>
      <c r="V10" s="220">
        <f>'2. BS | BP'!V8</f>
        <v>16868112</v>
      </c>
      <c r="W10" s="220">
        <f>'2. BS | BP'!W8</f>
        <v>18167251</v>
      </c>
      <c r="X10" s="220">
        <f>'2. BS | BP'!X8</f>
        <v>18276425.519000001</v>
      </c>
      <c r="Y10" s="220">
        <f>'2. BS | BP'!Y8</f>
        <v>20586354.700983003</v>
      </c>
      <c r="Z10" s="220">
        <f>'2. BS | BP'!Z8</f>
        <v>23899551.020405103</v>
      </c>
      <c r="AA10" s="220">
        <f>'2. BS | BP'!AA8</f>
        <v>24703003</v>
      </c>
      <c r="AB10" s="220">
        <f>'2. BS | BP'!AB8</f>
        <v>23860348</v>
      </c>
      <c r="AC10" s="220">
        <f>'2. BS | BP'!AC8</f>
        <v>27078010</v>
      </c>
      <c r="AD10" s="220">
        <f>'2. BS | BP'!AD8</f>
        <v>29010323</v>
      </c>
      <c r="AE10" s="220"/>
      <c r="AF10" s="204">
        <f t="shared" si="0"/>
        <v>7.1360967811149978E-2</v>
      </c>
      <c r="AG10" s="204">
        <f t="shared" si="1"/>
        <v>0.21384384900081987</v>
      </c>
      <c r="AH10" s="335"/>
      <c r="AI10" s="335"/>
      <c r="AJ10" s="335"/>
    </row>
    <row r="11" spans="1:39" ht="13" customHeight="1">
      <c r="A11" s="211"/>
      <c r="B11" s="59" t="str">
        <f>IF('Summary | Sumário'!D6=Names!B3,Names!V5,Names!W5)</f>
        <v>Sovereign securities</v>
      </c>
      <c r="C11" s="221">
        <f t="shared" ref="C11:Z11" si="4">C10-C12</f>
        <v>1155094</v>
      </c>
      <c r="D11" s="221">
        <f t="shared" si="4"/>
        <v>5812622</v>
      </c>
      <c r="E11" s="221">
        <f t="shared" si="4"/>
        <v>11017596</v>
      </c>
      <c r="F11" s="221">
        <f t="shared" si="4"/>
        <v>9472380</v>
      </c>
      <c r="G11" s="221">
        <f t="shared" si="4"/>
        <v>14673397</v>
      </c>
      <c r="H11" s="221">
        <f t="shared" si="4"/>
        <v>21683797.085405104</v>
      </c>
      <c r="I11" s="221">
        <f t="shared" ref="I11" si="5">I10-I12</f>
        <v>26253905</v>
      </c>
      <c r="J11" s="220"/>
      <c r="K11" s="221">
        <f t="shared" si="4"/>
        <v>5192563</v>
      </c>
      <c r="L11" s="221">
        <f t="shared" si="4"/>
        <v>6670192</v>
      </c>
      <c r="M11" s="221">
        <f t="shared" si="4"/>
        <v>11680891</v>
      </c>
      <c r="N11" s="221">
        <f t="shared" si="4"/>
        <v>11017596</v>
      </c>
      <c r="O11" s="221">
        <f t="shared" si="4"/>
        <v>10381954</v>
      </c>
      <c r="P11" s="221">
        <f t="shared" si="4"/>
        <v>10193311</v>
      </c>
      <c r="Q11" s="221">
        <f t="shared" si="4"/>
        <v>10289474</v>
      </c>
      <c r="R11" s="221">
        <f t="shared" si="4"/>
        <v>9472380</v>
      </c>
      <c r="S11" s="221">
        <f t="shared" si="4"/>
        <v>9679378</v>
      </c>
      <c r="T11" s="221">
        <f t="shared" si="4"/>
        <v>11599504</v>
      </c>
      <c r="U11" s="221">
        <f t="shared" si="4"/>
        <v>12881004</v>
      </c>
      <c r="V11" s="221">
        <f t="shared" si="4"/>
        <v>14673397</v>
      </c>
      <c r="W11" s="221">
        <f t="shared" si="4"/>
        <v>15821272.2217</v>
      </c>
      <c r="X11" s="221">
        <f t="shared" si="4"/>
        <v>16318997.450960001</v>
      </c>
      <c r="Y11" s="221">
        <f t="shared" si="4"/>
        <v>18635484.757983003</v>
      </c>
      <c r="Z11" s="221">
        <f t="shared" si="4"/>
        <v>21683797.085405104</v>
      </c>
      <c r="AA11" s="221">
        <f>AA10-AA12</f>
        <v>22271883</v>
      </c>
      <c r="AB11" s="221">
        <f>AB10-AB12</f>
        <v>21235954.901999999</v>
      </c>
      <c r="AC11" s="221">
        <f>AC10-AC12</f>
        <v>24461612</v>
      </c>
      <c r="AD11" s="221">
        <f>AD10-AD12</f>
        <v>26253905</v>
      </c>
      <c r="AE11" s="220"/>
      <c r="AF11" s="203">
        <f t="shared" si="0"/>
        <v>7.3269619352968274E-2</v>
      </c>
      <c r="AG11" s="203">
        <f t="shared" si="1"/>
        <v>0.21076142230047612</v>
      </c>
      <c r="AH11" s="335"/>
      <c r="AI11" s="335"/>
      <c r="AJ11" s="335"/>
    </row>
    <row r="12" spans="1:39" ht="13" customHeight="1">
      <c r="A12" s="211"/>
      <c r="B12" s="54" t="str">
        <f>IF('Summary | Sumário'!D6=Names!B3,Names!V6,Names!W6)</f>
        <v>Private securities</v>
      </c>
      <c r="C12" s="548">
        <v>0</v>
      </c>
      <c r="D12" s="548">
        <v>0</v>
      </c>
      <c r="E12" s="548">
        <f>N12</f>
        <v>1740091</v>
      </c>
      <c r="F12" s="548">
        <f>R12</f>
        <v>2976185</v>
      </c>
      <c r="G12" s="548">
        <f>V12</f>
        <v>2194715</v>
      </c>
      <c r="H12" s="548">
        <f>Z12</f>
        <v>2215753.9350000001</v>
      </c>
      <c r="I12" s="548">
        <f>AD12</f>
        <v>2756418</v>
      </c>
      <c r="J12" s="548"/>
      <c r="K12" s="548">
        <v>1427163</v>
      </c>
      <c r="L12" s="548">
        <v>1560289</v>
      </c>
      <c r="M12" s="548">
        <v>1560289</v>
      </c>
      <c r="N12" s="548">
        <v>1740091</v>
      </c>
      <c r="O12" s="548">
        <v>1953447</v>
      </c>
      <c r="P12" s="548">
        <v>2516740</v>
      </c>
      <c r="Q12" s="548">
        <v>3083991</v>
      </c>
      <c r="R12" s="548">
        <v>2976185</v>
      </c>
      <c r="S12" s="548">
        <v>2855973</v>
      </c>
      <c r="T12" s="548">
        <v>2570180</v>
      </c>
      <c r="U12" s="548">
        <v>2027293</v>
      </c>
      <c r="V12" s="548">
        <v>2194715</v>
      </c>
      <c r="W12" s="548">
        <v>2345978.7782999999</v>
      </c>
      <c r="X12" s="548">
        <v>1957428.06804</v>
      </c>
      <c r="Y12" s="548">
        <v>1950869.943</v>
      </c>
      <c r="Z12" s="548">
        <v>2215753.9350000001</v>
      </c>
      <c r="AA12" s="548">
        <v>2431120</v>
      </c>
      <c r="AB12" s="548">
        <v>2624393.0980000002</v>
      </c>
      <c r="AC12" s="548">
        <v>2616398</v>
      </c>
      <c r="AD12" s="548">
        <v>2756418</v>
      </c>
      <c r="AE12" s="147"/>
      <c r="AF12" s="204">
        <f t="shared" si="0"/>
        <v>5.3516322822445117E-2</v>
      </c>
      <c r="AG12" s="204">
        <f t="shared" si="1"/>
        <v>0.24400907359778645</v>
      </c>
      <c r="AJ12" s="335"/>
    </row>
    <row r="13" spans="1:39" ht="13" customHeight="1">
      <c r="A13" s="211"/>
      <c r="B13" s="177" t="str">
        <f>IF('Summary | Sumário'!D6=Names!B3,Names!K7,Names!L7)</f>
        <v>Derivative financial assets</v>
      </c>
      <c r="C13" s="221">
        <f>'2. BS | BP'!C9</f>
        <v>0</v>
      </c>
      <c r="D13" s="221">
        <f>'2. BS | BP'!D9</f>
        <v>27513</v>
      </c>
      <c r="E13" s="221">
        <f>'2. BS | BP'!E9</f>
        <v>86948</v>
      </c>
      <c r="F13" s="221">
        <f>'2. BS | BP'!F9</f>
        <v>0</v>
      </c>
      <c r="G13" s="221">
        <f>'2. BS | BP'!G9</f>
        <v>4238</v>
      </c>
      <c r="H13" s="221">
        <f>'2. BS | BP'!H9</f>
        <v>562.80100000000004</v>
      </c>
      <c r="I13" s="221">
        <f>'2. BS | BP'!I9</f>
        <v>58915</v>
      </c>
      <c r="J13" s="220"/>
      <c r="K13" s="221">
        <f>'2. BS | BP'!K9</f>
        <v>18603</v>
      </c>
      <c r="L13" s="221">
        <f>'2. BS | BP'!L9</f>
        <v>11684</v>
      </c>
      <c r="M13" s="221">
        <f>'2. BS | BP'!M9</f>
        <v>7643</v>
      </c>
      <c r="N13" s="221">
        <f>'2. BS | BP'!N9</f>
        <v>86948</v>
      </c>
      <c r="O13" s="221">
        <f>'2. BS | BP'!O9</f>
        <v>10410</v>
      </c>
      <c r="P13" s="221">
        <f>'2. BS | BP'!P9</f>
        <v>3212</v>
      </c>
      <c r="Q13" s="221">
        <f>'2. BS | BP'!Q9</f>
        <v>581</v>
      </c>
      <c r="R13" s="221">
        <f>'2. BS | BP'!R9</f>
        <v>0</v>
      </c>
      <c r="S13" s="221">
        <f>'2. BS | BP'!S9</f>
        <v>1122</v>
      </c>
      <c r="T13" s="221">
        <f>'2. BS | BP'!T9</f>
        <v>3625</v>
      </c>
      <c r="U13" s="221">
        <f>'2. BS | BP'!U9</f>
        <v>9388.5369900000005</v>
      </c>
      <c r="V13" s="221">
        <f>'2. BS | BP'!V9</f>
        <v>4238</v>
      </c>
      <c r="W13" s="221">
        <f>'2. BS | BP'!W9</f>
        <v>7392.1129600000004</v>
      </c>
      <c r="X13" s="221">
        <f>'2. BS | BP'!X9</f>
        <v>7177.4260000000004</v>
      </c>
      <c r="Y13" s="221">
        <f>'2. BS | BP'!Y9</f>
        <v>18488.90812</v>
      </c>
      <c r="Z13" s="221">
        <f>'2. BS | BP'!Z9</f>
        <v>562.80100000000004</v>
      </c>
      <c r="AA13" s="221">
        <f>'2. BS | BP'!AA9</f>
        <v>8163</v>
      </c>
      <c r="AB13" s="221">
        <f>'2. BS | BP'!AB9</f>
        <v>690</v>
      </c>
      <c r="AC13" s="221">
        <f>'2. BS | BP'!AC9</f>
        <v>2493</v>
      </c>
      <c r="AD13" s="221">
        <f>'2. BS | BP'!AD9</f>
        <v>58915</v>
      </c>
      <c r="AE13" s="220"/>
      <c r="AF13" s="203">
        <f t="shared" si="0"/>
        <v>22.632170076213399</v>
      </c>
      <c r="AG13" s="203">
        <f t="shared" si="1"/>
        <v>103.68176140411974</v>
      </c>
    </row>
    <row r="14" spans="1:39" ht="13" customHeight="1">
      <c r="A14" s="211"/>
      <c r="B14" s="116" t="str">
        <f>IF('Summary | Sumário'!D$6=Names!B$3,Names!V8,Names!V8)</f>
        <v>Loans and advances to customers excl. transactor credit card portfolio</v>
      </c>
      <c r="C14" s="220">
        <f>C15+C16+C17+C18+C21+C22</f>
        <v>4494985.3870000001</v>
      </c>
      <c r="D14" s="220">
        <f t="shared" ref="D14:AA14" si="6">D15+D16+D17+D18+D21+D22</f>
        <v>6833272.8250000002</v>
      </c>
      <c r="E14" s="220">
        <f t="shared" si="6"/>
        <v>12413116.721729999</v>
      </c>
      <c r="F14" s="220">
        <f t="shared" si="6"/>
        <v>15968118</v>
      </c>
      <c r="G14" s="220">
        <f t="shared" si="6"/>
        <v>20410532.397</v>
      </c>
      <c r="H14" s="220">
        <f t="shared" si="6"/>
        <v>23777319.18454</v>
      </c>
      <c r="I14" s="220">
        <f t="shared" ref="I14" si="7">I15+I16+I17+I18+I21+I22</f>
        <v>33509046.74887</v>
      </c>
      <c r="J14" s="220"/>
      <c r="K14" s="220">
        <f t="shared" si="6"/>
        <v>7813905.3442999991</v>
      </c>
      <c r="L14" s="220">
        <f t="shared" si="6"/>
        <v>9390278</v>
      </c>
      <c r="M14" s="220">
        <f t="shared" si="6"/>
        <v>11020582</v>
      </c>
      <c r="N14" s="220">
        <f t="shared" si="6"/>
        <v>12413116.721729999</v>
      </c>
      <c r="O14" s="220">
        <f t="shared" si="6"/>
        <v>12895346</v>
      </c>
      <c r="P14" s="220">
        <f t="shared" si="6"/>
        <v>13613068.4</v>
      </c>
      <c r="Q14" s="220">
        <f t="shared" si="6"/>
        <v>14718964</v>
      </c>
      <c r="R14" s="220">
        <f t="shared" si="6"/>
        <v>15968118</v>
      </c>
      <c r="S14" s="220">
        <f t="shared" si="6"/>
        <v>16690898.387827475</v>
      </c>
      <c r="T14" s="220">
        <f t="shared" si="6"/>
        <v>17620021.767574593</v>
      </c>
      <c r="U14" s="220">
        <f t="shared" si="6"/>
        <v>18528686.954999998</v>
      </c>
      <c r="V14" s="220">
        <f t="shared" si="6"/>
        <v>20410532.397</v>
      </c>
      <c r="W14" s="220">
        <f t="shared" si="6"/>
        <v>20891917.665410198</v>
      </c>
      <c r="X14" s="220">
        <f t="shared" si="6"/>
        <v>22562671.745820001</v>
      </c>
      <c r="Y14" s="220">
        <f t="shared" si="6"/>
        <v>22915550.64593</v>
      </c>
      <c r="Z14" s="220">
        <f t="shared" si="6"/>
        <v>23777319.18454</v>
      </c>
      <c r="AA14" s="220">
        <f t="shared" si="6"/>
        <v>25465614.951030001</v>
      </c>
      <c r="AB14" s="220">
        <f t="shared" ref="AB14:AC14" si="8">AB15+AB16+AB17+AB18+AB21+AB22</f>
        <v>27648732.61595</v>
      </c>
      <c r="AC14" s="220">
        <f t="shared" si="8"/>
        <v>30388496.557240002</v>
      </c>
      <c r="AD14" s="220">
        <f t="shared" ref="AD14" si="9">AD15+AD16+AD17+AD18+AD21+AD22</f>
        <v>33509046.74887</v>
      </c>
      <c r="AE14" s="183"/>
      <c r="AF14" s="204">
        <f t="shared" si="0"/>
        <v>0.10268853497744135</v>
      </c>
      <c r="AG14" s="204">
        <f t="shared" si="1"/>
        <v>0.4092861558025247</v>
      </c>
    </row>
    <row r="15" spans="1:39" ht="13" customHeight="1">
      <c r="A15" s="211"/>
      <c r="B15" s="59" t="str">
        <f>IF('Summary | Sumário'!D$6=Names!B$3,Names!O4,Names!Z4)</f>
        <v>Real estate</v>
      </c>
      <c r="C15" s="221">
        <v>2519153</v>
      </c>
      <c r="D15" s="221">
        <v>3471356</v>
      </c>
      <c r="E15" s="221">
        <f>N15</f>
        <v>5121411</v>
      </c>
      <c r="F15" s="221">
        <f>R15</f>
        <v>6251813</v>
      </c>
      <c r="G15" s="221">
        <f>V15</f>
        <v>8583568</v>
      </c>
      <c r="H15" s="221">
        <f>Z15</f>
        <v>11250187</v>
      </c>
      <c r="I15" s="221">
        <f>AD15</f>
        <v>16194722</v>
      </c>
      <c r="J15" s="220"/>
      <c r="K15" s="221">
        <v>3925594.9876600001</v>
      </c>
      <c r="L15" s="221">
        <v>4211173</v>
      </c>
      <c r="M15" s="221">
        <v>4703223</v>
      </c>
      <c r="N15" s="221">
        <v>5121411</v>
      </c>
      <c r="O15" s="221">
        <v>5350879</v>
      </c>
      <c r="P15" s="221">
        <v>5647720</v>
      </c>
      <c r="Q15" s="221">
        <v>5930070</v>
      </c>
      <c r="R15" s="221">
        <v>6251813</v>
      </c>
      <c r="S15" s="221">
        <v>6616802</v>
      </c>
      <c r="T15" s="221">
        <v>7020433</v>
      </c>
      <c r="U15" s="221">
        <v>7527810</v>
      </c>
      <c r="V15" s="221">
        <v>8583568</v>
      </c>
      <c r="W15" s="221">
        <v>9124375.4985301998</v>
      </c>
      <c r="X15" s="221">
        <v>9703768</v>
      </c>
      <c r="Y15" s="221">
        <v>10266209</v>
      </c>
      <c r="Z15" s="221">
        <v>11250187</v>
      </c>
      <c r="AA15" s="221">
        <v>12200387</v>
      </c>
      <c r="AB15" s="221">
        <v>13312029</v>
      </c>
      <c r="AC15" s="221">
        <v>14524260</v>
      </c>
      <c r="AD15" s="221">
        <v>16194722</v>
      </c>
      <c r="AE15" s="179"/>
      <c r="AF15" s="203">
        <f t="shared" si="0"/>
        <v>0.11501184914067908</v>
      </c>
      <c r="AG15" s="203">
        <f t="shared" si="1"/>
        <v>0.43950691664058561</v>
      </c>
    </row>
    <row r="16" spans="1:39" ht="13" customHeight="1">
      <c r="A16" s="211"/>
      <c r="B16" s="54" t="str">
        <f>IF('Summary | Sumário'!D$6=Names!B$3,Names!O5,Names!Z5)</f>
        <v>Personal</v>
      </c>
      <c r="C16" s="220">
        <v>1002386</v>
      </c>
      <c r="D16" s="220">
        <v>1653554</v>
      </c>
      <c r="E16" s="220">
        <f t="shared" ref="E16:E22" si="10">N16</f>
        <v>3579283</v>
      </c>
      <c r="F16" s="220">
        <f t="shared" ref="F16:F22" si="11">R16</f>
        <v>5463781</v>
      </c>
      <c r="G16" s="220">
        <f t="shared" ref="G16:G22" si="12">V16</f>
        <v>7138744</v>
      </c>
      <c r="H16" s="220">
        <f t="shared" ref="H16:H22" si="13">Z16</f>
        <v>8236791</v>
      </c>
      <c r="I16" s="220">
        <f>AD16</f>
        <v>12113979</v>
      </c>
      <c r="J16" s="220"/>
      <c r="K16" s="220">
        <v>2123654.0038399999</v>
      </c>
      <c r="L16" s="220">
        <v>2620848</v>
      </c>
      <c r="M16" s="220">
        <v>3100640</v>
      </c>
      <c r="N16" s="220">
        <v>3579283</v>
      </c>
      <c r="O16" s="220">
        <v>3936755</v>
      </c>
      <c r="P16" s="220">
        <v>4460508.5</v>
      </c>
      <c r="Q16" s="220">
        <v>5057444</v>
      </c>
      <c r="R16" s="220">
        <v>5463781</v>
      </c>
      <c r="S16" s="220">
        <v>6081266</v>
      </c>
      <c r="T16" s="220">
        <v>6500480</v>
      </c>
      <c r="U16" s="220">
        <v>6663058</v>
      </c>
      <c r="V16" s="220">
        <v>7138744</v>
      </c>
      <c r="W16" s="220">
        <v>7437794.5190500002</v>
      </c>
      <c r="X16" s="220">
        <v>7555457</v>
      </c>
      <c r="Y16" s="220">
        <v>8003536</v>
      </c>
      <c r="Z16" s="220">
        <v>8236791</v>
      </c>
      <c r="AA16" s="220">
        <v>8909592</v>
      </c>
      <c r="AB16" s="220">
        <v>9955975</v>
      </c>
      <c r="AC16" s="220">
        <v>11070559</v>
      </c>
      <c r="AD16" s="220">
        <v>12113979</v>
      </c>
      <c r="AE16" s="220"/>
      <c r="AF16" s="204">
        <f t="shared" si="0"/>
        <v>9.4251789814769005E-2</v>
      </c>
      <c r="AG16" s="204">
        <f t="shared" si="1"/>
        <v>0.47071584067144601</v>
      </c>
    </row>
    <row r="17" spans="1:36" ht="13" customHeight="1">
      <c r="A17" s="211"/>
      <c r="B17" s="59" t="str">
        <f>IF('Summary | Sumário'!D$6=Names!B$3,Names!O6,Names!Z6)</f>
        <v>SME</v>
      </c>
      <c r="C17" s="221">
        <v>472304</v>
      </c>
      <c r="D17" s="221">
        <v>1582869</v>
      </c>
      <c r="E17" s="221">
        <f t="shared" si="10"/>
        <v>3017159</v>
      </c>
      <c r="F17" s="221">
        <f t="shared" si="11"/>
        <v>3392500</v>
      </c>
      <c r="G17" s="221">
        <f t="shared" si="12"/>
        <v>3855754</v>
      </c>
      <c r="H17" s="221">
        <f t="shared" si="13"/>
        <v>3968591</v>
      </c>
      <c r="I17" s="221">
        <f>AD17</f>
        <v>4293595</v>
      </c>
      <c r="J17" s="220"/>
      <c r="K17" s="221">
        <v>1572378.93881</v>
      </c>
      <c r="L17" s="221">
        <v>2153921</v>
      </c>
      <c r="M17" s="221">
        <v>2703302</v>
      </c>
      <c r="N17" s="221">
        <v>3017159</v>
      </c>
      <c r="O17" s="221">
        <v>2929546</v>
      </c>
      <c r="P17" s="221">
        <v>2905002.5</v>
      </c>
      <c r="Q17" s="221">
        <v>2978792</v>
      </c>
      <c r="R17" s="221">
        <v>3392500</v>
      </c>
      <c r="S17" s="221">
        <v>3110840</v>
      </c>
      <c r="T17" s="221">
        <v>3215316</v>
      </c>
      <c r="U17" s="221">
        <v>3438526</v>
      </c>
      <c r="V17" s="221">
        <v>3855754</v>
      </c>
      <c r="W17" s="221">
        <v>3376688</v>
      </c>
      <c r="X17" s="221">
        <v>4359140</v>
      </c>
      <c r="Y17" s="221">
        <v>4149476</v>
      </c>
      <c r="Z17" s="221">
        <v>3968591</v>
      </c>
      <c r="AA17" s="221">
        <v>3747963</v>
      </c>
      <c r="AB17" s="221">
        <v>3683260</v>
      </c>
      <c r="AC17" s="221">
        <v>3916890</v>
      </c>
      <c r="AD17" s="221">
        <v>4293595</v>
      </c>
      <c r="AE17" s="147"/>
      <c r="AF17" s="203">
        <f t="shared" si="0"/>
        <v>9.6174516006321431E-2</v>
      </c>
      <c r="AG17" s="203">
        <f t="shared" si="1"/>
        <v>8.1894052574326803E-2</v>
      </c>
    </row>
    <row r="18" spans="1:36" ht="13" customHeight="1">
      <c r="A18" s="211"/>
      <c r="B18" s="54" t="str">
        <f>IF('Summary | Sumário'!D6=Names!B3,Names!V7,Names!W7)</f>
        <v>Non-transactor credit card portfolio</v>
      </c>
      <c r="C18" s="220">
        <f>C19+C20</f>
        <v>716705.38699999999</v>
      </c>
      <c r="D18" s="220">
        <f t="shared" ref="D18:AA18" si="14">D19+D20</f>
        <v>230211.82499999995</v>
      </c>
      <c r="E18" s="220">
        <f t="shared" si="14"/>
        <v>676005</v>
      </c>
      <c r="F18" s="220">
        <f t="shared" si="14"/>
        <v>1458767</v>
      </c>
      <c r="G18" s="220">
        <f t="shared" si="14"/>
        <v>1971266.3970000008</v>
      </c>
      <c r="H18" s="220">
        <f t="shared" si="14"/>
        <v>2249854.1845399998</v>
      </c>
      <c r="I18" s="220">
        <f t="shared" ref="I18" si="15">I19+I20</f>
        <v>3520120.7488700002</v>
      </c>
      <c r="J18" s="220"/>
      <c r="K18" s="220">
        <f t="shared" si="14"/>
        <v>310705.48867999995</v>
      </c>
      <c r="L18" s="220">
        <f t="shared" si="14"/>
        <v>466529</v>
      </c>
      <c r="M18" s="220">
        <f t="shared" si="14"/>
        <v>526729</v>
      </c>
      <c r="N18" s="220">
        <f t="shared" si="14"/>
        <v>676005</v>
      </c>
      <c r="O18" s="220">
        <f t="shared" si="14"/>
        <v>836644</v>
      </c>
      <c r="P18" s="220">
        <f t="shared" si="14"/>
        <v>1084285.4000000004</v>
      </c>
      <c r="Q18" s="220">
        <f t="shared" si="14"/>
        <v>1309633</v>
      </c>
      <c r="R18" s="220">
        <f t="shared" si="14"/>
        <v>1458767</v>
      </c>
      <c r="S18" s="220">
        <f t="shared" si="14"/>
        <v>1592763.3878274746</v>
      </c>
      <c r="T18" s="220">
        <f t="shared" si="14"/>
        <v>1777050.7675745916</v>
      </c>
      <c r="U18" s="220">
        <f t="shared" si="14"/>
        <v>1882205.9550000001</v>
      </c>
      <c r="V18" s="220">
        <f t="shared" si="14"/>
        <v>1971266.3970000008</v>
      </c>
      <c r="W18" s="220">
        <f t="shared" si="14"/>
        <v>2176763.9201100003</v>
      </c>
      <c r="X18" s="220">
        <f t="shared" si="14"/>
        <v>2264113.5148200002</v>
      </c>
      <c r="Y18" s="220">
        <f t="shared" si="14"/>
        <v>2206943.6459299996</v>
      </c>
      <c r="Z18" s="220">
        <f t="shared" si="14"/>
        <v>2249854.1845399998</v>
      </c>
      <c r="AA18" s="220">
        <f t="shared" si="14"/>
        <v>2629254.9510299992</v>
      </c>
      <c r="AB18" s="220">
        <f t="shared" ref="AB18:AC18" si="16">AB19+AB20</f>
        <v>2865086.6159499995</v>
      </c>
      <c r="AC18" s="220">
        <f t="shared" si="16"/>
        <v>3242380.55724</v>
      </c>
      <c r="AD18" s="220">
        <f t="shared" ref="AD18" si="17">AD19+AD20</f>
        <v>3520120.7488700002</v>
      </c>
      <c r="AE18" s="147"/>
      <c r="AF18" s="204">
        <f t="shared" si="0"/>
        <v>8.5659344030368789E-2</v>
      </c>
      <c r="AG18" s="204">
        <f t="shared" si="1"/>
        <v>0.56459950740750608</v>
      </c>
    </row>
    <row r="19" spans="1:36" ht="13" customHeight="1">
      <c r="A19" s="211"/>
      <c r="B19" s="555" t="str">
        <f>IF('Summary | Sumário'!D$6=Names!B$3,Names!O7,Names!Z7)</f>
        <v>Credit cards</v>
      </c>
      <c r="C19" s="221">
        <v>783544</v>
      </c>
      <c r="D19" s="221">
        <v>1904642</v>
      </c>
      <c r="E19" s="221">
        <f t="shared" si="10"/>
        <v>4798318</v>
      </c>
      <c r="F19" s="221">
        <f t="shared" si="11"/>
        <v>6870565</v>
      </c>
      <c r="G19" s="221">
        <f t="shared" si="12"/>
        <v>9461277</v>
      </c>
      <c r="H19" s="221">
        <f t="shared" si="13"/>
        <v>11799890</v>
      </c>
      <c r="I19" s="221">
        <f>AD19</f>
        <v>15262178</v>
      </c>
      <c r="J19" s="220"/>
      <c r="K19" s="221">
        <v>2404920.48868</v>
      </c>
      <c r="L19" s="221">
        <v>3116734</v>
      </c>
      <c r="M19" s="221">
        <v>3807684</v>
      </c>
      <c r="N19" s="221">
        <v>4798318</v>
      </c>
      <c r="O19" s="221">
        <v>5315930</v>
      </c>
      <c r="P19" s="221">
        <v>5981406.4000000004</v>
      </c>
      <c r="Q19" s="221">
        <v>6411572</v>
      </c>
      <c r="R19" s="221">
        <v>6870565</v>
      </c>
      <c r="S19" s="221">
        <v>7273032</v>
      </c>
      <c r="T19" s="221">
        <v>7681011</v>
      </c>
      <c r="U19" s="221">
        <v>8650139</v>
      </c>
      <c r="V19" s="221">
        <v>9461277</v>
      </c>
      <c r="W19" s="221">
        <v>10111845.135790002</v>
      </c>
      <c r="X19" s="221">
        <v>10508082</v>
      </c>
      <c r="Y19" s="221">
        <v>10769815</v>
      </c>
      <c r="Z19" s="221">
        <v>11799890</v>
      </c>
      <c r="AA19" s="221">
        <v>12251920</v>
      </c>
      <c r="AB19" s="221">
        <v>12995860</v>
      </c>
      <c r="AC19" s="221">
        <v>13967468</v>
      </c>
      <c r="AD19" s="221">
        <v>15262178</v>
      </c>
      <c r="AE19" s="220"/>
      <c r="AF19" s="203">
        <f t="shared" si="0"/>
        <v>9.2694681670292711E-2</v>
      </c>
      <c r="AG19" s="203">
        <f t="shared" si="1"/>
        <v>0.29341697253109977</v>
      </c>
    </row>
    <row r="20" spans="1:36" ht="13" customHeight="1">
      <c r="A20" s="211"/>
      <c r="B20" s="514" t="str">
        <f>IF('Summary | Sumário'!D$6=Names!B$3,Names!AJ27,Names!AK27)</f>
        <v>(-) Non int. CC receivables</v>
      </c>
      <c r="C20" s="220">
        <v>-66838.612999999998</v>
      </c>
      <c r="D20" s="220">
        <v>-1674430.175</v>
      </c>
      <c r="E20" s="220">
        <v>-4122313</v>
      </c>
      <c r="F20" s="220">
        <v>-5411798</v>
      </c>
      <c r="G20" s="220">
        <v>-7490010.6029999992</v>
      </c>
      <c r="H20" s="220">
        <v>-9550035.8154600002</v>
      </c>
      <c r="I20" s="220">
        <v>-11742057.25113</v>
      </c>
      <c r="J20" s="220"/>
      <c r="K20" s="220">
        <v>-2094215</v>
      </c>
      <c r="L20" s="220">
        <v>-2650205</v>
      </c>
      <c r="M20" s="220">
        <v>-3280955</v>
      </c>
      <c r="N20" s="220">
        <v>-4122313</v>
      </c>
      <c r="O20" s="220">
        <v>-4479286</v>
      </c>
      <c r="P20" s="220">
        <v>-4897121</v>
      </c>
      <c r="Q20" s="220">
        <v>-5101939</v>
      </c>
      <c r="R20" s="220">
        <v>-5411798</v>
      </c>
      <c r="S20" s="220">
        <v>-5680268.6121725254</v>
      </c>
      <c r="T20" s="220">
        <v>-5903960.2324254084</v>
      </c>
      <c r="U20" s="220">
        <v>-6767933.0449999999</v>
      </c>
      <c r="V20" s="220">
        <v>-7490010.6029999992</v>
      </c>
      <c r="W20" s="220">
        <v>-7935081.2156800013</v>
      </c>
      <c r="X20" s="220">
        <v>-8243968.4851799998</v>
      </c>
      <c r="Y20" s="220">
        <v>-8562871.3540700004</v>
      </c>
      <c r="Z20" s="220">
        <v>-9550035.8154600002</v>
      </c>
      <c r="AA20" s="220">
        <v>-9622665.0489700008</v>
      </c>
      <c r="AB20" s="220">
        <v>-10130773.38405</v>
      </c>
      <c r="AC20" s="220">
        <v>-10725087.44276</v>
      </c>
      <c r="AD20" s="220">
        <v>-11742057.25113</v>
      </c>
      <c r="AE20" s="220"/>
      <c r="AF20" s="204">
        <f t="shared" si="0"/>
        <v>9.4821586658158985E-2</v>
      </c>
      <c r="AG20" s="204">
        <f t="shared" si="1"/>
        <v>0.22953017957497734</v>
      </c>
    </row>
    <row r="21" spans="1:36" ht="13" customHeight="1">
      <c r="A21" s="211"/>
      <c r="B21" s="59" t="str">
        <f>IF('Summary | Sumário'!D$6=Names!B$3,Names!O8,Names!Z8)</f>
        <v>Agribusiness</v>
      </c>
      <c r="C21" s="221">
        <v>0</v>
      </c>
      <c r="D21" s="221">
        <v>177637</v>
      </c>
      <c r="E21" s="221">
        <f t="shared" si="10"/>
        <v>700191</v>
      </c>
      <c r="F21" s="221">
        <f t="shared" si="11"/>
        <v>719669</v>
      </c>
      <c r="G21" s="221">
        <f t="shared" si="12"/>
        <v>744958</v>
      </c>
      <c r="H21" s="221">
        <f t="shared" si="13"/>
        <v>340834</v>
      </c>
      <c r="I21" s="221">
        <f>AD21</f>
        <v>386706</v>
      </c>
      <c r="J21" s="220"/>
      <c r="K21" s="221">
        <v>216360.92530999999</v>
      </c>
      <c r="L21" s="221">
        <v>424570</v>
      </c>
      <c r="M21" s="221">
        <v>545234</v>
      </c>
      <c r="N21" s="221">
        <v>700191</v>
      </c>
      <c r="O21" s="221">
        <v>643194</v>
      </c>
      <c r="P21" s="221">
        <v>490009</v>
      </c>
      <c r="Q21" s="221">
        <v>627390</v>
      </c>
      <c r="R21" s="221">
        <v>719669</v>
      </c>
      <c r="S21" s="221">
        <v>750934</v>
      </c>
      <c r="T21" s="221">
        <v>724143</v>
      </c>
      <c r="U21" s="221">
        <v>764068</v>
      </c>
      <c r="V21" s="221">
        <v>744958</v>
      </c>
      <c r="W21" s="221">
        <v>807923.72771999997</v>
      </c>
      <c r="X21" s="221">
        <v>845105</v>
      </c>
      <c r="Y21" s="221">
        <v>516852</v>
      </c>
      <c r="Z21" s="221">
        <v>340834</v>
      </c>
      <c r="AA21" s="221">
        <v>285462</v>
      </c>
      <c r="AB21" s="221">
        <v>289642</v>
      </c>
      <c r="AC21" s="221">
        <v>338943</v>
      </c>
      <c r="AD21" s="221">
        <v>386706</v>
      </c>
      <c r="AE21" s="183"/>
      <c r="AF21" s="203">
        <f t="shared" si="0"/>
        <v>0.14091749940255438</v>
      </c>
      <c r="AG21" s="203">
        <f t="shared" si="1"/>
        <v>0.13458751180926787</v>
      </c>
    </row>
    <row r="22" spans="1:36" ht="13" customHeight="1">
      <c r="A22" s="211"/>
      <c r="B22" s="54" t="str">
        <f>IF('Summary | Sumário'!D$6=Names!B$3,Names!O13,Names!Z13)</f>
        <v>(-) Provision for expected loss</v>
      </c>
      <c r="C22" s="220">
        <v>-215563</v>
      </c>
      <c r="D22" s="220">
        <v>-282355</v>
      </c>
      <c r="E22" s="220">
        <f t="shared" si="10"/>
        <v>-680932.27827000001</v>
      </c>
      <c r="F22" s="220">
        <f t="shared" si="11"/>
        <v>-1318412</v>
      </c>
      <c r="G22" s="220">
        <f t="shared" si="12"/>
        <v>-1883758</v>
      </c>
      <c r="H22" s="220">
        <f t="shared" si="13"/>
        <v>-2268938</v>
      </c>
      <c r="I22" s="220">
        <f>AD22</f>
        <v>-3000076</v>
      </c>
      <c r="J22" s="220"/>
      <c r="K22" s="220">
        <v>-334789</v>
      </c>
      <c r="L22" s="220">
        <v>-486763</v>
      </c>
      <c r="M22" s="220">
        <v>-558546</v>
      </c>
      <c r="N22" s="220">
        <v>-680932.27827000001</v>
      </c>
      <c r="O22" s="220">
        <v>-801672</v>
      </c>
      <c r="P22" s="220">
        <v>-974457</v>
      </c>
      <c r="Q22" s="220">
        <v>-1184365</v>
      </c>
      <c r="R22" s="220">
        <v>-1318412</v>
      </c>
      <c r="S22" s="220">
        <v>-1461707</v>
      </c>
      <c r="T22" s="220">
        <v>-1617401</v>
      </c>
      <c r="U22" s="220">
        <v>-1746981</v>
      </c>
      <c r="V22" s="220">
        <v>-1883758</v>
      </c>
      <c r="W22" s="220">
        <v>-2031628</v>
      </c>
      <c r="X22" s="220">
        <v>-2164911.7689999999</v>
      </c>
      <c r="Y22" s="220">
        <v>-2227466</v>
      </c>
      <c r="Z22" s="220">
        <v>-2268938</v>
      </c>
      <c r="AA22" s="220">
        <v>-2307044</v>
      </c>
      <c r="AB22" s="220">
        <v>-2457260</v>
      </c>
      <c r="AC22" s="220">
        <v>-2704536</v>
      </c>
      <c r="AD22" s="220">
        <v>-3000076</v>
      </c>
      <c r="AE22" s="215"/>
      <c r="AF22" s="222">
        <f t="shared" si="0"/>
        <v>0.10927567612337197</v>
      </c>
      <c r="AG22" s="222">
        <f t="shared" si="1"/>
        <v>0.32223798094086309</v>
      </c>
      <c r="AH22" s="335"/>
      <c r="AI22" s="335"/>
    </row>
    <row r="23" spans="1:36" ht="13" customHeight="1">
      <c r="A23" s="211"/>
      <c r="B23" s="507" t="str">
        <f>IF('Summary | Sumário'!D$6=Names!B$3,Names!V9,Names!W9)</f>
        <v>Total interest earning assets</v>
      </c>
      <c r="C23" s="508">
        <f t="shared" ref="C23:G23" si="18">C5+C6+C9+C10+C13+C14</f>
        <v>9386236.3870000001</v>
      </c>
      <c r="D23" s="508">
        <f t="shared" si="18"/>
        <v>17040214.824999999</v>
      </c>
      <c r="E23" s="508">
        <f t="shared" si="18"/>
        <v>30183988.721730001</v>
      </c>
      <c r="F23" s="508">
        <f t="shared" si="18"/>
        <v>36830160</v>
      </c>
      <c r="G23" s="508">
        <f t="shared" si="18"/>
        <v>47893695.397</v>
      </c>
      <c r="H23" s="508">
        <f t="shared" ref="H23:Z23" si="19">H5+H6+H9+H10+H13+H14</f>
        <v>60232269.321271598</v>
      </c>
      <c r="I23" s="508">
        <f>I5+I6+I9+I10+I13+I14</f>
        <v>78827120.74887</v>
      </c>
      <c r="J23" s="503"/>
      <c r="K23" s="508">
        <f t="shared" si="19"/>
        <v>17581215.344299998</v>
      </c>
      <c r="L23" s="508">
        <f t="shared" si="19"/>
        <v>25603653.001000002</v>
      </c>
      <c r="M23" s="508">
        <f>M5+M6+M9+M10+M13+M14</f>
        <v>28461059.298</v>
      </c>
      <c r="N23" s="508">
        <f t="shared" si="19"/>
        <v>30183988.721730001</v>
      </c>
      <c r="O23" s="508">
        <f t="shared" si="19"/>
        <v>30214049</v>
      </c>
      <c r="P23" s="508">
        <f t="shared" si="19"/>
        <v>31875026.399999999</v>
      </c>
      <c r="Q23" s="508">
        <f t="shared" si="19"/>
        <v>35020294</v>
      </c>
      <c r="R23" s="508">
        <f t="shared" si="19"/>
        <v>36830160</v>
      </c>
      <c r="S23" s="508">
        <f t="shared" si="19"/>
        <v>37753420.387827471</v>
      </c>
      <c r="T23" s="508">
        <f t="shared" si="19"/>
        <v>39709390.767574593</v>
      </c>
      <c r="U23" s="508">
        <f t="shared" si="19"/>
        <v>43274080.453478865</v>
      </c>
      <c r="V23" s="508">
        <f t="shared" si="19"/>
        <v>47893695.397</v>
      </c>
      <c r="W23" s="508">
        <f t="shared" si="19"/>
        <v>48715213.614263885</v>
      </c>
      <c r="X23" s="508">
        <f t="shared" si="19"/>
        <v>52472376.744180001</v>
      </c>
      <c r="Y23" s="508">
        <f t="shared" si="19"/>
        <v>54893344.456663564</v>
      </c>
      <c r="Z23" s="508">
        <f t="shared" si="19"/>
        <v>60232269.321271598</v>
      </c>
      <c r="AA23" s="508">
        <f>AA5+AA6+AA9+AA10+AA13+AA14</f>
        <v>63031684.951030001</v>
      </c>
      <c r="AB23" s="508">
        <f>AB5+AB6+AB9+AB10+AB13+AB14</f>
        <v>66589592.615950003</v>
      </c>
      <c r="AC23" s="508">
        <f>AC5+AC6+AC9+AC10+AC13+AC14</f>
        <v>73305092.557240009</v>
      </c>
      <c r="AD23" s="508">
        <f>AD5+AD6+AD9+AD10+AD13+AD14</f>
        <v>78827120.74887</v>
      </c>
      <c r="AE23" s="503"/>
      <c r="AF23" s="605">
        <f t="shared" si="0"/>
        <v>7.5329393893311503E-2</v>
      </c>
      <c r="AG23" s="605">
        <f t="shared" si="1"/>
        <v>0.30871909089819827</v>
      </c>
      <c r="AH23" s="149"/>
      <c r="AI23" s="149"/>
      <c r="AJ23" s="208"/>
    </row>
    <row r="24" spans="1:36" ht="13" customHeight="1">
      <c r="A24" s="211"/>
      <c r="B24" s="116"/>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222"/>
      <c r="AF24" s="345"/>
      <c r="AG24" s="345"/>
    </row>
    <row r="25" spans="1:36" ht="13" customHeight="1">
      <c r="B25" s="116"/>
    </row>
    <row r="26" spans="1:36" ht="13" customHeight="1">
      <c r="A26" s="211"/>
      <c r="B26" s="116"/>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2"/>
      <c r="AG26" s="182"/>
    </row>
    <row r="27" spans="1:36" ht="13" customHeight="1">
      <c r="A27" s="211"/>
      <c r="B27" s="116"/>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204"/>
      <c r="AG27" s="204"/>
    </row>
    <row r="28" spans="1:36" ht="13" customHeight="1">
      <c r="A28" s="211"/>
      <c r="B28" s="116"/>
      <c r="C28" s="546"/>
      <c r="D28" s="546"/>
      <c r="E28" s="215"/>
      <c r="F28" s="215"/>
      <c r="G28" s="215"/>
      <c r="H28" s="215"/>
      <c r="I28" s="215"/>
      <c r="J28" s="228"/>
      <c r="K28" s="220"/>
      <c r="L28" s="220"/>
      <c r="M28" s="220"/>
      <c r="N28" s="220"/>
      <c r="O28" s="220"/>
      <c r="P28" s="220"/>
      <c r="Q28" s="220"/>
      <c r="R28" s="220"/>
      <c r="S28" s="220"/>
      <c r="T28" s="220"/>
      <c r="U28" s="220"/>
      <c r="V28" s="220"/>
      <c r="W28" s="220"/>
      <c r="X28" s="220"/>
      <c r="Y28" s="220"/>
      <c r="Z28" s="220"/>
      <c r="AA28" s="220"/>
      <c r="AB28" s="220"/>
      <c r="AC28" s="220"/>
      <c r="AD28" s="220"/>
      <c r="AE28" s="228"/>
      <c r="AF28" s="222"/>
      <c r="AG28" s="222"/>
    </row>
    <row r="29" spans="1:36" ht="13" customHeight="1">
      <c r="A29" s="211"/>
      <c r="B29" s="116"/>
      <c r="C29" s="215"/>
      <c r="D29" s="215"/>
      <c r="E29" s="215"/>
      <c r="F29" s="215"/>
      <c r="G29" s="215"/>
      <c r="H29" s="215"/>
      <c r="I29" s="215"/>
      <c r="J29" s="228"/>
      <c r="K29" s="215"/>
      <c r="L29" s="215"/>
      <c r="M29" s="215"/>
      <c r="N29" s="215"/>
      <c r="O29" s="215"/>
      <c r="P29" s="215"/>
      <c r="Q29" s="215"/>
      <c r="R29" s="215"/>
      <c r="S29" s="215"/>
      <c r="T29" s="215"/>
      <c r="U29" s="215"/>
      <c r="V29" s="215"/>
      <c r="W29" s="215"/>
      <c r="X29" s="215"/>
      <c r="Y29" s="215"/>
      <c r="Z29" s="215"/>
      <c r="AA29" s="215"/>
      <c r="AB29" s="215"/>
      <c r="AC29" s="215"/>
      <c r="AD29" s="215"/>
      <c r="AE29" s="228"/>
      <c r="AF29" s="228"/>
      <c r="AG29" s="228"/>
    </row>
    <row r="30" spans="1:36" ht="13" customHeight="1">
      <c r="A30" s="211"/>
      <c r="B30" s="116"/>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28"/>
      <c r="AG30" s="228"/>
      <c r="AH30" s="335"/>
      <c r="AI30" s="335"/>
    </row>
    <row r="31" spans="1:36" ht="13" customHeight="1">
      <c r="A31" s="211"/>
      <c r="B31" s="116"/>
      <c r="C31" s="324"/>
      <c r="D31" s="324"/>
      <c r="E31" s="324"/>
      <c r="F31" s="324"/>
      <c r="G31" s="324"/>
      <c r="H31" s="324"/>
      <c r="I31" s="324"/>
      <c r="J31" s="147"/>
      <c r="K31" s="324"/>
      <c r="L31" s="324"/>
      <c r="M31" s="324"/>
      <c r="N31" s="324"/>
      <c r="O31" s="324"/>
      <c r="P31" s="324"/>
      <c r="Q31" s="324"/>
      <c r="R31" s="324"/>
      <c r="S31" s="324"/>
      <c r="T31" s="324"/>
      <c r="U31" s="324"/>
      <c r="V31" s="324"/>
      <c r="W31" s="324"/>
      <c r="X31" s="324"/>
      <c r="Y31" s="324"/>
      <c r="Z31" s="324"/>
      <c r="AA31" s="324"/>
      <c r="AB31" s="324"/>
      <c r="AC31" s="324"/>
      <c r="AD31" s="324"/>
      <c r="AE31" s="147"/>
      <c r="AF31" s="547"/>
      <c r="AG31" s="547"/>
    </row>
    <row r="32" spans="1:36" ht="13" customHeight="1">
      <c r="A32" s="211"/>
      <c r="B32" s="116"/>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2"/>
      <c r="AG32" s="222"/>
    </row>
    <row r="33" spans="1:35" ht="13" customHeight="1">
      <c r="A33" s="211"/>
      <c r="B33" s="116"/>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2"/>
      <c r="AG33" s="182"/>
    </row>
    <row r="34" spans="1:35" ht="13" customHeight="1">
      <c r="A34" s="211"/>
      <c r="B34" s="116"/>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22"/>
      <c r="AG34" s="222"/>
    </row>
    <row r="35" spans="1:35" ht="13" customHeight="1">
      <c r="A35" s="211"/>
      <c r="B35" s="116"/>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497"/>
      <c r="AG35" s="343"/>
    </row>
    <row r="36" spans="1:35" ht="13" customHeight="1">
      <c r="A36" s="211"/>
      <c r="B36" s="116"/>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497"/>
      <c r="AG36" s="343"/>
    </row>
    <row r="38" spans="1:35" ht="13" customHeight="1">
      <c r="A38" s="211"/>
      <c r="B38" s="116"/>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2"/>
      <c r="AG38" s="182"/>
    </row>
    <row r="39" spans="1:35" ht="13" customHeight="1">
      <c r="A39" s="211"/>
      <c r="B39" s="116"/>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22"/>
      <c r="AG39" s="222"/>
      <c r="AH39" s="335"/>
      <c r="AI39" s="335"/>
    </row>
    <row r="40" spans="1:35" s="145" customFormat="1" ht="13" customHeight="1">
      <c r="A40" s="143"/>
      <c r="B40" s="116"/>
      <c r="C40" s="526"/>
      <c r="D40" s="526"/>
      <c r="E40" s="526"/>
      <c r="F40" s="526"/>
      <c r="G40" s="526"/>
      <c r="H40" s="526"/>
      <c r="I40" s="526"/>
      <c r="J40" s="526"/>
      <c r="K40" s="526"/>
      <c r="L40" s="526"/>
      <c r="M40" s="526"/>
      <c r="N40" s="526"/>
      <c r="O40" s="526"/>
      <c r="P40" s="526"/>
      <c r="Q40" s="526"/>
      <c r="R40" s="526"/>
      <c r="S40" s="526"/>
      <c r="T40" s="526"/>
      <c r="U40" s="526"/>
      <c r="V40" s="526"/>
      <c r="W40" s="526"/>
      <c r="X40" s="526"/>
      <c r="Y40" s="526"/>
      <c r="Z40" s="526"/>
      <c r="AA40" s="526"/>
      <c r="AB40" s="526"/>
      <c r="AC40" s="526"/>
      <c r="AD40" s="526"/>
      <c r="AE40" s="526"/>
      <c r="AF40" s="314"/>
      <c r="AG40" s="314"/>
      <c r="AH40" s="222"/>
    </row>
    <row r="41" spans="1:35" s="164" customFormat="1" ht="13" customHeight="1">
      <c r="A41" s="224"/>
      <c r="B41" s="116"/>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324"/>
      <c r="AG41" s="324"/>
      <c r="AH41" s="222"/>
    </row>
    <row r="42" spans="1:35" ht="13" customHeight="1">
      <c r="B42" s="116"/>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42"/>
      <c r="AG42" s="342"/>
    </row>
    <row r="43" spans="1:35" ht="13" customHeight="1">
      <c r="B43" s="116"/>
      <c r="K43" s="335"/>
      <c r="L43" s="335"/>
      <c r="M43" s="335"/>
      <c r="N43" s="335"/>
      <c r="O43" s="335"/>
      <c r="P43" s="335"/>
      <c r="Q43" s="335"/>
      <c r="R43" s="335"/>
      <c r="S43" s="335"/>
      <c r="T43" s="335"/>
      <c r="U43" s="335"/>
      <c r="V43" s="335"/>
      <c r="W43" s="335"/>
      <c r="X43" s="335"/>
      <c r="Y43" s="335"/>
      <c r="Z43" s="335"/>
      <c r="AA43" s="335"/>
      <c r="AB43" s="335"/>
      <c r="AC43" s="335"/>
      <c r="AD43" s="335"/>
      <c r="AE43" s="335"/>
      <c r="AF43" s="342"/>
      <c r="AG43" s="342"/>
    </row>
    <row r="44" spans="1:35" ht="13" customHeight="1">
      <c r="B44" s="11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342"/>
      <c r="AG44" s="342"/>
    </row>
    <row r="45" spans="1:35" ht="13" customHeight="1">
      <c r="B45" s="116"/>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342"/>
      <c r="AG45" s="342"/>
    </row>
    <row r="46" spans="1:35" ht="13" customHeight="1">
      <c r="B46" s="11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342"/>
      <c r="AG46" s="342"/>
    </row>
    <row r="47" spans="1:35" ht="13" customHeight="1">
      <c r="B47" s="11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342"/>
      <c r="AG47" s="342"/>
    </row>
    <row r="48" spans="1:35" ht="13" customHeight="1">
      <c r="B48" s="11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342"/>
      <c r="AG48" s="342"/>
    </row>
    <row r="49" spans="1:36" ht="13" customHeight="1">
      <c r="B49" s="11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342"/>
      <c r="AG49" s="342"/>
    </row>
    <row r="50" spans="1:36" ht="13" customHeight="1">
      <c r="B50" s="11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342"/>
      <c r="AG50" s="342"/>
    </row>
    <row r="51" spans="1:36" ht="13" customHeight="1">
      <c r="B51" s="11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342"/>
      <c r="AG51" s="342"/>
      <c r="AH51" s="215"/>
      <c r="AI51" s="215"/>
    </row>
    <row r="52" spans="1:36" ht="13" customHeight="1">
      <c r="A52" s="211"/>
      <c r="B52" s="11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342"/>
      <c r="AG52" s="342"/>
      <c r="AH52" s="215"/>
      <c r="AI52" s="215"/>
      <c r="AJ52" s="208"/>
    </row>
    <row r="53" spans="1:36" ht="13" customHeight="1">
      <c r="B53" s="11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342"/>
      <c r="AG53" s="342"/>
      <c r="AH53" s="215"/>
      <c r="AI53" s="215"/>
    </row>
    <row r="54" spans="1:36" ht="13" customHeight="1">
      <c r="B54" s="11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342"/>
      <c r="AG54" s="342"/>
      <c r="AH54" s="215"/>
      <c r="AI54" s="215"/>
    </row>
    <row r="55" spans="1:36" ht="13" customHeight="1">
      <c r="B55" s="11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342"/>
      <c r="AG55" s="342"/>
      <c r="AH55" s="215"/>
      <c r="AI55" s="215"/>
    </row>
    <row r="56" spans="1:36" ht="13" customHeight="1">
      <c r="B56" s="11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342"/>
      <c r="AG56" s="342"/>
      <c r="AH56" s="215"/>
      <c r="AI56" s="215"/>
    </row>
    <row r="57" spans="1:36" ht="13" customHeight="1">
      <c r="B57" s="11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342"/>
      <c r="AG57" s="342"/>
      <c r="AH57" s="215"/>
      <c r="AI57" s="215"/>
    </row>
    <row r="58" spans="1:36" ht="13" customHeight="1">
      <c r="B58" s="11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342"/>
      <c r="AG58" s="342"/>
      <c r="AH58" s="215"/>
      <c r="AI58" s="215"/>
    </row>
    <row r="59" spans="1:36" ht="13" customHeight="1">
      <c r="B59" s="11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342"/>
      <c r="AG59" s="342"/>
      <c r="AH59" s="215"/>
      <c r="AI59" s="215"/>
    </row>
    <row r="60" spans="1:36" ht="13" customHeight="1">
      <c r="B60" s="11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342"/>
      <c r="AG60" s="342"/>
      <c r="AH60" s="215"/>
      <c r="AI60" s="215"/>
    </row>
    <row r="61" spans="1:36" ht="13" customHeight="1">
      <c r="B61" s="11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342"/>
      <c r="AG61" s="342"/>
      <c r="AH61" s="215"/>
      <c r="AI61" s="215"/>
    </row>
    <row r="62" spans="1:36" ht="13" customHeight="1">
      <c r="B62" s="11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342"/>
      <c r="AG62" s="342"/>
      <c r="AH62" s="215"/>
      <c r="AI62" s="215"/>
    </row>
    <row r="63" spans="1:36" ht="13" customHeight="1">
      <c r="B63" s="11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342"/>
      <c r="AG63" s="342"/>
      <c r="AH63" s="215"/>
      <c r="AI63" s="215"/>
    </row>
    <row r="64" spans="1:36" ht="13" customHeight="1">
      <c r="B64" s="11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342"/>
      <c r="AG64" s="342"/>
      <c r="AH64" s="215"/>
      <c r="AI64" s="215"/>
    </row>
    <row r="65" spans="1:36" ht="13" customHeight="1">
      <c r="B65" s="11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342"/>
      <c r="AG65" s="342"/>
      <c r="AH65" s="215"/>
      <c r="AI65" s="215"/>
    </row>
    <row r="66" spans="1:36" ht="13" customHeight="1">
      <c r="B66" s="11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342"/>
      <c r="AG66" s="342"/>
      <c r="AH66" s="215"/>
      <c r="AI66" s="215"/>
    </row>
    <row r="67" spans="1:36" ht="13" customHeight="1">
      <c r="B67" s="116"/>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342"/>
      <c r="AG67" s="342"/>
      <c r="AH67" s="215"/>
      <c r="AI67" s="215"/>
    </row>
    <row r="68" spans="1:36" ht="13" customHeight="1">
      <c r="B68" s="116"/>
      <c r="C68" s="231"/>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342"/>
      <c r="AG68" s="342"/>
      <c r="AH68" s="215"/>
      <c r="AI68" s="215"/>
    </row>
    <row r="69" spans="1:36" ht="13" customHeight="1">
      <c r="B69" s="116"/>
      <c r="C69" s="231"/>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342"/>
      <c r="AG69" s="342"/>
      <c r="AH69" s="215"/>
      <c r="AI69" s="215"/>
    </row>
    <row r="70" spans="1:36" ht="13" customHeight="1">
      <c r="B70" s="116"/>
      <c r="C70" s="231"/>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342"/>
      <c r="AG70" s="342"/>
      <c r="AH70" s="215"/>
      <c r="AI70" s="215"/>
    </row>
    <row r="71" spans="1:36" ht="13" customHeight="1">
      <c r="B71" s="116"/>
      <c r="C71" s="231"/>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342"/>
      <c r="AG71" s="342"/>
      <c r="AH71" s="215"/>
      <c r="AI71" s="215"/>
    </row>
    <row r="72" spans="1:36" ht="13" customHeight="1">
      <c r="A72" s="211"/>
      <c r="B72" s="116"/>
      <c r="C72" s="503"/>
      <c r="D72" s="503"/>
      <c r="E72" s="503"/>
      <c r="F72" s="503"/>
      <c r="G72" s="503"/>
      <c r="H72" s="503"/>
      <c r="I72" s="503"/>
      <c r="J72" s="503"/>
      <c r="K72" s="503"/>
      <c r="L72" s="503"/>
      <c r="M72" s="503"/>
      <c r="N72" s="503"/>
      <c r="O72" s="503"/>
      <c r="P72" s="503"/>
      <c r="Q72" s="503"/>
      <c r="R72" s="503"/>
      <c r="S72" s="503"/>
      <c r="T72" s="503"/>
      <c r="U72" s="503"/>
      <c r="V72" s="503"/>
      <c r="W72" s="503"/>
      <c r="X72" s="503"/>
      <c r="Y72" s="503"/>
      <c r="Z72" s="503"/>
      <c r="AA72" s="503"/>
      <c r="AB72" s="503"/>
      <c r="AC72" s="503"/>
      <c r="AD72" s="503"/>
      <c r="AE72" s="503"/>
      <c r="AF72" s="324"/>
      <c r="AG72" s="324"/>
      <c r="AH72" s="215"/>
      <c r="AI72" s="215"/>
      <c r="AJ72" s="208"/>
    </row>
    <row r="73" spans="1:36" ht="13" customHeight="1">
      <c r="A73" s="211"/>
      <c r="B73" s="116"/>
      <c r="C73" s="503"/>
      <c r="D73" s="503"/>
      <c r="E73" s="503"/>
      <c r="F73" s="503"/>
      <c r="G73" s="503"/>
      <c r="H73" s="503"/>
      <c r="I73" s="503"/>
      <c r="J73" s="503"/>
      <c r="K73" s="503"/>
      <c r="L73" s="503"/>
      <c r="M73" s="503"/>
      <c r="N73" s="503"/>
      <c r="O73" s="503"/>
      <c r="P73" s="503"/>
      <c r="Q73" s="503"/>
      <c r="R73" s="503"/>
      <c r="S73" s="503"/>
      <c r="T73" s="503"/>
      <c r="U73" s="503"/>
      <c r="V73" s="503"/>
      <c r="W73" s="503"/>
      <c r="X73" s="503"/>
      <c r="Y73" s="503"/>
      <c r="Z73" s="503"/>
      <c r="AA73" s="503"/>
      <c r="AB73" s="503"/>
      <c r="AC73" s="503"/>
      <c r="AD73" s="503"/>
      <c r="AE73" s="503"/>
      <c r="AF73" s="324"/>
      <c r="AG73" s="324"/>
      <c r="AH73" s="215"/>
      <c r="AI73" s="215"/>
      <c r="AJ73" s="208"/>
    </row>
    <row r="74" spans="1:36" ht="13" customHeight="1">
      <c r="A74" s="211"/>
      <c r="B74" s="116"/>
      <c r="C74" s="503"/>
      <c r="D74" s="503"/>
      <c r="E74" s="503"/>
      <c r="F74" s="503"/>
      <c r="G74" s="503"/>
      <c r="H74" s="503"/>
      <c r="I74" s="503"/>
      <c r="J74" s="503"/>
      <c r="K74" s="503"/>
      <c r="L74" s="503"/>
      <c r="M74" s="503"/>
      <c r="N74" s="503"/>
      <c r="O74" s="503"/>
      <c r="P74" s="503"/>
      <c r="Q74" s="503"/>
      <c r="R74" s="503"/>
      <c r="S74" s="503"/>
      <c r="T74" s="503"/>
      <c r="U74" s="503"/>
      <c r="V74" s="503"/>
      <c r="W74" s="503"/>
      <c r="X74" s="503"/>
      <c r="Y74" s="503"/>
      <c r="Z74" s="503"/>
      <c r="AA74" s="503"/>
      <c r="AB74" s="503"/>
      <c r="AC74" s="503"/>
      <c r="AD74" s="503"/>
      <c r="AE74" s="503"/>
      <c r="AF74" s="324"/>
      <c r="AG74" s="324"/>
      <c r="AH74" s="215"/>
      <c r="AI74" s="215"/>
      <c r="AJ74" s="208"/>
    </row>
    <row r="75" spans="1:36" ht="13" customHeight="1">
      <c r="A75" s="211"/>
      <c r="B75" s="116"/>
      <c r="C75" s="511"/>
      <c r="D75" s="511"/>
      <c r="E75" s="511"/>
      <c r="F75" s="511"/>
      <c r="G75" s="511"/>
      <c r="H75" s="511"/>
      <c r="I75" s="511"/>
      <c r="J75" s="503"/>
      <c r="K75" s="511"/>
      <c r="L75" s="511"/>
      <c r="M75" s="511"/>
      <c r="N75" s="511"/>
      <c r="O75" s="511"/>
      <c r="P75" s="511"/>
      <c r="Q75" s="511"/>
      <c r="R75" s="511"/>
      <c r="S75" s="511"/>
      <c r="T75" s="511"/>
      <c r="U75" s="511"/>
      <c r="V75" s="511"/>
      <c r="W75" s="511"/>
      <c r="X75" s="511"/>
      <c r="Y75" s="511"/>
      <c r="Z75" s="511"/>
      <c r="AA75" s="511"/>
      <c r="AB75" s="511"/>
      <c r="AC75" s="511"/>
      <c r="AD75" s="511"/>
      <c r="AE75" s="503"/>
      <c r="AF75" s="314"/>
      <c r="AG75" s="314"/>
      <c r="AH75" s="215"/>
      <c r="AI75" s="215"/>
      <c r="AJ75" s="208"/>
    </row>
    <row r="76" spans="1:36" ht="13" customHeight="1">
      <c r="A76" s="211"/>
      <c r="B76" s="116"/>
      <c r="C76" s="511"/>
      <c r="D76" s="511"/>
      <c r="E76" s="511"/>
      <c r="F76" s="511"/>
      <c r="G76" s="511"/>
      <c r="H76" s="511"/>
      <c r="I76" s="511"/>
      <c r="J76" s="503"/>
      <c r="K76" s="511"/>
      <c r="L76" s="511"/>
      <c r="M76" s="511"/>
      <c r="N76" s="511"/>
      <c r="O76" s="511"/>
      <c r="P76" s="511"/>
      <c r="Q76" s="511"/>
      <c r="R76" s="511"/>
      <c r="S76" s="511"/>
      <c r="T76" s="511"/>
      <c r="U76" s="511"/>
      <c r="V76" s="511"/>
      <c r="W76" s="511"/>
      <c r="X76" s="511"/>
      <c r="Y76" s="511"/>
      <c r="Z76" s="511"/>
      <c r="AA76" s="511"/>
      <c r="AB76" s="511"/>
      <c r="AC76" s="511"/>
      <c r="AD76" s="511"/>
      <c r="AE76" s="503"/>
      <c r="AF76" s="314"/>
      <c r="AG76" s="314"/>
      <c r="AH76" s="215"/>
      <c r="AI76" s="215"/>
      <c r="AJ76" s="208"/>
    </row>
    <row r="77" spans="1:36" ht="13" customHeight="1">
      <c r="A77" s="211"/>
      <c r="B77" s="116"/>
      <c r="C77" s="511"/>
      <c r="D77" s="511"/>
      <c r="E77" s="511"/>
      <c r="F77" s="511"/>
      <c r="G77" s="511"/>
      <c r="H77" s="511"/>
      <c r="I77" s="511"/>
      <c r="J77" s="503"/>
      <c r="K77" s="511"/>
      <c r="L77" s="511"/>
      <c r="M77" s="511"/>
      <c r="N77" s="511"/>
      <c r="O77" s="511"/>
      <c r="P77" s="511"/>
      <c r="Q77" s="511"/>
      <c r="R77" s="511"/>
      <c r="S77" s="511"/>
      <c r="T77" s="511"/>
      <c r="U77" s="511"/>
      <c r="V77" s="511"/>
      <c r="W77" s="511"/>
      <c r="X77" s="511"/>
      <c r="Y77" s="511"/>
      <c r="Z77" s="511"/>
      <c r="AA77" s="511"/>
      <c r="AB77" s="511"/>
      <c r="AC77" s="511"/>
      <c r="AD77" s="511"/>
      <c r="AE77" s="503"/>
      <c r="AF77" s="314"/>
      <c r="AG77" s="314"/>
      <c r="AH77" s="215"/>
      <c r="AI77" s="215"/>
      <c r="AJ77" s="208"/>
    </row>
    <row r="78" spans="1:36" ht="13" customHeight="1">
      <c r="A78" s="211"/>
      <c r="B78" s="116"/>
      <c r="C78" s="511"/>
      <c r="D78" s="511"/>
      <c r="E78" s="511"/>
      <c r="F78" s="511"/>
      <c r="G78" s="511"/>
      <c r="H78" s="511"/>
      <c r="I78" s="511"/>
      <c r="J78" s="503"/>
      <c r="K78" s="511"/>
      <c r="L78" s="511"/>
      <c r="M78" s="511"/>
      <c r="N78" s="511"/>
      <c r="O78" s="511"/>
      <c r="P78" s="511"/>
      <c r="Q78" s="511"/>
      <c r="R78" s="511"/>
      <c r="S78" s="511"/>
      <c r="T78" s="511"/>
      <c r="U78" s="511"/>
      <c r="V78" s="511"/>
      <c r="W78" s="511"/>
      <c r="X78" s="511"/>
      <c r="Y78" s="511"/>
      <c r="Z78" s="511"/>
      <c r="AA78" s="511"/>
      <c r="AB78" s="511"/>
      <c r="AC78" s="511"/>
      <c r="AD78" s="511"/>
      <c r="AE78" s="503"/>
      <c r="AF78" s="314"/>
      <c r="AG78" s="314"/>
      <c r="AH78" s="215"/>
      <c r="AI78" s="215"/>
      <c r="AJ78" s="208"/>
    </row>
    <row r="79" spans="1:36" ht="13" customHeight="1">
      <c r="A79" s="211"/>
      <c r="B79" s="116"/>
      <c r="C79" s="503"/>
      <c r="D79" s="503"/>
      <c r="E79" s="503"/>
      <c r="F79" s="503"/>
      <c r="G79" s="503"/>
      <c r="H79" s="503"/>
      <c r="I79" s="503"/>
      <c r="J79" s="503"/>
      <c r="K79" s="503"/>
      <c r="L79" s="503"/>
      <c r="M79" s="503"/>
      <c r="N79" s="503"/>
      <c r="O79" s="503"/>
      <c r="P79" s="503"/>
      <c r="Q79" s="503"/>
      <c r="R79" s="503"/>
      <c r="S79" s="503"/>
      <c r="T79" s="503"/>
      <c r="U79" s="503"/>
      <c r="V79" s="503"/>
      <c r="W79" s="503"/>
      <c r="X79" s="503"/>
      <c r="Y79" s="503"/>
      <c r="Z79" s="503"/>
      <c r="AA79" s="503"/>
      <c r="AB79" s="503"/>
      <c r="AC79" s="503"/>
      <c r="AD79" s="503"/>
      <c r="AE79" s="503"/>
      <c r="AF79" s="324"/>
      <c r="AG79" s="324"/>
      <c r="AH79" s="215"/>
      <c r="AI79" s="215"/>
      <c r="AJ79" s="208"/>
    </row>
    <row r="80" spans="1:36" s="164" customFormat="1" ht="13" customHeight="1">
      <c r="A80" s="224"/>
      <c r="B80" s="116"/>
      <c r="AF80" s="327"/>
      <c r="AG80" s="327"/>
    </row>
    <row r="81" spans="1:36" s="164" customFormat="1" ht="13" customHeight="1">
      <c r="A81" s="224"/>
      <c r="B81" s="116"/>
      <c r="AF81" s="327"/>
      <c r="AG81" s="327"/>
    </row>
    <row r="82" spans="1:36" s="164" customFormat="1" ht="13" customHeight="1">
      <c r="A82" s="224"/>
      <c r="B82" s="116"/>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27"/>
      <c r="AG82" s="327"/>
    </row>
    <row r="83" spans="1:36" s="164" customFormat="1" ht="13" customHeight="1">
      <c r="A83" s="224"/>
      <c r="B83" s="116"/>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342"/>
      <c r="AG83" s="342"/>
    </row>
    <row r="84" spans="1:36" s="164" customFormat="1" ht="13" customHeight="1">
      <c r="A84" s="224"/>
      <c r="B84" s="116"/>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342"/>
      <c r="AG84" s="342"/>
    </row>
    <row r="85" spans="1:36" s="164" customFormat="1" ht="13" customHeight="1">
      <c r="A85" s="224"/>
      <c r="B85" s="116"/>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342"/>
      <c r="AG85" s="342"/>
    </row>
    <row r="86" spans="1:36" s="164" customFormat="1" ht="13" customHeight="1">
      <c r="A86" s="224"/>
      <c r="B86" s="116"/>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342"/>
      <c r="AG86" s="342"/>
      <c r="AJ86" s="544"/>
    </row>
    <row r="87" spans="1:36" s="164" customFormat="1" ht="13" customHeight="1">
      <c r="A87" s="224"/>
      <c r="B87" s="116"/>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342"/>
      <c r="AG87" s="342"/>
    </row>
    <row r="88" spans="1:36" s="164" customFormat="1" ht="13" customHeight="1">
      <c r="A88" s="224"/>
      <c r="B88" s="116"/>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342"/>
      <c r="AG88" s="342"/>
    </row>
    <row r="89" spans="1:36" s="164" customFormat="1" ht="13" customHeight="1">
      <c r="A89" s="224"/>
      <c r="B89" s="116"/>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342"/>
      <c r="AG89" s="342"/>
    </row>
    <row r="90" spans="1:36" s="164" customFormat="1" ht="13" customHeight="1">
      <c r="A90" s="224"/>
      <c r="B90" s="116"/>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342"/>
      <c r="AG90" s="342"/>
    </row>
    <row r="91" spans="1:36" s="164" customFormat="1" ht="13" customHeight="1">
      <c r="A91" s="224"/>
      <c r="B91" s="116"/>
      <c r="AF91" s="327"/>
      <c r="AG91" s="327"/>
      <c r="AH91" s="545"/>
      <c r="AI91" s="545"/>
    </row>
    <row r="92" spans="1:36" ht="13" customHeight="1">
      <c r="A92" s="211"/>
      <c r="B92" s="116"/>
      <c r="AF92" s="342"/>
      <c r="AG92" s="342"/>
      <c r="AH92" s="215"/>
      <c r="AI92" s="215"/>
    </row>
    <row r="93" spans="1:36" ht="13" customHeight="1">
      <c r="B93" s="116"/>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327"/>
      <c r="AG93" s="327"/>
      <c r="AH93" s="335"/>
      <c r="AI93" s="335"/>
      <c r="AJ93" s="188"/>
    </row>
    <row r="94" spans="1:36" s="164" customFormat="1" ht="13" customHeight="1">
      <c r="A94" s="224"/>
      <c r="B94" s="116"/>
      <c r="AF94" s="327"/>
      <c r="AG94" s="327"/>
      <c r="AH94" s="545"/>
      <c r="AI94" s="545"/>
    </row>
    <row r="95" spans="1:36" ht="13" customHeight="1">
      <c r="A95" s="211"/>
      <c r="B95" s="116"/>
      <c r="AF95" s="342"/>
      <c r="AG95" s="342"/>
      <c r="AH95" s="215"/>
      <c r="AI95" s="215"/>
    </row>
    <row r="96" spans="1:36" ht="13" customHeight="1">
      <c r="B96" s="116"/>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204"/>
      <c r="AG96" s="204"/>
      <c r="AH96" s="335"/>
      <c r="AI96" s="335"/>
      <c r="AJ96" s="188"/>
    </row>
    <row r="97" spans="3:35" s="116" customFormat="1" ht="13" customHeight="1">
      <c r="C97" s="226"/>
      <c r="D97" s="226"/>
      <c r="E97" s="226"/>
      <c r="F97" s="226"/>
      <c r="G97" s="226"/>
      <c r="H97" s="226"/>
      <c r="I97" s="226"/>
      <c r="J97" s="226"/>
      <c r="K97" s="226"/>
      <c r="L97" s="226"/>
      <c r="M97" s="226"/>
      <c r="N97" s="226"/>
      <c r="O97" s="226"/>
      <c r="P97" s="226"/>
      <c r="Q97" s="226"/>
      <c r="R97" s="226"/>
      <c r="S97" s="226"/>
      <c r="T97" s="226"/>
      <c r="U97" s="226"/>
      <c r="V97" s="226"/>
      <c r="W97" s="226"/>
      <c r="X97" s="226"/>
      <c r="Y97" s="226"/>
      <c r="Z97" s="226"/>
      <c r="AA97" s="226"/>
      <c r="AB97" s="226"/>
      <c r="AC97" s="226"/>
      <c r="AD97" s="226"/>
      <c r="AE97" s="226"/>
      <c r="AF97" s="204"/>
      <c r="AG97" s="204"/>
    </row>
    <row r="98" spans="3:35" s="116" customFormat="1" ht="13" customHeight="1">
      <c r="C98" s="226"/>
      <c r="D98" s="226"/>
      <c r="E98" s="226"/>
      <c r="F98" s="226"/>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26"/>
      <c r="AE98" s="226"/>
      <c r="AF98" s="204"/>
      <c r="AG98" s="204"/>
      <c r="AI98" s="188"/>
    </row>
    <row r="99" spans="3:35" s="116" customFormat="1" ht="13" customHeight="1">
      <c r="C99" s="226"/>
      <c r="D99" s="226"/>
      <c r="E99" s="226"/>
      <c r="F99" s="226"/>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04"/>
      <c r="AG99" s="204"/>
    </row>
    <row r="100" spans="3:35" s="116" customFormat="1" ht="13" customHeight="1">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04"/>
      <c r="AG100" s="204"/>
    </row>
    <row r="101" spans="3:35" s="116" customFormat="1" ht="13" customHeight="1">
      <c r="C101" s="226"/>
      <c r="D101" s="226"/>
      <c r="E101" s="226"/>
      <c r="F101" s="226"/>
      <c r="G101" s="226"/>
      <c r="H101" s="226"/>
      <c r="I101" s="226"/>
      <c r="J101" s="226"/>
      <c r="K101" s="226"/>
      <c r="L101" s="226"/>
      <c r="M101" s="226"/>
      <c r="N101" s="226"/>
      <c r="O101" s="226"/>
      <c r="P101" s="226"/>
      <c r="Q101" s="226"/>
      <c r="R101" s="226"/>
      <c r="S101" s="226"/>
      <c r="T101" s="226"/>
      <c r="U101" s="226"/>
      <c r="V101" s="226"/>
      <c r="W101" s="226"/>
      <c r="X101" s="226"/>
      <c r="Y101" s="226"/>
      <c r="Z101" s="226"/>
      <c r="AA101" s="226"/>
      <c r="AB101" s="226"/>
      <c r="AC101" s="226"/>
      <c r="AD101" s="226"/>
      <c r="AE101" s="226"/>
      <c r="AF101" s="204"/>
      <c r="AG101" s="204"/>
    </row>
    <row r="102" spans="3:35" s="116" customFormat="1" ht="13" customHeight="1">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04"/>
      <c r="AG102" s="204"/>
    </row>
    <row r="103" spans="3:35" s="116" customFormat="1" ht="13" customHeight="1">
      <c r="C103" s="226"/>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04"/>
      <c r="AG103" s="204"/>
    </row>
    <row r="104" spans="3:35" s="116" customFormat="1" ht="13" customHeight="1">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04"/>
      <c r="AG104" s="204"/>
    </row>
    <row r="105" spans="3:35" s="116" customFormat="1" ht="13" customHeight="1">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04"/>
      <c r="AG105" s="204"/>
    </row>
    <row r="106" spans="3:35" s="116" customFormat="1" ht="14" customHeight="1">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04"/>
      <c r="AG106" s="204"/>
    </row>
    <row r="107" spans="3:35" s="116" customFormat="1" ht="14" customHeight="1">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04"/>
      <c r="AG107" s="204"/>
    </row>
    <row r="108" spans="3:35" s="116" customFormat="1" ht="13" customHeight="1">
      <c r="AF108" s="342"/>
      <c r="AG108" s="342"/>
    </row>
    <row r="109" spans="3:35" s="116" customFormat="1" ht="13" customHeight="1">
      <c r="C109" s="226"/>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497"/>
      <c r="AG109" s="497"/>
    </row>
    <row r="110" spans="3:35" s="116" customFormat="1" ht="13" customHeight="1">
      <c r="C110" s="226"/>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497"/>
      <c r="AG110" s="497"/>
    </row>
    <row r="111" spans="3:35" s="116" customFormat="1" ht="13" customHeight="1">
      <c r="C111" s="226"/>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497"/>
      <c r="AG111" s="497"/>
    </row>
    <row r="112" spans="3:35" s="116" customFormat="1" ht="13" customHeight="1">
      <c r="C112" s="226"/>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497"/>
      <c r="AG112" s="497"/>
    </row>
    <row r="113" spans="2:33" ht="13" customHeight="1">
      <c r="B113" s="116"/>
      <c r="C113" s="226"/>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497"/>
      <c r="AG113" s="497"/>
    </row>
    <row r="114" spans="2:33" ht="14" customHeight="1">
      <c r="B114" s="116"/>
      <c r="C114" s="226"/>
      <c r="D114" s="226"/>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497"/>
      <c r="AG114" s="497"/>
    </row>
    <row r="115" spans="2:33" ht="13" customHeight="1">
      <c r="B115" s="116"/>
      <c r="C115" s="226"/>
      <c r="D115" s="226"/>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497"/>
      <c r="AG115" s="497"/>
    </row>
    <row r="116" spans="2:33" ht="13" customHeight="1">
      <c r="B116" s="116"/>
      <c r="T116" s="323"/>
      <c r="U116" s="323"/>
      <c r="V116" s="323"/>
      <c r="W116" s="323"/>
      <c r="X116" s="323"/>
      <c r="Y116" s="323"/>
      <c r="Z116" s="323"/>
      <c r="AA116" s="323"/>
      <c r="AB116" s="323"/>
      <c r="AC116" s="323"/>
      <c r="AD116" s="323"/>
      <c r="AE116" s="323"/>
      <c r="AF116" s="342"/>
      <c r="AG116" s="342"/>
    </row>
    <row r="117" spans="2:33" ht="13" customHeight="1">
      <c r="B117" s="50"/>
      <c r="AF117" s="342"/>
      <c r="AG117" s="342"/>
    </row>
    <row r="118" spans="2:33" ht="13" customHeight="1">
      <c r="B118" s="51"/>
      <c r="C118" s="526"/>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6"/>
      <c r="AA118" s="526"/>
      <c r="AB118" s="526"/>
      <c r="AC118" s="526"/>
      <c r="AD118" s="526"/>
      <c r="AE118" s="526"/>
      <c r="AF118" s="314"/>
      <c r="AG118" s="314"/>
    </row>
    <row r="119" spans="2:33" ht="13" customHeight="1">
      <c r="B119" s="51"/>
      <c r="C119" s="117"/>
      <c r="D119" s="117"/>
      <c r="E119" s="117"/>
      <c r="F119" s="313"/>
      <c r="G119" s="313"/>
      <c r="H119" s="313"/>
      <c r="I119" s="313"/>
      <c r="J119" s="313"/>
      <c r="K119" s="117"/>
      <c r="L119" s="117"/>
      <c r="M119" s="117"/>
      <c r="N119" s="117"/>
      <c r="O119" s="323"/>
      <c r="P119" s="323"/>
      <c r="Q119" s="323"/>
      <c r="R119" s="323"/>
      <c r="S119" s="323"/>
      <c r="T119" s="323"/>
      <c r="U119" s="323"/>
      <c r="V119" s="323"/>
      <c r="W119" s="323"/>
      <c r="X119" s="323"/>
      <c r="Y119" s="323"/>
      <c r="Z119" s="323"/>
      <c r="AA119" s="323"/>
      <c r="AB119" s="323"/>
      <c r="AC119" s="323"/>
      <c r="AD119" s="323"/>
      <c r="AE119" s="323"/>
      <c r="AF119" s="497"/>
      <c r="AG119" s="497"/>
    </row>
    <row r="120" spans="2:33" ht="13" customHeight="1">
      <c r="AA120" s="159"/>
      <c r="AB120" s="159"/>
      <c r="AC120" s="159"/>
      <c r="AD120" s="159"/>
      <c r="AE120" s="159"/>
      <c r="AF120" s="159"/>
      <c r="AG120" s="159"/>
    </row>
    <row r="121" spans="2:33" ht="13" customHeight="1">
      <c r="R121" s="160"/>
      <c r="S121" s="160"/>
      <c r="T121" s="160"/>
      <c r="U121" s="160"/>
      <c r="V121" s="160"/>
      <c r="W121" s="160"/>
      <c r="X121" s="160"/>
      <c r="Y121" s="160"/>
      <c r="Z121" s="160"/>
      <c r="AA121" s="160"/>
      <c r="AB121" s="160"/>
      <c r="AC121" s="160"/>
      <c r="AD121" s="160"/>
      <c r="AE121" s="160"/>
      <c r="AF121" s="160"/>
      <c r="AG121" s="160"/>
    </row>
    <row r="122" spans="2:33" ht="13" customHeight="1">
      <c r="B122" s="761"/>
      <c r="C122" s="116" t="s">
        <v>1047</v>
      </c>
      <c r="O122" s="160"/>
      <c r="P122" s="160"/>
      <c r="Q122" s="160"/>
      <c r="R122" s="160"/>
      <c r="S122" s="160"/>
      <c r="T122" s="160"/>
      <c r="U122" s="160"/>
      <c r="V122" s="160"/>
      <c r="W122" s="160"/>
      <c r="X122" s="160"/>
      <c r="Y122" s="160"/>
      <c r="Z122" s="160"/>
      <c r="AA122" s="160"/>
      <c r="AB122" s="160"/>
      <c r="AC122" s="160"/>
      <c r="AD122" s="160"/>
      <c r="AE122" s="160"/>
      <c r="AF122" s="160"/>
      <c r="AG122" s="160"/>
    </row>
    <row r="123" spans="2:33" ht="13" customHeight="1">
      <c r="B123" s="761"/>
      <c r="AA123" s="188"/>
      <c r="AB123" s="188"/>
      <c r="AC123" s="188"/>
      <c r="AD123" s="188"/>
      <c r="AE123" s="188"/>
      <c r="AF123" s="188"/>
      <c r="AG123" s="188"/>
    </row>
    <row r="124" spans="2:33" ht="13" customHeight="1">
      <c r="B124" s="761"/>
      <c r="U124" s="229"/>
      <c r="V124" s="229"/>
      <c r="W124" s="229"/>
      <c r="X124" s="229"/>
      <c r="Y124" s="229"/>
      <c r="Z124" s="229"/>
      <c r="AA124" s="229"/>
      <c r="AB124" s="229"/>
      <c r="AC124" s="229"/>
      <c r="AD124" s="229"/>
      <c r="AE124" s="160"/>
      <c r="AF124" s="229"/>
      <c r="AG124" s="229"/>
    </row>
    <row r="125" spans="2:33" ht="13" customHeight="1">
      <c r="B125" s="761"/>
    </row>
    <row r="126" spans="2:33" ht="13" customHeight="1">
      <c r="B126" s="761"/>
    </row>
  </sheetData>
  <sheetProtection algorithmName="SHA-512" hashValue="Q+l2kC4Bs9c4Hia0fEfTfRtbMzolh/fHbGm3yTTrQ58fjMZ+iGj6xT4VGVDmmgnl3QkCKW3niKkSoMKwdXqwCg==" saltValue="UfARDeFqPv2INypSMuWFxQ==" spinCount="100000" sheet="1" formatCells="0" formatColumns="0" formatRows="0" insertColumns="0" insertRows="0" insertHyperlinks="0" deleteColumns="0" deleteRows="0" sort="0" autoFilter="0" pivotTables="0"/>
  <mergeCells count="1">
    <mergeCell ref="B122:B12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BC7C3-4719-D44A-AF55-0E5CA0EECE98}">
  <sheetPr codeName="Sheet9">
    <tabColor rgb="FFEB7100"/>
  </sheetPr>
  <dimension ref="A1:AM47"/>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ustomWidth="1"/>
    <col min="10" max="10" width="2.83203125" style="116" customWidth="1"/>
    <col min="11" max="19" width="10.83203125" style="116" customWidth="1"/>
    <col min="20" max="27" width="10.83203125" style="116"/>
    <col min="28" max="30" width="10.83203125" style="116" customWidth="1"/>
    <col min="31" max="31" width="5.83203125" style="116" customWidth="1"/>
    <col min="32" max="16384" width="10.83203125" style="116"/>
  </cols>
  <sheetData>
    <row r="1" spans="1:39"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1:39" s="10" customFormat="1" ht="13" customHeight="1">
      <c r="B2" s="267" t="str">
        <f>IF('Summary | Sumário'!D$6=Names!B$3,Names!U1,Names!T1)</f>
        <v>NII (IFRS, R$ Mil)</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0" t="str">
        <f>IF('Summary | Sumário'!D6=Names!B3,Names!C7,Names!D7)</f>
        <v>2Q21</v>
      </c>
      <c r="M2" s="20"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58"/>
      <c r="AI2" s="58"/>
      <c r="AJ2" s="11"/>
      <c r="AL2" s="12"/>
      <c r="AM2" s="13"/>
    </row>
    <row r="3" spans="1:39" ht="13" customHeight="1">
      <c r="B3" s="14"/>
      <c r="C3" s="126"/>
      <c r="D3" s="126"/>
      <c r="E3" s="126"/>
      <c r="F3" s="126"/>
      <c r="G3" s="126"/>
      <c r="H3" s="126"/>
      <c r="I3" s="126"/>
      <c r="J3" s="321"/>
      <c r="K3" s="127"/>
      <c r="L3" s="127"/>
      <c r="M3" s="127"/>
      <c r="N3" s="127"/>
      <c r="O3" s="127"/>
      <c r="P3" s="127"/>
      <c r="Q3" s="127"/>
      <c r="R3" s="127"/>
      <c r="S3" s="127"/>
      <c r="T3" s="127"/>
      <c r="U3" s="127"/>
      <c r="V3" s="127"/>
      <c r="W3" s="127"/>
      <c r="X3" s="127"/>
      <c r="Y3" s="127"/>
      <c r="Z3" s="127"/>
      <c r="AA3" s="127"/>
      <c r="AB3" s="120"/>
      <c r="AC3" s="120"/>
      <c r="AD3" s="120"/>
      <c r="AE3" s="120"/>
      <c r="AF3" s="120"/>
      <c r="AG3" s="120"/>
    </row>
    <row r="4" spans="1:39" ht="13" customHeight="1">
      <c r="B4" s="50" t="str">
        <f>IF('Summary | Sumário'!D$6=Names!B$3,Names!O31,Names!Z31)</f>
        <v>Interest income</v>
      </c>
      <c r="K4" s="335"/>
      <c r="L4" s="335"/>
      <c r="M4" s="335"/>
      <c r="N4" s="335"/>
      <c r="O4" s="335"/>
      <c r="P4" s="335"/>
      <c r="Q4" s="335"/>
      <c r="R4" s="335"/>
      <c r="S4" s="335"/>
      <c r="T4" s="335"/>
      <c r="U4" s="335"/>
      <c r="V4" s="335"/>
      <c r="W4" s="335"/>
      <c r="X4" s="335"/>
      <c r="Y4" s="335"/>
      <c r="Z4" s="335"/>
      <c r="AA4" s="335"/>
      <c r="AB4" s="335"/>
      <c r="AC4" s="335"/>
      <c r="AD4" s="335"/>
      <c r="AE4" s="335"/>
      <c r="AF4" s="342"/>
      <c r="AG4" s="342"/>
    </row>
    <row r="5" spans="1:39" ht="13" customHeight="1">
      <c r="B5" s="271" t="str">
        <f>IF('Summary | Sumário'!D$6=Names!B$3,Names!O32,Names!Z32)</f>
        <v>Interest income</v>
      </c>
      <c r="C5" s="498">
        <v>775515</v>
      </c>
      <c r="D5" s="498">
        <v>942655.89517999999</v>
      </c>
      <c r="E5" s="498">
        <f>SUM(K5:N5)</f>
        <v>1435427.246</v>
      </c>
      <c r="F5" s="498">
        <f>SUM(O5:R5)</f>
        <v>2802658.0819999999</v>
      </c>
      <c r="G5" s="498">
        <f>SUM(S5:V5)</f>
        <v>4549827</v>
      </c>
      <c r="H5" s="498">
        <f>SUM(W5:Z5)</f>
        <v>5139213.5399445314</v>
      </c>
      <c r="I5" s="498">
        <f t="shared" ref="I5:I15" si="0">SUM(AA5:AD5)</f>
        <v>8638477</v>
      </c>
      <c r="J5" s="226"/>
      <c r="K5" s="498">
        <v>289003.935</v>
      </c>
      <c r="L5" s="498">
        <v>305659.75100000005</v>
      </c>
      <c r="M5" s="498">
        <v>367405.88</v>
      </c>
      <c r="N5" s="498">
        <v>473357.68</v>
      </c>
      <c r="O5" s="498">
        <v>521159.63199999993</v>
      </c>
      <c r="P5" s="498">
        <v>622312.6370000001</v>
      </c>
      <c r="Q5" s="498">
        <v>788342.73100000003</v>
      </c>
      <c r="R5" s="498">
        <v>870843.08199999994</v>
      </c>
      <c r="S5" s="498">
        <v>1012926.822</v>
      </c>
      <c r="T5" s="498">
        <v>1151105</v>
      </c>
      <c r="U5" s="498">
        <v>1106935.08874</v>
      </c>
      <c r="V5" s="498">
        <v>1278860.08926</v>
      </c>
      <c r="W5" s="498">
        <v>1217530.9999999998</v>
      </c>
      <c r="X5" s="498">
        <v>1172415.139</v>
      </c>
      <c r="Y5" s="498">
        <v>1412226.140133633</v>
      </c>
      <c r="Z5" s="498">
        <f>Z6+Z11+Z12+Z13</f>
        <v>1337041.2608108988</v>
      </c>
      <c r="AA5" s="498">
        <f>AA6+AA11+AA12+AA13</f>
        <v>1806870</v>
      </c>
      <c r="AB5" s="498">
        <f>AB6+AB11+AB12+AB13</f>
        <v>2128214</v>
      </c>
      <c r="AC5" s="498">
        <f>AC6+AC11+AC12+AC13</f>
        <v>2226423</v>
      </c>
      <c r="AD5" s="498">
        <f>AD6+AD11+AD12+AD13</f>
        <v>2476970</v>
      </c>
      <c r="AE5" s="226"/>
      <c r="AF5" s="499">
        <f t="shared" ref="AF5:AF29" si="1">AD5/AC5-1</f>
        <v>0.11253342244488129</v>
      </c>
      <c r="AG5" s="499">
        <f t="shared" ref="AG5:AG29" si="2">AD5/Z5-1</f>
        <v>0.85257558805458888</v>
      </c>
      <c r="AI5" s="188"/>
    </row>
    <row r="6" spans="1:39" ht="13" customHeight="1">
      <c r="B6" s="17" t="str">
        <f>IF('Summary | Sumário'!D$6=Names!B$3,Names!O33,Names!Z33)</f>
        <v>Loans and advances to customers</v>
      </c>
      <c r="C6" s="226">
        <v>635873</v>
      </c>
      <c r="D6" s="226">
        <v>807878.44012000004</v>
      </c>
      <c r="E6" s="226">
        <f t="shared" ref="E6:E28" si="3">SUM(K6:N6)</f>
        <v>1330194.1980000001</v>
      </c>
      <c r="F6" s="226">
        <f t="shared" ref="F6:F28" si="4">SUM(O6:R6)</f>
        <v>2465436.4588899999</v>
      </c>
      <c r="G6" s="226">
        <f t="shared" ref="G6:G28" si="5">SUM(S6:V6)</f>
        <v>3811788</v>
      </c>
      <c r="H6" s="226">
        <f t="shared" ref="H6:H29" si="6">SUM(W6:Z6)</f>
        <v>4166337.213918197</v>
      </c>
      <c r="I6" s="226">
        <f t="shared" si="0"/>
        <v>6905792</v>
      </c>
      <c r="J6" s="226"/>
      <c r="K6" s="226">
        <v>268003.20799999998</v>
      </c>
      <c r="L6" s="226">
        <v>292783.40600000002</v>
      </c>
      <c r="M6" s="226">
        <v>335179.73</v>
      </c>
      <c r="N6" s="226">
        <v>434227.85400000005</v>
      </c>
      <c r="O6" s="226">
        <v>465786.92129999999</v>
      </c>
      <c r="P6" s="226">
        <v>587035.16590000002</v>
      </c>
      <c r="Q6" s="226">
        <v>672679.28999000008</v>
      </c>
      <c r="R6" s="226">
        <v>739935.08169999998</v>
      </c>
      <c r="S6" s="226">
        <v>840890.87786000001</v>
      </c>
      <c r="T6" s="226">
        <v>976319.04593000002</v>
      </c>
      <c r="U6" s="226">
        <v>891716.27035000001</v>
      </c>
      <c r="V6" s="226">
        <v>1102861.8058600002</v>
      </c>
      <c r="W6" s="226">
        <v>1020891.12009</v>
      </c>
      <c r="X6" s="226">
        <v>992213.52389000007</v>
      </c>
      <c r="Y6" s="226">
        <v>1161390.4944492984</v>
      </c>
      <c r="Z6" s="226">
        <v>991842.07548889867</v>
      </c>
      <c r="AA6" s="226">
        <v>1447891</v>
      </c>
      <c r="AB6" s="226">
        <v>1699765</v>
      </c>
      <c r="AC6" s="226">
        <v>1724773</v>
      </c>
      <c r="AD6" s="226">
        <v>2033363</v>
      </c>
      <c r="AE6" s="226"/>
      <c r="AF6" s="342">
        <f t="shared" si="1"/>
        <v>0.17891629797080544</v>
      </c>
      <c r="AG6" s="342">
        <f t="shared" si="2"/>
        <v>1.0500874587294704</v>
      </c>
      <c r="AI6" s="188"/>
    </row>
    <row r="7" spans="1:39" ht="13" customHeight="1">
      <c r="B7" s="99" t="str">
        <f>IF('Summary | Sumário'!D$6=Names!B$3,Names!O34,Names!Z34)</f>
        <v>Real Estate</v>
      </c>
      <c r="C7" s="230">
        <v>0</v>
      </c>
      <c r="D7" s="230">
        <v>435019.64619000006</v>
      </c>
      <c r="E7" s="230">
        <f t="shared" si="3"/>
        <v>579506.26199999999</v>
      </c>
      <c r="F7" s="230">
        <f t="shared" si="4"/>
        <v>714011.42595000006</v>
      </c>
      <c r="G7" s="230">
        <f t="shared" si="5"/>
        <v>925900</v>
      </c>
      <c r="H7" s="230">
        <f t="shared" si="6"/>
        <v>1080760.6800631299</v>
      </c>
      <c r="I7" s="230">
        <f t="shared" si="0"/>
        <v>1889846</v>
      </c>
      <c r="J7" s="226"/>
      <c r="K7" s="230">
        <v>139297.851</v>
      </c>
      <c r="L7" s="230">
        <v>136320.81899999999</v>
      </c>
      <c r="M7" s="230">
        <v>141281.71</v>
      </c>
      <c r="N7" s="230">
        <v>162605.88200000001</v>
      </c>
      <c r="O7" s="230">
        <v>163483.92470999999</v>
      </c>
      <c r="P7" s="230">
        <v>208572.24767999997</v>
      </c>
      <c r="Q7" s="230">
        <v>169001.99365000005</v>
      </c>
      <c r="R7" s="230">
        <v>172953.25990999999</v>
      </c>
      <c r="S7" s="230">
        <v>220549.84688</v>
      </c>
      <c r="T7" s="230">
        <v>230186.84327000001</v>
      </c>
      <c r="U7" s="230">
        <v>210305.65125</v>
      </c>
      <c r="V7" s="230">
        <v>264857.65859999997</v>
      </c>
      <c r="W7" s="230">
        <v>268726.12008999998</v>
      </c>
      <c r="X7" s="230">
        <v>266162.86888999998</v>
      </c>
      <c r="Y7" s="230">
        <v>280656.44909697119</v>
      </c>
      <c r="Z7" s="230">
        <v>265215.24198615877</v>
      </c>
      <c r="AA7" s="230">
        <v>443469</v>
      </c>
      <c r="AB7" s="230">
        <v>507523</v>
      </c>
      <c r="AC7" s="230">
        <v>367166</v>
      </c>
      <c r="AD7" s="230">
        <v>571688</v>
      </c>
      <c r="AE7" s="226"/>
      <c r="AF7" s="341">
        <f t="shared" si="1"/>
        <v>0.55702870091457268</v>
      </c>
      <c r="AG7" s="341">
        <f t="shared" si="2"/>
        <v>1.155562386681515</v>
      </c>
      <c r="AI7" s="188"/>
    </row>
    <row r="8" spans="1:39" ht="13" customHeight="1">
      <c r="B8" s="495" t="str">
        <f>IF('Summary | Sumário'!D$6=Names!B$3,Names!O35,Names!Z35)</f>
        <v>Personal</v>
      </c>
      <c r="C8" s="226">
        <v>0</v>
      </c>
      <c r="D8" s="226">
        <v>194589.16927000001</v>
      </c>
      <c r="E8" s="226">
        <f t="shared" si="3"/>
        <v>319455.67200000002</v>
      </c>
      <c r="F8" s="226">
        <f t="shared" si="4"/>
        <v>583197.69805000001</v>
      </c>
      <c r="G8" s="226">
        <f t="shared" si="5"/>
        <v>1117470</v>
      </c>
      <c r="H8" s="226">
        <f t="shared" si="6"/>
        <v>1040254.5429802999</v>
      </c>
      <c r="I8" s="226">
        <f t="shared" si="0"/>
        <v>2447331</v>
      </c>
      <c r="J8" s="226"/>
      <c r="K8" s="226">
        <v>63981.644999999997</v>
      </c>
      <c r="L8" s="226">
        <v>73178.934000000008</v>
      </c>
      <c r="M8" s="226">
        <v>85052.814000000013</v>
      </c>
      <c r="N8" s="226">
        <v>97242.27900000001</v>
      </c>
      <c r="O8" s="226">
        <v>108222.83400999999</v>
      </c>
      <c r="P8" s="226">
        <v>133460.16244000001</v>
      </c>
      <c r="Q8" s="226">
        <v>159493.41924999998</v>
      </c>
      <c r="R8" s="226">
        <v>182021.28234999996</v>
      </c>
      <c r="S8" s="226">
        <v>223476.20140999998</v>
      </c>
      <c r="T8" s="226">
        <v>318868.07952999993</v>
      </c>
      <c r="U8" s="226">
        <v>215827.96117000002</v>
      </c>
      <c r="V8" s="226">
        <v>359297.75789000001</v>
      </c>
      <c r="W8" s="226">
        <v>275126</v>
      </c>
      <c r="X8" s="226">
        <v>204785.36600000001</v>
      </c>
      <c r="Y8" s="226">
        <v>355360.76014069101</v>
      </c>
      <c r="Z8" s="226">
        <v>204982.41683960881</v>
      </c>
      <c r="AA8" s="226">
        <v>473524</v>
      </c>
      <c r="AB8" s="226">
        <v>609166</v>
      </c>
      <c r="AC8" s="226">
        <v>662784</v>
      </c>
      <c r="AD8" s="226">
        <v>701857</v>
      </c>
      <c r="AE8" s="226"/>
      <c r="AF8" s="342">
        <f t="shared" si="1"/>
        <v>5.8952841348010709E-2</v>
      </c>
      <c r="AG8" s="342">
        <f t="shared" si="2"/>
        <v>2.4239863634214891</v>
      </c>
      <c r="AI8" s="188"/>
    </row>
    <row r="9" spans="1:39" ht="13" customHeight="1">
      <c r="B9" s="99" t="str">
        <f>IF('Summary | Sumário'!D$6=Names!B$3,Names!O36,Names!Z36)</f>
        <v>SME</v>
      </c>
      <c r="C9" s="230">
        <v>0</v>
      </c>
      <c r="D9" s="230">
        <v>59990.754910000003</v>
      </c>
      <c r="E9" s="230">
        <f t="shared" si="3"/>
        <v>186131.85699999999</v>
      </c>
      <c r="F9" s="230">
        <f t="shared" si="4"/>
        <v>450650.24199999997</v>
      </c>
      <c r="G9" s="230">
        <f t="shared" si="5"/>
        <v>521929</v>
      </c>
      <c r="H9" s="230">
        <f t="shared" si="6"/>
        <v>567087.72747602698</v>
      </c>
      <c r="I9" s="230">
        <f t="shared" si="0"/>
        <v>571431</v>
      </c>
      <c r="J9" s="226"/>
      <c r="K9" s="230">
        <v>20454.21</v>
      </c>
      <c r="L9" s="230">
        <v>37744.78</v>
      </c>
      <c r="M9" s="230">
        <v>42772.136999999988</v>
      </c>
      <c r="N9" s="230">
        <v>85160.73000000001</v>
      </c>
      <c r="O9" s="230">
        <v>84615.255999999994</v>
      </c>
      <c r="P9" s="230">
        <v>107134.802</v>
      </c>
      <c r="Q9" s="230">
        <v>112397.92600000002</v>
      </c>
      <c r="R9" s="230">
        <v>146502.258</v>
      </c>
      <c r="S9" s="230">
        <v>124265.87599999999</v>
      </c>
      <c r="T9" s="230">
        <v>120750</v>
      </c>
      <c r="U9" s="230">
        <v>131787.38165</v>
      </c>
      <c r="V9" s="230">
        <v>145125.74235000001</v>
      </c>
      <c r="W9" s="230">
        <v>124639</v>
      </c>
      <c r="X9" s="230">
        <v>152217.704</v>
      </c>
      <c r="Y9" s="230">
        <v>145605.608548077</v>
      </c>
      <c r="Z9" s="230">
        <v>144625.41492794995</v>
      </c>
      <c r="AA9" s="230">
        <v>127223</v>
      </c>
      <c r="AB9" s="230">
        <v>136543</v>
      </c>
      <c r="AC9" s="230">
        <v>143359</v>
      </c>
      <c r="AD9" s="230">
        <v>164306</v>
      </c>
      <c r="AE9" s="226"/>
      <c r="AF9" s="341">
        <f t="shared" si="1"/>
        <v>0.1461156955614924</v>
      </c>
      <c r="AG9" s="341">
        <f t="shared" si="2"/>
        <v>0.13607971380310024</v>
      </c>
      <c r="AI9" s="188"/>
    </row>
    <row r="10" spans="1:39" ht="13" customHeight="1">
      <c r="B10" s="495" t="str">
        <f>IF('Summary | Sumário'!D$6=Names!B$3,Names!O37,Names!Z37)</f>
        <v>Credit Cards</v>
      </c>
      <c r="C10" s="226">
        <v>0</v>
      </c>
      <c r="D10" s="226">
        <v>118278.86974999998</v>
      </c>
      <c r="E10" s="226">
        <f t="shared" si="3"/>
        <v>245100.40700000001</v>
      </c>
      <c r="F10" s="226">
        <f t="shared" si="4"/>
        <v>717577.09288999997</v>
      </c>
      <c r="G10" s="226">
        <f t="shared" si="5"/>
        <v>1246489</v>
      </c>
      <c r="H10" s="226">
        <f t="shared" si="6"/>
        <v>1478234.26339874</v>
      </c>
      <c r="I10" s="226">
        <f t="shared" si="0"/>
        <v>1997184</v>
      </c>
      <c r="J10" s="226"/>
      <c r="K10" s="226">
        <v>44269.502</v>
      </c>
      <c r="L10" s="226">
        <v>45538.873</v>
      </c>
      <c r="M10" s="226">
        <v>66073.068999999989</v>
      </c>
      <c r="N10" s="226">
        <v>89218.963000000018</v>
      </c>
      <c r="O10" s="226">
        <v>109464.90658000001</v>
      </c>
      <c r="P10" s="226">
        <v>137867.95378000001</v>
      </c>
      <c r="Q10" s="226">
        <v>231785.95109000002</v>
      </c>
      <c r="R10" s="226">
        <v>238458.28143999999</v>
      </c>
      <c r="S10" s="226">
        <v>272598.95357000001</v>
      </c>
      <c r="T10" s="226">
        <v>306514.12313000002</v>
      </c>
      <c r="U10" s="226">
        <v>333795.27627999999</v>
      </c>
      <c r="V10" s="226">
        <v>333580.64701999992</v>
      </c>
      <c r="W10" s="226">
        <v>352400</v>
      </c>
      <c r="X10" s="226">
        <v>369047.58500000002</v>
      </c>
      <c r="Y10" s="226">
        <v>379767.67666355905</v>
      </c>
      <c r="Z10" s="226">
        <v>377019.00173518108</v>
      </c>
      <c r="AA10" s="226">
        <v>403675</v>
      </c>
      <c r="AB10" s="226">
        <v>446533</v>
      </c>
      <c r="AC10" s="226">
        <v>551464</v>
      </c>
      <c r="AD10" s="226">
        <v>595512</v>
      </c>
      <c r="AE10" s="226"/>
      <c r="AF10" s="342">
        <f t="shared" si="1"/>
        <v>7.9874660902615524E-2</v>
      </c>
      <c r="AG10" s="342">
        <f t="shared" si="2"/>
        <v>0.57952781493567485</v>
      </c>
      <c r="AI10" s="188"/>
    </row>
    <row r="11" spans="1:39" ht="13" customHeight="1">
      <c r="B11" s="100" t="str">
        <f>IF('Summary | Sumário'!D$6=Names!B$3,Names!O45,Names!Z45)</f>
        <v>Prepayment of receivables</v>
      </c>
      <c r="C11" s="230">
        <v>0</v>
      </c>
      <c r="D11" s="230">
        <v>793.77571</v>
      </c>
      <c r="E11" s="230">
        <f t="shared" si="3"/>
        <v>12540.518</v>
      </c>
      <c r="F11" s="230">
        <f t="shared" si="4"/>
        <v>101704.27800000001</v>
      </c>
      <c r="G11" s="230">
        <f t="shared" si="5"/>
        <v>242443</v>
      </c>
      <c r="H11" s="230">
        <f t="shared" si="6"/>
        <v>418724.30605999997</v>
      </c>
      <c r="I11" s="230">
        <f t="shared" si="0"/>
        <v>791786</v>
      </c>
      <c r="J11" s="226"/>
      <c r="K11" s="230">
        <v>2554.556</v>
      </c>
      <c r="L11" s="230">
        <v>2758.1950000000002</v>
      </c>
      <c r="M11" s="230">
        <v>1333.1729999999998</v>
      </c>
      <c r="N11" s="230">
        <v>5894.594000000001</v>
      </c>
      <c r="O11" s="230">
        <v>5242.8329999999996</v>
      </c>
      <c r="P11" s="230">
        <v>17718.065000000002</v>
      </c>
      <c r="Q11" s="230">
        <v>32903.998999999996</v>
      </c>
      <c r="R11" s="230">
        <v>45839.381000000008</v>
      </c>
      <c r="S11" s="230">
        <v>64806.196000000004</v>
      </c>
      <c r="T11" s="230">
        <v>59977</v>
      </c>
      <c r="U11" s="230">
        <v>60383</v>
      </c>
      <c r="V11" s="230">
        <v>57276.804000000004</v>
      </c>
      <c r="W11" s="230">
        <v>59662</v>
      </c>
      <c r="X11" s="230">
        <v>53645.453999999998</v>
      </c>
      <c r="Y11" s="230">
        <v>136932.53951</v>
      </c>
      <c r="Z11" s="230">
        <v>168484.31254999997</v>
      </c>
      <c r="AA11" s="230">
        <v>240697</v>
      </c>
      <c r="AB11" s="230">
        <v>246467</v>
      </c>
      <c r="AC11" s="230">
        <v>163154</v>
      </c>
      <c r="AD11" s="230">
        <v>141468</v>
      </c>
      <c r="AE11" s="226"/>
      <c r="AF11" s="341">
        <f t="shared" si="1"/>
        <v>-0.1329173664145531</v>
      </c>
      <c r="AG11" s="341">
        <f t="shared" si="2"/>
        <v>-0.16034912770874454</v>
      </c>
      <c r="AI11" s="188"/>
    </row>
    <row r="12" spans="1:39" ht="13" customHeight="1">
      <c r="B12" s="496" t="str">
        <f>IF('Summary | Sumário'!D$6=Names!B$3,Names!O39,Names!Z39)</f>
        <v>Amounts due from financial institutions</v>
      </c>
      <c r="C12" s="226">
        <v>139642</v>
      </c>
      <c r="D12" s="226">
        <v>126619</v>
      </c>
      <c r="E12" s="226">
        <f t="shared" si="3"/>
        <v>71106.437999999995</v>
      </c>
      <c r="F12" s="226">
        <f t="shared" si="4"/>
        <v>221136.43900000001</v>
      </c>
      <c r="G12" s="226">
        <f t="shared" si="5"/>
        <v>497054</v>
      </c>
      <c r="H12" s="226">
        <f t="shared" si="6"/>
        <v>338955.05183999997</v>
      </c>
      <c r="I12" s="226">
        <f t="shared" si="0"/>
        <v>379823</v>
      </c>
      <c r="J12" s="226"/>
      <c r="K12" s="226">
        <v>14427.704</v>
      </c>
      <c r="L12" s="226">
        <v>7946.8799999999992</v>
      </c>
      <c r="M12" s="226">
        <v>24631.656000000003</v>
      </c>
      <c r="N12" s="226">
        <v>24100.197999999997</v>
      </c>
      <c r="O12" s="226">
        <v>30138.153999999999</v>
      </c>
      <c r="P12" s="226">
        <v>31814.657000000003</v>
      </c>
      <c r="Q12" s="226">
        <v>78399.862000000008</v>
      </c>
      <c r="R12" s="226">
        <v>80783.765999999989</v>
      </c>
      <c r="S12" s="226">
        <v>97468.479000000007</v>
      </c>
      <c r="T12" s="226">
        <v>114751</v>
      </c>
      <c r="U12" s="226">
        <v>147490</v>
      </c>
      <c r="V12" s="226">
        <v>137344.52100000001</v>
      </c>
      <c r="W12" s="226">
        <v>117428</v>
      </c>
      <c r="X12" s="226">
        <v>99401.437999999995</v>
      </c>
      <c r="Y12" s="226">
        <v>71615.8989899999</v>
      </c>
      <c r="Z12" s="226">
        <v>50509.714850000106</v>
      </c>
      <c r="AA12" s="226">
        <v>31738</v>
      </c>
      <c r="AB12" s="226">
        <v>65647</v>
      </c>
      <c r="AC12" s="226">
        <v>170971</v>
      </c>
      <c r="AD12" s="226">
        <v>111467</v>
      </c>
      <c r="AE12" s="226"/>
      <c r="AF12" s="342">
        <f t="shared" si="1"/>
        <v>-0.34803563177380958</v>
      </c>
      <c r="AG12" s="342">
        <f t="shared" si="2"/>
        <v>1.2068427891748388</v>
      </c>
      <c r="AH12" s="149"/>
      <c r="AI12" s="188"/>
    </row>
    <row r="13" spans="1:39" ht="13" customHeight="1">
      <c r="A13" s="211"/>
      <c r="B13" s="100" t="str">
        <f>IF('Summary | Sumário'!D$6=Names!B$3,Names!O41,Names!Z41)</f>
        <v xml:space="preserve">Others </v>
      </c>
      <c r="C13" s="230">
        <v>0</v>
      </c>
      <c r="D13" s="230">
        <v>7364.6793500000003</v>
      </c>
      <c r="E13" s="230">
        <f t="shared" si="3"/>
        <v>21586.092000000001</v>
      </c>
      <c r="F13" s="230">
        <f t="shared" si="4"/>
        <v>14380.906110000018</v>
      </c>
      <c r="G13" s="230">
        <f t="shared" si="5"/>
        <v>-1458</v>
      </c>
      <c r="H13" s="230">
        <f t="shared" si="6"/>
        <v>215195.96812633501</v>
      </c>
      <c r="I13" s="230">
        <f t="shared" si="0"/>
        <v>561076</v>
      </c>
      <c r="J13" s="226"/>
      <c r="K13" s="230">
        <v>4018.4669999999996</v>
      </c>
      <c r="L13" s="230">
        <v>2171.27</v>
      </c>
      <c r="M13" s="230">
        <v>6261.3210000000008</v>
      </c>
      <c r="N13" s="230">
        <v>9135.0339999999997</v>
      </c>
      <c r="O13" s="230">
        <v>19991.723699999999</v>
      </c>
      <c r="P13" s="230">
        <v>-14255.250899999999</v>
      </c>
      <c r="Q13" s="230">
        <v>4359.5800100000197</v>
      </c>
      <c r="R13" s="230">
        <v>4284.8532999999998</v>
      </c>
      <c r="S13" s="230">
        <v>9761.2691400000203</v>
      </c>
      <c r="T13" s="230">
        <v>57.954070000036197</v>
      </c>
      <c r="U13" s="230">
        <v>7345.8183899999603</v>
      </c>
      <c r="V13" s="230">
        <v>-18623.041600000019</v>
      </c>
      <c r="W13" s="230">
        <v>19548.879910000003</v>
      </c>
      <c r="X13" s="230">
        <v>27154.723109999999</v>
      </c>
      <c r="Y13" s="230">
        <v>42287.207184334788</v>
      </c>
      <c r="Z13" s="230">
        <v>126205.15792200022</v>
      </c>
      <c r="AA13" s="230">
        <v>86544</v>
      </c>
      <c r="AB13" s="230">
        <v>116335</v>
      </c>
      <c r="AC13" s="230">
        <v>167525</v>
      </c>
      <c r="AD13" s="230">
        <v>190672</v>
      </c>
      <c r="AE13" s="226"/>
      <c r="AF13" s="341">
        <f t="shared" si="1"/>
        <v>0.13817042232502619</v>
      </c>
      <c r="AG13" s="341">
        <f t="shared" si="2"/>
        <v>0.5108098839973152</v>
      </c>
      <c r="AH13" s="149"/>
      <c r="AI13" s="188"/>
      <c r="AJ13" s="208"/>
    </row>
    <row r="14" spans="1:39" ht="13" customHeight="1">
      <c r="B14" s="16" t="str">
        <f>IF('Summary | Sumário'!D$6=Names!B$3,Names!O42,Names!Z42)</f>
        <v>Interest expenses</v>
      </c>
      <c r="C14" s="226">
        <v>-256717</v>
      </c>
      <c r="D14" s="226">
        <v>-184335</v>
      </c>
      <c r="E14" s="226">
        <f t="shared" si="3"/>
        <v>-543242</v>
      </c>
      <c r="F14" s="226">
        <f t="shared" si="4"/>
        <v>-1972850</v>
      </c>
      <c r="G14" s="226">
        <f t="shared" si="5"/>
        <v>-2887573.0049999999</v>
      </c>
      <c r="H14" s="226">
        <f t="shared" si="6"/>
        <v>-3311638.4190579997</v>
      </c>
      <c r="I14" s="226">
        <f t="shared" si="0"/>
        <v>-5977127</v>
      </c>
      <c r="J14" s="226"/>
      <c r="K14" s="226">
        <v>-65559</v>
      </c>
      <c r="L14" s="226">
        <v>-86261</v>
      </c>
      <c r="M14" s="226">
        <v>-138587</v>
      </c>
      <c r="N14" s="226">
        <v>-252835</v>
      </c>
      <c r="O14" s="226">
        <v>-336771</v>
      </c>
      <c r="P14" s="226">
        <v>-465041</v>
      </c>
      <c r="Q14" s="226">
        <v>-579678</v>
      </c>
      <c r="R14" s="226">
        <v>-591360</v>
      </c>
      <c r="S14" s="226">
        <v>-672771</v>
      </c>
      <c r="T14" s="226">
        <v>-692206</v>
      </c>
      <c r="U14" s="226">
        <v>-770398</v>
      </c>
      <c r="V14" s="226">
        <v>-752198.00500000012</v>
      </c>
      <c r="W14" s="226">
        <v>-762246.89030000009</v>
      </c>
      <c r="X14" s="226">
        <v>-772642.60900000005</v>
      </c>
      <c r="Y14" s="226">
        <v>-835616.71799999999</v>
      </c>
      <c r="Z14" s="226">
        <v>-941132.20175799984</v>
      </c>
      <c r="AA14" s="226">
        <v>-1179020</v>
      </c>
      <c r="AB14" s="226">
        <v>-1423958</v>
      </c>
      <c r="AC14" s="226">
        <v>-1653759</v>
      </c>
      <c r="AD14" s="226">
        <v>-1720390</v>
      </c>
      <c r="AE14" s="226"/>
      <c r="AF14" s="342">
        <f t="shared" si="1"/>
        <v>4.029063485066442E-2</v>
      </c>
      <c r="AG14" s="342">
        <f t="shared" si="2"/>
        <v>0.82800035615227663</v>
      </c>
      <c r="AH14" s="149"/>
      <c r="AI14" s="149"/>
    </row>
    <row r="15" spans="1:39" ht="13" customHeight="1">
      <c r="B15" s="100" t="str">
        <f>IF('Summary | Sumário'!D$6=Names!B$3,Names!O51,Names!Z51)</f>
        <v>Term deposits</v>
      </c>
      <c r="C15" s="230">
        <v>0</v>
      </c>
      <c r="D15" s="230">
        <v>-93319</v>
      </c>
      <c r="E15" s="230">
        <f t="shared" si="3"/>
        <v>-274240.897</v>
      </c>
      <c r="F15" s="230">
        <f t="shared" si="4"/>
        <v>-1028816.8320000001</v>
      </c>
      <c r="G15" s="230">
        <f t="shared" si="5"/>
        <v>-1631470</v>
      </c>
      <c r="H15" s="230">
        <f t="shared" si="6"/>
        <v>-1994190.6705399998</v>
      </c>
      <c r="I15" s="230">
        <f t="shared" si="0"/>
        <v>-3736253</v>
      </c>
      <c r="J15" s="226"/>
      <c r="K15" s="230">
        <v>-25065.286</v>
      </c>
      <c r="L15" s="230">
        <v>-45288.006000000001</v>
      </c>
      <c r="M15" s="230">
        <v>-78002.811000000016</v>
      </c>
      <c r="N15" s="230">
        <v>-125884.79399999999</v>
      </c>
      <c r="O15" s="230">
        <v>-177604.02900000001</v>
      </c>
      <c r="P15" s="230">
        <v>-239713.47799999997</v>
      </c>
      <c r="Q15" s="230">
        <v>-301469.19900000002</v>
      </c>
      <c r="R15" s="230">
        <v>-310030.12600000005</v>
      </c>
      <c r="S15" s="230">
        <v>-354160.50099999999</v>
      </c>
      <c r="T15" s="230">
        <v>-382393</v>
      </c>
      <c r="U15" s="230">
        <v>-448514</v>
      </c>
      <c r="V15" s="230">
        <v>-446402.49900000007</v>
      </c>
      <c r="W15" s="230">
        <v>-432672.71377999999</v>
      </c>
      <c r="X15" s="230">
        <v>-447290.62900000002</v>
      </c>
      <c r="Y15" s="230">
        <v>-523227.49734</v>
      </c>
      <c r="Z15" s="230">
        <v>-590999.83041999978</v>
      </c>
      <c r="AA15" s="230">
        <v>-697806</v>
      </c>
      <c r="AB15" s="230">
        <v>-855437</v>
      </c>
      <c r="AC15" s="230">
        <v>-1075663</v>
      </c>
      <c r="AD15" s="230">
        <v>-1107347</v>
      </c>
      <c r="AE15" s="226"/>
      <c r="AF15" s="341">
        <f t="shared" si="1"/>
        <v>2.9455321973517634E-2</v>
      </c>
      <c r="AG15" s="341">
        <f t="shared" si="2"/>
        <v>0.87368412477048096</v>
      </c>
      <c r="AH15" s="149"/>
      <c r="AI15" s="149"/>
    </row>
    <row r="16" spans="1:39" ht="13" customHeight="1">
      <c r="B16" s="734" t="str">
        <f>IF('Summary | Sumário'!D$6=Names!B$3,Names!O52,Names!Z52)</f>
        <v>Funding in the open market</v>
      </c>
      <c r="C16" s="226">
        <v>0</v>
      </c>
      <c r="D16" s="226">
        <v>-73597</v>
      </c>
      <c r="E16" s="226">
        <v>-231246.83100000001</v>
      </c>
      <c r="F16" s="226">
        <v>-760511.01899999997</v>
      </c>
      <c r="G16" s="226">
        <v>-1016636</v>
      </c>
      <c r="H16" s="226">
        <v>-1044915.60173</v>
      </c>
      <c r="I16" s="226">
        <v>-1933456</v>
      </c>
      <c r="J16" s="226"/>
      <c r="K16" s="226">
        <v>-34710.417999999998</v>
      </c>
      <c r="L16" s="226">
        <v>-35918.767</v>
      </c>
      <c r="M16" s="226">
        <v>-54855.176000000014</v>
      </c>
      <c r="N16" s="226">
        <v>-105762.47</v>
      </c>
      <c r="O16" s="226">
        <v>-137379.93400000001</v>
      </c>
      <c r="P16" s="226">
        <v>-201195.05099999998</v>
      </c>
      <c r="Q16" s="226">
        <v>-197029.07000000007</v>
      </c>
      <c r="R16" s="226">
        <v>-224906.96399999992</v>
      </c>
      <c r="S16" s="226">
        <v>-271695.08500000002</v>
      </c>
      <c r="T16" s="226">
        <v>-260418</v>
      </c>
      <c r="U16" s="226">
        <v>-247243</v>
      </c>
      <c r="V16" s="226">
        <v>-237279.91500000004</v>
      </c>
      <c r="W16" s="226">
        <v>-248176.12664000003</v>
      </c>
      <c r="X16" s="226">
        <v>-238003.67300000001</v>
      </c>
      <c r="Y16" s="226">
        <v>-265782.21307</v>
      </c>
      <c r="Z16" s="226">
        <v>-292953.58901999996</v>
      </c>
      <c r="AA16" s="226">
        <v>-388645</v>
      </c>
      <c r="AB16" s="226">
        <v>-464565</v>
      </c>
      <c r="AC16" s="226">
        <v>-522552</v>
      </c>
      <c r="AD16" s="226">
        <v>-557694</v>
      </c>
      <c r="AE16" s="226"/>
      <c r="AF16" s="342">
        <f t="shared" si="1"/>
        <v>6.7250723372984877E-2</v>
      </c>
      <c r="AG16" s="342">
        <f t="shared" si="2"/>
        <v>0.90369403517335378</v>
      </c>
      <c r="AH16" s="149"/>
      <c r="AI16" s="149"/>
    </row>
    <row r="17" spans="1:36" ht="13" customHeight="1">
      <c r="B17" s="100" t="str">
        <f>IF('Summary | Sumário'!D$6=Names!B$3,Names!O55,Names!Z55)</f>
        <v xml:space="preserve">Others </v>
      </c>
      <c r="C17" s="230">
        <v>0</v>
      </c>
      <c r="D17" s="230">
        <f t="shared" ref="D17:AC17" si="7">D14-SUM(D15:D16)</f>
        <v>-17419</v>
      </c>
      <c r="E17" s="230">
        <f t="shared" si="7"/>
        <v>-37754.271999999997</v>
      </c>
      <c r="F17" s="230">
        <f t="shared" si="7"/>
        <v>-183522.14899999998</v>
      </c>
      <c r="G17" s="230">
        <f t="shared" si="7"/>
        <v>-239467.00499999989</v>
      </c>
      <c r="H17" s="230">
        <f t="shared" si="7"/>
        <v>-272532.14678800013</v>
      </c>
      <c r="I17" s="230">
        <f t="shared" si="7"/>
        <v>-307418</v>
      </c>
      <c r="J17" s="226"/>
      <c r="K17" s="230">
        <f t="shared" si="7"/>
        <v>-5783.2960000000021</v>
      </c>
      <c r="L17" s="230">
        <f t="shared" si="7"/>
        <v>-5054.226999999999</v>
      </c>
      <c r="M17" s="230">
        <f t="shared" si="7"/>
        <v>-5729.0129999999772</v>
      </c>
      <c r="N17" s="230">
        <f t="shared" si="7"/>
        <v>-21187.736000000004</v>
      </c>
      <c r="O17" s="230">
        <f t="shared" si="7"/>
        <v>-21787.037000000011</v>
      </c>
      <c r="P17" s="230">
        <f t="shared" si="7"/>
        <v>-24132.47100000002</v>
      </c>
      <c r="Q17" s="230">
        <f t="shared" si="7"/>
        <v>-81179.730999999912</v>
      </c>
      <c r="R17" s="230">
        <f t="shared" si="7"/>
        <v>-56422.910000000033</v>
      </c>
      <c r="S17" s="230">
        <f t="shared" si="7"/>
        <v>-46915.41399999999</v>
      </c>
      <c r="T17" s="230">
        <f t="shared" si="7"/>
        <v>-49395</v>
      </c>
      <c r="U17" s="230">
        <f t="shared" si="7"/>
        <v>-74641</v>
      </c>
      <c r="V17" s="230">
        <f t="shared" si="7"/>
        <v>-68515.591000000015</v>
      </c>
      <c r="W17" s="230">
        <f t="shared" si="7"/>
        <v>-81398.049880000064</v>
      </c>
      <c r="X17" s="230">
        <f t="shared" si="7"/>
        <v>-87348.30700000003</v>
      </c>
      <c r="Y17" s="230">
        <f t="shared" si="7"/>
        <v>-46607.007589999936</v>
      </c>
      <c r="Z17" s="230">
        <f t="shared" si="7"/>
        <v>-57178.7823180001</v>
      </c>
      <c r="AA17" s="230">
        <f t="shared" si="7"/>
        <v>-92569</v>
      </c>
      <c r="AB17" s="230">
        <f t="shared" si="7"/>
        <v>-103956</v>
      </c>
      <c r="AC17" s="230">
        <f t="shared" si="7"/>
        <v>-55544</v>
      </c>
      <c r="AD17" s="230">
        <f>AD14-SUM(AD15:AD16)</f>
        <v>-55349</v>
      </c>
      <c r="AE17" s="226"/>
      <c r="AF17" s="341">
        <f t="shared" si="1"/>
        <v>-3.5107302318881928E-3</v>
      </c>
      <c r="AG17" s="341">
        <f t="shared" si="2"/>
        <v>-3.2001071793095526E-2</v>
      </c>
      <c r="AH17" s="149"/>
      <c r="AI17" s="149"/>
    </row>
    <row r="18" spans="1:36" ht="13" customHeight="1">
      <c r="B18" s="16" t="str">
        <f>IF('Summary | Sumário'!D$6=Names!B$3,Names!O56,Names!Z56)</f>
        <v>Income from securities, derivatives and foreign exchange</v>
      </c>
      <c r="C18" s="226">
        <v>72729</v>
      </c>
      <c r="D18" s="226">
        <v>-25040</v>
      </c>
      <c r="E18" s="226">
        <f t="shared" si="3"/>
        <v>721949.66599999997</v>
      </c>
      <c r="F18" s="226">
        <f t="shared" si="4"/>
        <v>1605401.1030000001</v>
      </c>
      <c r="G18" s="226">
        <f t="shared" si="5"/>
        <v>1634543</v>
      </c>
      <c r="H18" s="226">
        <f t="shared" si="6"/>
        <v>2629169.8130000001</v>
      </c>
      <c r="I18" s="226">
        <f t="shared" ref="I18:I29" si="8">SUM(AA18:AD18)</f>
        <v>3612469</v>
      </c>
      <c r="J18" s="226"/>
      <c r="K18" s="226">
        <v>74012.403999999995</v>
      </c>
      <c r="L18" s="226">
        <v>89585.596000000005</v>
      </c>
      <c r="M18" s="226">
        <v>224342</v>
      </c>
      <c r="N18" s="226">
        <v>334009.66600000003</v>
      </c>
      <c r="O18" s="226">
        <v>376055.38299999997</v>
      </c>
      <c r="P18" s="226">
        <v>429378.674</v>
      </c>
      <c r="Q18" s="226">
        <v>378059.73599999998</v>
      </c>
      <c r="R18" s="226">
        <v>421907.31</v>
      </c>
      <c r="S18" s="226">
        <v>386325.30200000003</v>
      </c>
      <c r="T18" s="226">
        <v>369367</v>
      </c>
      <c r="U18" s="226">
        <v>508679.01922000002</v>
      </c>
      <c r="V18" s="226">
        <v>370171.67877999996</v>
      </c>
      <c r="W18" s="226">
        <v>537136.61082000006</v>
      </c>
      <c r="X18" s="226">
        <v>642093.19580384996</v>
      </c>
      <c r="Y18" s="226">
        <v>587740.70944000012</v>
      </c>
      <c r="Z18" s="226">
        <v>862199.29693614994</v>
      </c>
      <c r="AA18" s="226">
        <v>734744.3</v>
      </c>
      <c r="AB18" s="226">
        <v>765251</v>
      </c>
      <c r="AC18" s="226">
        <v>1050027</v>
      </c>
      <c r="AD18" s="226">
        <v>1062446.7000000002</v>
      </c>
      <c r="AE18" s="226"/>
      <c r="AF18" s="342">
        <f t="shared" si="1"/>
        <v>1.1827981566188583E-2</v>
      </c>
      <c r="AG18" s="342">
        <f t="shared" si="2"/>
        <v>0.23225187468307529</v>
      </c>
      <c r="AH18" s="149"/>
      <c r="AI18" s="149"/>
    </row>
    <row r="19" spans="1:36" ht="13" customHeight="1">
      <c r="B19" s="100" t="str">
        <f>IF('Summary | Sumário'!D$6=Names!B$3,Names!O57,Names!Z57)</f>
        <v>Income from securities</v>
      </c>
      <c r="C19" s="230">
        <v>62518</v>
      </c>
      <c r="D19" s="230">
        <v>12060</v>
      </c>
      <c r="E19" s="230">
        <f t="shared" si="3"/>
        <v>745613</v>
      </c>
      <c r="F19" s="230">
        <f t="shared" si="4"/>
        <v>1471737</v>
      </c>
      <c r="G19" s="230">
        <f t="shared" si="5"/>
        <v>1615108</v>
      </c>
      <c r="H19" s="230">
        <f t="shared" si="6"/>
        <v>2007869.4701800002</v>
      </c>
      <c r="I19" s="230">
        <f t="shared" si="8"/>
        <v>3331154</v>
      </c>
      <c r="J19" s="226"/>
      <c r="K19" s="230">
        <v>88068</v>
      </c>
      <c r="L19" s="230">
        <v>106662</v>
      </c>
      <c r="M19" s="230">
        <v>228420</v>
      </c>
      <c r="N19" s="230">
        <v>322463</v>
      </c>
      <c r="O19" s="230">
        <v>348013</v>
      </c>
      <c r="P19" s="230">
        <v>406846</v>
      </c>
      <c r="Q19" s="230">
        <v>340982</v>
      </c>
      <c r="R19" s="230">
        <v>375896</v>
      </c>
      <c r="S19" s="230">
        <v>370924</v>
      </c>
      <c r="T19" s="230">
        <v>402038</v>
      </c>
      <c r="U19" s="230">
        <v>417887</v>
      </c>
      <c r="V19" s="230">
        <v>424259</v>
      </c>
      <c r="W19" s="230">
        <v>446719</v>
      </c>
      <c r="X19" s="230">
        <v>456585.37339384999</v>
      </c>
      <c r="Y19" s="230">
        <v>513731</v>
      </c>
      <c r="Z19" s="230">
        <v>590834.09678615024</v>
      </c>
      <c r="AA19" s="230">
        <v>737446</v>
      </c>
      <c r="AB19" s="230">
        <v>802844</v>
      </c>
      <c r="AC19" s="230">
        <v>832987</v>
      </c>
      <c r="AD19" s="230">
        <v>957877</v>
      </c>
      <c r="AE19" s="226"/>
      <c r="AF19" s="341">
        <f t="shared" si="1"/>
        <v>0.14993031103726717</v>
      </c>
      <c r="AG19" s="341">
        <f t="shared" si="2"/>
        <v>0.62122837055339963</v>
      </c>
      <c r="AH19" s="149"/>
      <c r="AI19" s="149"/>
    </row>
    <row r="20" spans="1:36" ht="13" customHeight="1">
      <c r="B20" s="495" t="str">
        <f>IF('Summary | Sumário'!D$6=Names!B$3,Names!O58,Names!Z58)</f>
        <v>Fair value throught other comprehensive income</v>
      </c>
      <c r="C20" s="226">
        <v>49230</v>
      </c>
      <c r="D20" s="226">
        <v>-7110</v>
      </c>
      <c r="E20" s="226">
        <f t="shared" si="3"/>
        <v>660584</v>
      </c>
      <c r="F20" s="226">
        <f t="shared" si="4"/>
        <v>1100970</v>
      </c>
      <c r="G20" s="226">
        <f t="shared" si="5"/>
        <v>1284794</v>
      </c>
      <c r="H20" s="226">
        <f t="shared" si="6"/>
        <v>1671055.76951</v>
      </c>
      <c r="I20" s="226">
        <f t="shared" si="8"/>
        <v>2802117</v>
      </c>
      <c r="J20" s="226"/>
      <c r="K20" s="226">
        <v>82568</v>
      </c>
      <c r="L20" s="226">
        <v>86703</v>
      </c>
      <c r="M20" s="226">
        <v>221395</v>
      </c>
      <c r="N20" s="226">
        <v>269918</v>
      </c>
      <c r="O20" s="226">
        <v>272383</v>
      </c>
      <c r="P20" s="226">
        <v>328769</v>
      </c>
      <c r="Q20" s="226">
        <v>217653</v>
      </c>
      <c r="R20" s="226">
        <v>282165</v>
      </c>
      <c r="S20" s="226">
        <v>288695</v>
      </c>
      <c r="T20" s="226">
        <v>295458</v>
      </c>
      <c r="U20" s="226">
        <v>333051</v>
      </c>
      <c r="V20" s="226">
        <v>367590</v>
      </c>
      <c r="W20" s="226">
        <v>380391.57521807228</v>
      </c>
      <c r="X20" s="226">
        <v>381322.39837999997</v>
      </c>
      <c r="Y20" s="226">
        <v>406807.95432000002</v>
      </c>
      <c r="Z20" s="226">
        <v>502533.84159192769</v>
      </c>
      <c r="AA20" s="226">
        <v>611742</v>
      </c>
      <c r="AB20" s="226">
        <v>687623</v>
      </c>
      <c r="AC20" s="226">
        <v>693041</v>
      </c>
      <c r="AD20" s="226">
        <v>809711</v>
      </c>
      <c r="AE20" s="226"/>
      <c r="AF20" s="342">
        <f t="shared" si="1"/>
        <v>0.16834501854868611</v>
      </c>
      <c r="AG20" s="342">
        <f t="shared" si="2"/>
        <v>0.61125666171057436</v>
      </c>
      <c r="AH20" s="149"/>
      <c r="AI20" s="149"/>
    </row>
    <row r="21" spans="1:36" ht="13" customHeight="1">
      <c r="B21" s="99" t="str">
        <f>IF('Summary | Sumário'!D$6=Names!B$3,Names!O59,Names!Z59)</f>
        <v>Fair value through proft or loss</v>
      </c>
      <c r="C21" s="230">
        <v>10422</v>
      </c>
      <c r="D21" s="230">
        <v>2021</v>
      </c>
      <c r="E21" s="230">
        <f t="shared" si="3"/>
        <v>-58754</v>
      </c>
      <c r="F21" s="230">
        <f t="shared" si="4"/>
        <v>209400</v>
      </c>
      <c r="G21" s="230">
        <f t="shared" si="5"/>
        <v>194250</v>
      </c>
      <c r="H21" s="230">
        <f t="shared" si="6"/>
        <v>298831.75513000001</v>
      </c>
      <c r="I21" s="230">
        <f t="shared" si="8"/>
        <v>512996</v>
      </c>
      <c r="J21" s="226"/>
      <c r="K21" s="230">
        <v>-320</v>
      </c>
      <c r="L21" s="230">
        <v>8357</v>
      </c>
      <c r="M21" s="230">
        <v>4751</v>
      </c>
      <c r="N21" s="230">
        <v>-71542</v>
      </c>
      <c r="O21" s="230">
        <v>47341</v>
      </c>
      <c r="P21" s="230">
        <v>35635</v>
      </c>
      <c r="Q21" s="230">
        <v>45470</v>
      </c>
      <c r="R21" s="230">
        <v>80954</v>
      </c>
      <c r="S21" s="230">
        <v>39277</v>
      </c>
      <c r="T21" s="230">
        <v>55362</v>
      </c>
      <c r="U21" s="230">
        <v>52227</v>
      </c>
      <c r="V21" s="230">
        <v>47384</v>
      </c>
      <c r="W21" s="230">
        <v>49225.531450000009</v>
      </c>
      <c r="X21" s="230">
        <v>63157.945570000011</v>
      </c>
      <c r="Y21" s="230">
        <v>102108.89573</v>
      </c>
      <c r="Z21" s="230">
        <v>84339.382379999966</v>
      </c>
      <c r="AA21" s="230">
        <v>122243</v>
      </c>
      <c r="AB21" s="230">
        <v>111472</v>
      </c>
      <c r="AC21" s="230">
        <v>135725</v>
      </c>
      <c r="AD21" s="230">
        <v>143556</v>
      </c>
      <c r="AE21" s="226"/>
      <c r="AF21" s="341">
        <f t="shared" si="1"/>
        <v>5.7697550193405833E-2</v>
      </c>
      <c r="AG21" s="341">
        <f t="shared" si="2"/>
        <v>0.70212296970818833</v>
      </c>
      <c r="AH21" s="149"/>
      <c r="AI21" s="149"/>
    </row>
    <row r="22" spans="1:36" ht="13" customHeight="1">
      <c r="B22" s="495" t="str">
        <f>IF('Summary | Sumário'!D$6=Names!B$3,Names!O60,Names!Z60)</f>
        <v>Amortized cost</v>
      </c>
      <c r="C22" s="226">
        <v>2866</v>
      </c>
      <c r="D22" s="226">
        <v>17149</v>
      </c>
      <c r="E22" s="226">
        <f t="shared" si="3"/>
        <v>143783</v>
      </c>
      <c r="F22" s="226">
        <f t="shared" si="4"/>
        <v>161367</v>
      </c>
      <c r="G22" s="226">
        <f t="shared" si="5"/>
        <v>136064</v>
      </c>
      <c r="H22" s="226">
        <f t="shared" si="6"/>
        <v>37980.945540000001</v>
      </c>
      <c r="I22" s="226">
        <f t="shared" si="8"/>
        <v>16041</v>
      </c>
      <c r="J22" s="226"/>
      <c r="K22" s="226">
        <v>5820</v>
      </c>
      <c r="L22" s="226">
        <v>11602</v>
      </c>
      <c r="M22" s="226">
        <v>2274</v>
      </c>
      <c r="N22" s="226">
        <v>124087</v>
      </c>
      <c r="O22" s="226">
        <v>28289</v>
      </c>
      <c r="P22" s="226">
        <v>42442</v>
      </c>
      <c r="Q22" s="226">
        <v>77859</v>
      </c>
      <c r="R22" s="226">
        <v>12777</v>
      </c>
      <c r="S22" s="226">
        <v>42952</v>
      </c>
      <c r="T22" s="226">
        <v>51218</v>
      </c>
      <c r="U22" s="226">
        <v>32609</v>
      </c>
      <c r="V22" s="226">
        <v>9285</v>
      </c>
      <c r="W22" s="226">
        <v>17100.697370000002</v>
      </c>
      <c r="X22" s="226">
        <v>12105.029443849995</v>
      </c>
      <c r="Y22" s="226">
        <v>4814.1276680228402</v>
      </c>
      <c r="Z22" s="226">
        <v>3961.0910581271601</v>
      </c>
      <c r="AA22" s="226">
        <v>3461</v>
      </c>
      <c r="AB22" s="226">
        <v>3749</v>
      </c>
      <c r="AC22" s="226">
        <v>4221</v>
      </c>
      <c r="AD22" s="226">
        <v>4610</v>
      </c>
      <c r="AE22" s="226"/>
      <c r="AF22" s="342">
        <f t="shared" si="1"/>
        <v>9.2158256337360855E-2</v>
      </c>
      <c r="AG22" s="342">
        <f t="shared" si="2"/>
        <v>0.16382075856131673</v>
      </c>
      <c r="AH22" s="149"/>
      <c r="AI22" s="149"/>
    </row>
    <row r="23" spans="1:36" ht="13" customHeight="1">
      <c r="B23" s="100" t="str">
        <f>IF('Summary | Sumário'!D$6=Names!B$3,Names!O61,Names!Z61)</f>
        <v>Income from derivatives</v>
      </c>
      <c r="C23" s="230">
        <v>4235</v>
      </c>
      <c r="D23" s="230">
        <v>-54418</v>
      </c>
      <c r="E23" s="230">
        <f t="shared" si="3"/>
        <v>-48330.334000000003</v>
      </c>
      <c r="F23" s="230">
        <f t="shared" si="4"/>
        <v>33884.103000000003</v>
      </c>
      <c r="G23" s="230">
        <f t="shared" si="5"/>
        <v>-69273</v>
      </c>
      <c r="H23" s="230">
        <f t="shared" si="6"/>
        <v>546712.54295000003</v>
      </c>
      <c r="I23" s="230">
        <f t="shared" si="8"/>
        <v>145044</v>
      </c>
      <c r="J23" s="226"/>
      <c r="K23" s="230">
        <v>-19931.596000000001</v>
      </c>
      <c r="L23" s="230">
        <v>-23765.403999999999</v>
      </c>
      <c r="M23" s="230">
        <v>-9869</v>
      </c>
      <c r="N23" s="230">
        <v>5235.6660000000011</v>
      </c>
      <c r="O23" s="230">
        <v>11009.383</v>
      </c>
      <c r="P23" s="230">
        <v>-3030.3259999999982</v>
      </c>
      <c r="Q23" s="230">
        <v>5940.735999999999</v>
      </c>
      <c r="R23" s="230">
        <v>19964.310000000001</v>
      </c>
      <c r="S23" s="230">
        <v>482.30199999999877</v>
      </c>
      <c r="T23" s="230">
        <v>-58862</v>
      </c>
      <c r="U23" s="230">
        <v>64133.019220000024</v>
      </c>
      <c r="V23" s="230">
        <v>-75026.321220000013</v>
      </c>
      <c r="W23" s="230">
        <v>68661.610820000031</v>
      </c>
      <c r="X23" s="230">
        <v>173310.82241000002</v>
      </c>
      <c r="Y23" s="230">
        <v>44424.709440000101</v>
      </c>
      <c r="Z23" s="230">
        <v>260315.40027999989</v>
      </c>
      <c r="AA23" s="230">
        <v>-19187</v>
      </c>
      <c r="AB23" s="230">
        <v>-54549</v>
      </c>
      <c r="AC23" s="230">
        <v>182632</v>
      </c>
      <c r="AD23" s="230">
        <v>36148</v>
      </c>
      <c r="AE23" s="226"/>
      <c r="AF23" s="341">
        <f t="shared" si="1"/>
        <v>-0.80207192605896016</v>
      </c>
      <c r="AG23" s="341">
        <f t="shared" si="2"/>
        <v>-0.86113768159271964</v>
      </c>
      <c r="AH23" s="149"/>
      <c r="AI23" s="149"/>
    </row>
    <row r="24" spans="1:36" s="749" customFormat="1" ht="13" customHeight="1">
      <c r="B24" s="750" t="str">
        <f>IF('Summary | Sumário'!D$6=Names!B$3,Names!O63,Names!Z63)</f>
        <v>Fixed-term contracts</v>
      </c>
      <c r="C24" s="751">
        <v>4337</v>
      </c>
      <c r="D24" s="751">
        <v>305</v>
      </c>
      <c r="E24" s="751">
        <f t="shared" si="3"/>
        <v>8987.2690000000002</v>
      </c>
      <c r="F24" s="751">
        <f t="shared" si="4"/>
        <v>4475.3869999999997</v>
      </c>
      <c r="G24" s="751">
        <f t="shared" si="5"/>
        <v>-2445</v>
      </c>
      <c r="H24" s="751">
        <f t="shared" si="6"/>
        <v>40987.29176</v>
      </c>
      <c r="I24" s="751">
        <f t="shared" si="8"/>
        <v>-74536</v>
      </c>
      <c r="J24" s="751"/>
      <c r="K24" s="751">
        <v>239.404</v>
      </c>
      <c r="L24" s="751">
        <v>259.596</v>
      </c>
      <c r="M24" s="751">
        <v>165</v>
      </c>
      <c r="N24" s="751">
        <v>8323.2690000000002</v>
      </c>
      <c r="O24" s="751">
        <v>444.61500000000001</v>
      </c>
      <c r="P24" s="751">
        <v>647.42100000000005</v>
      </c>
      <c r="Q24" s="751">
        <v>47.963999999999942</v>
      </c>
      <c r="R24" s="751">
        <v>3335.3869999999997</v>
      </c>
      <c r="S24" s="751">
        <v>3045.3519999999999</v>
      </c>
      <c r="T24" s="751">
        <v>-5487</v>
      </c>
      <c r="U24" s="751">
        <v>-824.76097999999956</v>
      </c>
      <c r="V24" s="751">
        <v>821.4089799999997</v>
      </c>
      <c r="W24" s="751">
        <v>-1212.2091199999995</v>
      </c>
      <c r="X24" s="751">
        <v>15228.915119999998</v>
      </c>
      <c r="Y24" s="751">
        <v>6567.74514</v>
      </c>
      <c r="Z24" s="751">
        <v>20402.840620000003</v>
      </c>
      <c r="AA24" s="751">
        <v>-27091</v>
      </c>
      <c r="AB24" s="751">
        <v>-21899</v>
      </c>
      <c r="AC24" s="751">
        <v>-31330</v>
      </c>
      <c r="AD24" s="751">
        <v>5784</v>
      </c>
      <c r="AE24" s="751"/>
      <c r="AF24" s="691">
        <f t="shared" si="1"/>
        <v>-1.1846153846153846</v>
      </c>
      <c r="AG24" s="691">
        <f t="shared" si="2"/>
        <v>-0.7165100630972826</v>
      </c>
      <c r="AH24" s="752"/>
      <c r="AI24" s="752"/>
    </row>
    <row r="25" spans="1:36" ht="13" customHeight="1">
      <c r="B25" s="99" t="str">
        <f>IF('Summary | Sumário'!D$6=Names!B$3,Names!O64,Names!Z64)</f>
        <v>Futures contrats and swaps</v>
      </c>
      <c r="C25" s="230">
        <v>-102</v>
      </c>
      <c r="D25" s="230">
        <v>-54723</v>
      </c>
      <c r="E25" s="230">
        <f t="shared" si="3"/>
        <v>-57317.603000000003</v>
      </c>
      <c r="F25" s="230">
        <f t="shared" si="4"/>
        <v>29408.716000000004</v>
      </c>
      <c r="G25" s="230">
        <f t="shared" si="5"/>
        <v>-66828</v>
      </c>
      <c r="H25" s="230">
        <f t="shared" si="6"/>
        <v>553741.07030999998</v>
      </c>
      <c r="I25" s="230">
        <f t="shared" si="8"/>
        <v>219580</v>
      </c>
      <c r="J25" s="226"/>
      <c r="K25" s="230">
        <v>-20171</v>
      </c>
      <c r="L25" s="230">
        <v>-24025</v>
      </c>
      <c r="M25" s="230">
        <v>-10034</v>
      </c>
      <c r="N25" s="230">
        <v>-3087.6030000000001</v>
      </c>
      <c r="O25" s="230">
        <v>10564.768</v>
      </c>
      <c r="P25" s="230">
        <v>-3677.7469999999985</v>
      </c>
      <c r="Q25" s="230">
        <v>5892.771999999999</v>
      </c>
      <c r="R25" s="230">
        <v>16628.923000000003</v>
      </c>
      <c r="S25" s="230">
        <v>-2563.0500000000011</v>
      </c>
      <c r="T25" s="230">
        <v>-53375</v>
      </c>
      <c r="U25" s="230">
        <v>64957.780200000023</v>
      </c>
      <c r="V25" s="230">
        <v>-75847.73020000002</v>
      </c>
      <c r="W25" s="230">
        <v>69873.819940000001</v>
      </c>
      <c r="X25" s="230">
        <v>158081.90729</v>
      </c>
      <c r="Y25" s="230">
        <v>37856.964300000094</v>
      </c>
      <c r="Z25" s="230">
        <v>287928.37877999985</v>
      </c>
      <c r="AA25" s="230">
        <v>7904</v>
      </c>
      <c r="AB25" s="230">
        <v>-32650</v>
      </c>
      <c r="AC25" s="230">
        <v>213962</v>
      </c>
      <c r="AD25" s="230">
        <v>30364</v>
      </c>
      <c r="AE25" s="226"/>
      <c r="AF25" s="341">
        <f t="shared" si="1"/>
        <v>-0.85808695001916224</v>
      </c>
      <c r="AG25" s="341">
        <f t="shared" si="2"/>
        <v>-0.89454321894681832</v>
      </c>
      <c r="AH25" s="149"/>
      <c r="AI25" s="149"/>
    </row>
    <row r="26" spans="1:36" ht="13" customHeight="1">
      <c r="B26" s="753" t="str">
        <f>IF('Summary | Sumário'!D$6=Names!B$3,Names!O65,Names!Z65)</f>
        <v>Hedge accounting real estate loans</v>
      </c>
      <c r="C26" s="754">
        <v>0</v>
      </c>
      <c r="D26" s="751">
        <v>-70972.398829336977</v>
      </c>
      <c r="E26" s="751">
        <f t="shared" si="3"/>
        <v>-73354.239000000001</v>
      </c>
      <c r="F26" s="751">
        <f t="shared" si="4"/>
        <v>-27585.400999999998</v>
      </c>
      <c r="G26" s="751">
        <f t="shared" si="5"/>
        <v>-9439.8214100000023</v>
      </c>
      <c r="H26" s="751">
        <f t="shared" si="6"/>
        <v>208310.60479145829</v>
      </c>
      <c r="I26" s="751">
        <f t="shared" si="8"/>
        <v>105190.32837999998</v>
      </c>
      <c r="J26" s="751"/>
      <c r="K26" s="751">
        <v>-16468.116999999998</v>
      </c>
      <c r="L26" s="751">
        <v>-36410.913999999997</v>
      </c>
      <c r="M26" s="751">
        <v>-2915.415</v>
      </c>
      <c r="N26" s="751">
        <v>-17559.793000000001</v>
      </c>
      <c r="O26" s="751">
        <v>-8323.277</v>
      </c>
      <c r="P26" s="751">
        <v>-14497.851000000001</v>
      </c>
      <c r="Q26" s="751">
        <v>-8870.1569999999992</v>
      </c>
      <c r="R26" s="751">
        <v>4105.884</v>
      </c>
      <c r="S26" s="751">
        <v>-5114.3909999999996</v>
      </c>
      <c r="T26" s="751">
        <v>6039.93</v>
      </c>
      <c r="U26" s="751">
        <v>6136.5408399999997</v>
      </c>
      <c r="V26" s="751">
        <v>-16501.901250000003</v>
      </c>
      <c r="W26" s="751">
        <v>26412.795423179959</v>
      </c>
      <c r="X26" s="751">
        <v>67242.322886524373</v>
      </c>
      <c r="Y26" s="751">
        <v>10952.83</v>
      </c>
      <c r="Z26" s="751">
        <v>103702.65648175398</v>
      </c>
      <c r="AA26" s="751">
        <v>-15169.155000000001</v>
      </c>
      <c r="AB26" s="751">
        <v>-20521.455000000002</v>
      </c>
      <c r="AC26" s="751">
        <v>136520.41337999998</v>
      </c>
      <c r="AD26" s="751">
        <v>4360.5249999999996</v>
      </c>
      <c r="AE26" s="751"/>
      <c r="AF26" s="691">
        <f t="shared" si="1"/>
        <v>-0.96805953855514171</v>
      </c>
      <c r="AG26" s="691">
        <f t="shared" si="2"/>
        <v>-0.95795165574406271</v>
      </c>
      <c r="AH26" s="149"/>
      <c r="AI26" s="149"/>
    </row>
    <row r="27" spans="1:36" ht="13" customHeight="1">
      <c r="B27" s="113" t="str">
        <f>IF('Summary | Sumário'!D$6=Names!B$3,Names!O66,Names!Z66)</f>
        <v>Hedge accounting from personal loans</v>
      </c>
      <c r="C27" s="232">
        <v>0</v>
      </c>
      <c r="D27" s="230">
        <v>0</v>
      </c>
      <c r="E27" s="230">
        <f t="shared" si="3"/>
        <v>0</v>
      </c>
      <c r="F27" s="230">
        <f t="shared" si="4"/>
        <v>0</v>
      </c>
      <c r="G27" s="230">
        <f t="shared" si="5"/>
        <v>-104805.87383</v>
      </c>
      <c r="H27" s="230">
        <f t="shared" si="6"/>
        <v>343477.48167000001</v>
      </c>
      <c r="I27" s="230">
        <f t="shared" si="8"/>
        <v>-99894.082809999993</v>
      </c>
      <c r="J27" s="226"/>
      <c r="K27" s="230">
        <v>0</v>
      </c>
      <c r="L27" s="230">
        <v>0</v>
      </c>
      <c r="M27" s="230">
        <v>0</v>
      </c>
      <c r="N27" s="230">
        <v>0</v>
      </c>
      <c r="O27" s="230">
        <v>0</v>
      </c>
      <c r="P27" s="230">
        <v>0</v>
      </c>
      <c r="Q27" s="230">
        <v>0</v>
      </c>
      <c r="R27" s="230">
        <v>0</v>
      </c>
      <c r="S27" s="230">
        <v>-14277.970720000001</v>
      </c>
      <c r="T27" s="230">
        <v>-65034.58827</v>
      </c>
      <c r="U27" s="230">
        <v>45457.766470000002</v>
      </c>
      <c r="V27" s="230">
        <v>-70951.081309999994</v>
      </c>
      <c r="W27" s="230">
        <v>42486.294860000002</v>
      </c>
      <c r="X27" s="230">
        <v>120316.48633000001</v>
      </c>
      <c r="Y27" s="230">
        <v>10504.47</v>
      </c>
      <c r="Z27" s="230">
        <v>170170.23048</v>
      </c>
      <c r="AA27" s="230">
        <v>-52954.925000000003</v>
      </c>
      <c r="AB27" s="230">
        <v>-65304.398000000001</v>
      </c>
      <c r="AC27" s="230">
        <v>13502.240190000006</v>
      </c>
      <c r="AD27" s="230">
        <v>4863</v>
      </c>
      <c r="AE27" s="226"/>
      <c r="AF27" s="341">
        <f t="shared" si="1"/>
        <v>-0.63983754313587005</v>
      </c>
      <c r="AG27" s="341">
        <f t="shared" si="2"/>
        <v>-0.97142273365745047</v>
      </c>
      <c r="AH27" s="149"/>
      <c r="AI27" s="149"/>
    </row>
    <row r="28" spans="1:36" ht="13" customHeight="1">
      <c r="B28" s="753" t="str">
        <f>IF('Summary | Sumário'!D$6=Names!B$3,Names!O67,Names!Z67)</f>
        <v>Other results</v>
      </c>
      <c r="C28" s="754">
        <v>0</v>
      </c>
      <c r="D28" s="751">
        <v>16169.398829336977</v>
      </c>
      <c r="E28" s="751">
        <f t="shared" si="3"/>
        <v>13197.238999999998</v>
      </c>
      <c r="F28" s="751">
        <f t="shared" si="4"/>
        <v>56994.117000000006</v>
      </c>
      <c r="G28" s="751">
        <f t="shared" si="5"/>
        <v>47417.695240000001</v>
      </c>
      <c r="H28" s="751">
        <f t="shared" si="6"/>
        <v>1952.9838485416585</v>
      </c>
      <c r="I28" s="751">
        <f t="shared" si="8"/>
        <v>214283.75443</v>
      </c>
      <c r="J28" s="751"/>
      <c r="K28" s="751">
        <v>-3749.8830000000016</v>
      </c>
      <c r="L28" s="751">
        <v>12412.913999999997</v>
      </c>
      <c r="M28" s="751">
        <v>-6632.585</v>
      </c>
      <c r="N28" s="751">
        <v>11166.793000000001</v>
      </c>
      <c r="O28" s="751">
        <v>18888.044999999998</v>
      </c>
      <c r="P28" s="751">
        <v>10820.104000000003</v>
      </c>
      <c r="Q28" s="751">
        <v>14762.928999999998</v>
      </c>
      <c r="R28" s="751">
        <v>12523.039000000002</v>
      </c>
      <c r="S28" s="751">
        <v>16829.311719999998</v>
      </c>
      <c r="T28" s="751">
        <v>5619.6582699999999</v>
      </c>
      <c r="U28" s="751">
        <v>13363.472890000019</v>
      </c>
      <c r="V28" s="751">
        <v>11605.252359999984</v>
      </c>
      <c r="W28" s="751">
        <v>974.72965682003996</v>
      </c>
      <c r="X28" s="751">
        <v>-29476.901926524384</v>
      </c>
      <c r="Y28" s="751">
        <v>16399.664300000095</v>
      </c>
      <c r="Z28" s="751">
        <v>14055.491818245908</v>
      </c>
      <c r="AA28" s="751">
        <v>76028.08</v>
      </c>
      <c r="AB28" s="751">
        <v>53175.853000000003</v>
      </c>
      <c r="AC28" s="751">
        <v>63939.346430000005</v>
      </c>
      <c r="AD28" s="751">
        <v>21140.474999999999</v>
      </c>
      <c r="AE28" s="751"/>
      <c r="AF28" s="691">
        <f t="shared" si="1"/>
        <v>-0.66936673299993266</v>
      </c>
      <c r="AG28" s="691">
        <f t="shared" si="2"/>
        <v>0.50407223549138536</v>
      </c>
      <c r="AH28" s="149"/>
      <c r="AI28" s="149"/>
    </row>
    <row r="29" spans="1:36" ht="13" customHeight="1">
      <c r="B29" s="100" t="str">
        <f>IF('Summary | Sumário'!D$6=Names!B$3,Names!O68,Names!Z68)</f>
        <v>Revenue foreign exchange</v>
      </c>
      <c r="C29" s="232">
        <v>5976</v>
      </c>
      <c r="D29" s="230">
        <v>17318</v>
      </c>
      <c r="E29" s="230">
        <v>24667</v>
      </c>
      <c r="F29" s="230">
        <v>99780</v>
      </c>
      <c r="G29" s="230">
        <v>88708</v>
      </c>
      <c r="H29" s="230">
        <f t="shared" si="6"/>
        <v>74587.800272134002</v>
      </c>
      <c r="I29" s="230">
        <f t="shared" si="8"/>
        <v>136271</v>
      </c>
      <c r="J29" s="226"/>
      <c r="K29" s="230">
        <v>5876</v>
      </c>
      <c r="L29" s="230">
        <v>6689</v>
      </c>
      <c r="M29" s="230">
        <v>5791</v>
      </c>
      <c r="N29" s="230">
        <v>6311</v>
      </c>
      <c r="O29" s="230">
        <v>17033</v>
      </c>
      <c r="P29" s="230">
        <v>25563</v>
      </c>
      <c r="Q29" s="230">
        <v>31137</v>
      </c>
      <c r="R29" s="230">
        <v>26047</v>
      </c>
      <c r="S29" s="230">
        <v>14919</v>
      </c>
      <c r="T29" s="230">
        <v>26191</v>
      </c>
      <c r="U29" s="230">
        <v>26659</v>
      </c>
      <c r="V29" s="230">
        <v>20939</v>
      </c>
      <c r="W29" s="230">
        <v>21756</v>
      </c>
      <c r="X29" s="230">
        <v>12197</v>
      </c>
      <c r="Y29" s="230">
        <v>29585</v>
      </c>
      <c r="Z29" s="230">
        <v>11049.800272134002</v>
      </c>
      <c r="AA29" s="230">
        <v>16485.3</v>
      </c>
      <c r="AB29" s="230">
        <v>16956</v>
      </c>
      <c r="AC29" s="230">
        <v>34408</v>
      </c>
      <c r="AD29" s="230">
        <v>68421.7</v>
      </c>
      <c r="AE29" s="226"/>
      <c r="AF29" s="755">
        <f t="shared" si="1"/>
        <v>0.98854045570797489</v>
      </c>
      <c r="AG29" s="755">
        <f t="shared" si="2"/>
        <v>5.1921209718649513</v>
      </c>
      <c r="AH29" s="149"/>
      <c r="AI29" s="149"/>
    </row>
    <row r="30" spans="1:36" ht="13" customHeight="1">
      <c r="B30" s="756" t="s">
        <v>216</v>
      </c>
      <c r="C30" s="757">
        <v>591527</v>
      </c>
      <c r="D30" s="757">
        <v>733280.89517999999</v>
      </c>
      <c r="E30" s="757">
        <f>SUM(K30:N30)</f>
        <v>1614134.912</v>
      </c>
      <c r="F30" s="757">
        <f>SUM(O30:R30)</f>
        <v>2435209.1849999996</v>
      </c>
      <c r="G30" s="757">
        <f>SUM(S30:V30)</f>
        <v>3296796.9950000001</v>
      </c>
      <c r="H30" s="757">
        <f>SUM(W30:Z30)</f>
        <v>4456744.3939420003</v>
      </c>
      <c r="I30" s="757">
        <f>SUM(AA30:AD30)</f>
        <v>6273819</v>
      </c>
      <c r="J30" s="758"/>
      <c r="K30" s="757">
        <v>297457.33899999998</v>
      </c>
      <c r="L30" s="757">
        <v>308984.34700000007</v>
      </c>
      <c r="M30" s="757">
        <v>453160.88</v>
      </c>
      <c r="N30" s="757">
        <v>554532.34600000002</v>
      </c>
      <c r="O30" s="757">
        <v>560444.0149999999</v>
      </c>
      <c r="P30" s="757">
        <v>586650.3110000001</v>
      </c>
      <c r="Q30" s="757">
        <v>586724.46699999995</v>
      </c>
      <c r="R30" s="757">
        <v>701390.39199999999</v>
      </c>
      <c r="S30" s="757">
        <v>726481.12400000007</v>
      </c>
      <c r="T30" s="757">
        <v>828266</v>
      </c>
      <c r="U30" s="757">
        <v>845216.10796000005</v>
      </c>
      <c r="V30" s="757">
        <v>896833.76303999987</v>
      </c>
      <c r="W30" s="757">
        <v>992420.72051999974</v>
      </c>
      <c r="X30" s="757">
        <v>1041865.7258038499</v>
      </c>
      <c r="Y30" s="757">
        <v>1164350.1315736333</v>
      </c>
      <c r="Z30" s="757">
        <v>1258107.8160445173</v>
      </c>
      <c r="AA30" s="757">
        <v>1362594.3</v>
      </c>
      <c r="AB30" s="757">
        <v>1469507</v>
      </c>
      <c r="AC30" s="757">
        <v>1622691</v>
      </c>
      <c r="AD30" s="757">
        <v>1819026.7000000002</v>
      </c>
      <c r="AE30" s="749"/>
      <c r="AF30" s="759">
        <f t="shared" ref="AF30" si="9">AD30/AC30-1</f>
        <v>0.12099389224442625</v>
      </c>
      <c r="AG30" s="759">
        <f t="shared" ref="AG30" si="10">AD30/Z30-1</f>
        <v>0.44584325508683986</v>
      </c>
    </row>
    <row r="31" spans="1:36" ht="13" customHeight="1">
      <c r="A31" s="211"/>
      <c r="B31" s="506"/>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324"/>
      <c r="AG31" s="324"/>
      <c r="AH31" s="149"/>
      <c r="AI31" s="149"/>
      <c r="AJ31" s="208"/>
    </row>
    <row r="33" spans="1:36" ht="13" customHeight="1">
      <c r="A33" s="211"/>
      <c r="B33" s="276" t="str">
        <f>IF('Summary | Sumário'!D$6=Names!B$3,Names!O32,Names!Z32)</f>
        <v>Interest income</v>
      </c>
      <c r="C33" s="509">
        <f t="shared" ref="C33:I33" si="11">C5</f>
        <v>775515</v>
      </c>
      <c r="D33" s="509">
        <f t="shared" si="11"/>
        <v>942655.89517999999</v>
      </c>
      <c r="E33" s="509">
        <f t="shared" si="11"/>
        <v>1435427.246</v>
      </c>
      <c r="F33" s="509">
        <f t="shared" si="11"/>
        <v>2802658.0819999999</v>
      </c>
      <c r="G33" s="509">
        <f t="shared" si="11"/>
        <v>4549827</v>
      </c>
      <c r="H33" s="509">
        <f t="shared" si="11"/>
        <v>5139213.5399445314</v>
      </c>
      <c r="I33" s="509">
        <f t="shared" si="11"/>
        <v>8638477</v>
      </c>
      <c r="J33" s="511"/>
      <c r="K33" s="509">
        <f t="shared" ref="K33:AD33" si="12">K5</f>
        <v>289003.935</v>
      </c>
      <c r="L33" s="509">
        <f t="shared" si="12"/>
        <v>305659.75100000005</v>
      </c>
      <c r="M33" s="509">
        <f t="shared" si="12"/>
        <v>367405.88</v>
      </c>
      <c r="N33" s="509">
        <f t="shared" si="12"/>
        <v>473357.68</v>
      </c>
      <c r="O33" s="509">
        <f t="shared" si="12"/>
        <v>521159.63199999993</v>
      </c>
      <c r="P33" s="509">
        <f t="shared" si="12"/>
        <v>622312.6370000001</v>
      </c>
      <c r="Q33" s="509">
        <f t="shared" si="12"/>
        <v>788342.73100000003</v>
      </c>
      <c r="R33" s="509">
        <f t="shared" si="12"/>
        <v>870843.08199999994</v>
      </c>
      <c r="S33" s="509">
        <f t="shared" si="12"/>
        <v>1012926.822</v>
      </c>
      <c r="T33" s="509">
        <f t="shared" si="12"/>
        <v>1151105</v>
      </c>
      <c r="U33" s="509">
        <f t="shared" si="12"/>
        <v>1106935.08874</v>
      </c>
      <c r="V33" s="509">
        <f t="shared" si="12"/>
        <v>1278860.08926</v>
      </c>
      <c r="W33" s="509">
        <f t="shared" si="12"/>
        <v>1217530.9999999998</v>
      </c>
      <c r="X33" s="509">
        <f t="shared" si="12"/>
        <v>1172415.139</v>
      </c>
      <c r="Y33" s="509">
        <f t="shared" si="12"/>
        <v>1412226.140133633</v>
      </c>
      <c r="Z33" s="509">
        <f t="shared" si="12"/>
        <v>1337041.2608108988</v>
      </c>
      <c r="AA33" s="509">
        <f t="shared" si="12"/>
        <v>1806870</v>
      </c>
      <c r="AB33" s="509">
        <f t="shared" si="12"/>
        <v>2128214</v>
      </c>
      <c r="AC33" s="509">
        <f t="shared" si="12"/>
        <v>2226423</v>
      </c>
      <c r="AD33" s="509">
        <f t="shared" si="12"/>
        <v>2476970</v>
      </c>
      <c r="AE33" s="503"/>
      <c r="AF33" s="512">
        <f t="shared" ref="AF33:AF38" si="13">AD33/AC33-1</f>
        <v>0.11253342244488129</v>
      </c>
      <c r="AG33" s="512">
        <f t="shared" ref="AG33:AG38" si="14">AD33/Z33-1</f>
        <v>0.85257558805458888</v>
      </c>
      <c r="AH33" s="149"/>
      <c r="AI33" s="149"/>
      <c r="AJ33" s="208"/>
    </row>
    <row r="34" spans="1:36" ht="13" customHeight="1">
      <c r="A34" s="211"/>
      <c r="B34" s="22" t="str">
        <f>IF('Summary | Sumário'!D$6=Names!B$3,Names!O42,Names!Z42)</f>
        <v>Interest expenses</v>
      </c>
      <c r="C34" s="510">
        <f t="shared" ref="C34:I34" si="15">C14</f>
        <v>-256717</v>
      </c>
      <c r="D34" s="510">
        <f t="shared" si="15"/>
        <v>-184335</v>
      </c>
      <c r="E34" s="510">
        <f t="shared" si="15"/>
        <v>-543242</v>
      </c>
      <c r="F34" s="510">
        <f t="shared" si="15"/>
        <v>-1972850</v>
      </c>
      <c r="G34" s="510">
        <f t="shared" si="15"/>
        <v>-2887573.0049999999</v>
      </c>
      <c r="H34" s="510">
        <f t="shared" si="15"/>
        <v>-3311638.4190579997</v>
      </c>
      <c r="I34" s="510">
        <f t="shared" si="15"/>
        <v>-5977127</v>
      </c>
      <c r="J34" s="511"/>
      <c r="K34" s="510">
        <f t="shared" ref="K34:AD34" si="16">K14</f>
        <v>-65559</v>
      </c>
      <c r="L34" s="510">
        <f t="shared" si="16"/>
        <v>-86261</v>
      </c>
      <c r="M34" s="510">
        <f t="shared" si="16"/>
        <v>-138587</v>
      </c>
      <c r="N34" s="510">
        <f t="shared" si="16"/>
        <v>-252835</v>
      </c>
      <c r="O34" s="510">
        <f t="shared" si="16"/>
        <v>-336771</v>
      </c>
      <c r="P34" s="510">
        <f t="shared" si="16"/>
        <v>-465041</v>
      </c>
      <c r="Q34" s="510">
        <f t="shared" si="16"/>
        <v>-579678</v>
      </c>
      <c r="R34" s="510">
        <f t="shared" si="16"/>
        <v>-591360</v>
      </c>
      <c r="S34" s="510">
        <f t="shared" si="16"/>
        <v>-672771</v>
      </c>
      <c r="T34" s="510">
        <f t="shared" si="16"/>
        <v>-692206</v>
      </c>
      <c r="U34" s="510">
        <f t="shared" si="16"/>
        <v>-770398</v>
      </c>
      <c r="V34" s="510">
        <f t="shared" si="16"/>
        <v>-752198.00500000012</v>
      </c>
      <c r="W34" s="510">
        <f t="shared" si="16"/>
        <v>-762246.89030000009</v>
      </c>
      <c r="X34" s="510">
        <f t="shared" si="16"/>
        <v>-772642.60900000005</v>
      </c>
      <c r="Y34" s="510">
        <f t="shared" si="16"/>
        <v>-835616.71799999999</v>
      </c>
      <c r="Z34" s="510">
        <f t="shared" si="16"/>
        <v>-941132.20175799984</v>
      </c>
      <c r="AA34" s="510">
        <f t="shared" si="16"/>
        <v>-1179020</v>
      </c>
      <c r="AB34" s="510">
        <f t="shared" si="16"/>
        <v>-1423958</v>
      </c>
      <c r="AC34" s="510">
        <f t="shared" si="16"/>
        <v>-1653759</v>
      </c>
      <c r="AD34" s="510">
        <f t="shared" si="16"/>
        <v>-1720390</v>
      </c>
      <c r="AE34" s="503"/>
      <c r="AF34" s="338">
        <f t="shared" si="13"/>
        <v>4.029063485066442E-2</v>
      </c>
      <c r="AG34" s="338">
        <f t="shared" si="14"/>
        <v>0.82800035615227663</v>
      </c>
      <c r="AH34" s="149"/>
      <c r="AI34" s="149"/>
      <c r="AJ34" s="208"/>
    </row>
    <row r="35" spans="1:36" ht="13" customHeight="1">
      <c r="A35" s="211"/>
      <c r="B35" s="16" t="str">
        <f>IF('Summary | Sumário'!D$6=Names!B$3,Names!O57,Names!Z57)</f>
        <v>Income from securities</v>
      </c>
      <c r="C35" s="511">
        <f t="shared" ref="C35:I35" si="17">C19</f>
        <v>62518</v>
      </c>
      <c r="D35" s="511">
        <f t="shared" si="17"/>
        <v>12060</v>
      </c>
      <c r="E35" s="511">
        <f t="shared" si="17"/>
        <v>745613</v>
      </c>
      <c r="F35" s="511">
        <f t="shared" si="17"/>
        <v>1471737</v>
      </c>
      <c r="G35" s="511">
        <f t="shared" si="17"/>
        <v>1615108</v>
      </c>
      <c r="H35" s="511">
        <f t="shared" si="17"/>
        <v>2007869.4701800002</v>
      </c>
      <c r="I35" s="511">
        <f t="shared" si="17"/>
        <v>3331154</v>
      </c>
      <c r="J35" s="511"/>
      <c r="K35" s="511">
        <f t="shared" ref="K35:AD35" si="18">K19</f>
        <v>88068</v>
      </c>
      <c r="L35" s="511">
        <f t="shared" si="18"/>
        <v>106662</v>
      </c>
      <c r="M35" s="511">
        <f t="shared" si="18"/>
        <v>228420</v>
      </c>
      <c r="N35" s="511">
        <f t="shared" si="18"/>
        <v>322463</v>
      </c>
      <c r="O35" s="511">
        <f t="shared" si="18"/>
        <v>348013</v>
      </c>
      <c r="P35" s="511">
        <f t="shared" si="18"/>
        <v>406846</v>
      </c>
      <c r="Q35" s="511">
        <f t="shared" si="18"/>
        <v>340982</v>
      </c>
      <c r="R35" s="511">
        <f t="shared" si="18"/>
        <v>375896</v>
      </c>
      <c r="S35" s="511">
        <f t="shared" si="18"/>
        <v>370924</v>
      </c>
      <c r="T35" s="511">
        <f t="shared" si="18"/>
        <v>402038</v>
      </c>
      <c r="U35" s="511">
        <f t="shared" si="18"/>
        <v>417887</v>
      </c>
      <c r="V35" s="511">
        <f t="shared" si="18"/>
        <v>424259</v>
      </c>
      <c r="W35" s="511">
        <f t="shared" si="18"/>
        <v>446719</v>
      </c>
      <c r="X35" s="511">
        <f t="shared" si="18"/>
        <v>456585.37339384999</v>
      </c>
      <c r="Y35" s="511">
        <f t="shared" si="18"/>
        <v>513731</v>
      </c>
      <c r="Z35" s="511">
        <f t="shared" si="18"/>
        <v>590834.09678615024</v>
      </c>
      <c r="AA35" s="511">
        <f t="shared" si="18"/>
        <v>737446</v>
      </c>
      <c r="AB35" s="511">
        <f t="shared" si="18"/>
        <v>802844</v>
      </c>
      <c r="AC35" s="511">
        <f t="shared" si="18"/>
        <v>832987</v>
      </c>
      <c r="AD35" s="511">
        <f t="shared" si="18"/>
        <v>957877</v>
      </c>
      <c r="AE35" s="503"/>
      <c r="AF35" s="314">
        <f t="shared" si="13"/>
        <v>0.14993031103726717</v>
      </c>
      <c r="AG35" s="314">
        <f t="shared" si="14"/>
        <v>0.62122837055339963</v>
      </c>
      <c r="AH35" s="149"/>
      <c r="AI35" s="149"/>
      <c r="AJ35" s="208"/>
    </row>
    <row r="36" spans="1:36" ht="13" customHeight="1">
      <c r="A36" s="211"/>
      <c r="B36" s="22" t="str">
        <f>IF('Summary | Sumário'!D$6=Names!B$3,Names!O61,Names!Z61)</f>
        <v>Income from derivatives</v>
      </c>
      <c r="C36" s="510">
        <f t="shared" ref="C36:I36" si="19">C23</f>
        <v>4235</v>
      </c>
      <c r="D36" s="510">
        <f t="shared" si="19"/>
        <v>-54418</v>
      </c>
      <c r="E36" s="510">
        <f t="shared" si="19"/>
        <v>-48330.334000000003</v>
      </c>
      <c r="F36" s="510">
        <f t="shared" si="19"/>
        <v>33884.103000000003</v>
      </c>
      <c r="G36" s="510">
        <f t="shared" si="19"/>
        <v>-69273</v>
      </c>
      <c r="H36" s="510">
        <f t="shared" si="19"/>
        <v>546712.54295000003</v>
      </c>
      <c r="I36" s="510">
        <f t="shared" si="19"/>
        <v>145044</v>
      </c>
      <c r="J36" s="511"/>
      <c r="K36" s="510">
        <f t="shared" ref="K36:AD36" si="20">K23</f>
        <v>-19931.596000000001</v>
      </c>
      <c r="L36" s="510">
        <f t="shared" si="20"/>
        <v>-23765.403999999999</v>
      </c>
      <c r="M36" s="510">
        <f t="shared" si="20"/>
        <v>-9869</v>
      </c>
      <c r="N36" s="510">
        <f t="shared" si="20"/>
        <v>5235.6660000000011</v>
      </c>
      <c r="O36" s="510">
        <f t="shared" si="20"/>
        <v>11009.383</v>
      </c>
      <c r="P36" s="510">
        <f t="shared" si="20"/>
        <v>-3030.3259999999982</v>
      </c>
      <c r="Q36" s="510">
        <f t="shared" si="20"/>
        <v>5940.735999999999</v>
      </c>
      <c r="R36" s="510">
        <f t="shared" si="20"/>
        <v>19964.310000000001</v>
      </c>
      <c r="S36" s="510">
        <f t="shared" si="20"/>
        <v>482.30199999999877</v>
      </c>
      <c r="T36" s="510">
        <f t="shared" si="20"/>
        <v>-58862</v>
      </c>
      <c r="U36" s="510">
        <f t="shared" si="20"/>
        <v>64133.019220000024</v>
      </c>
      <c r="V36" s="510">
        <f t="shared" si="20"/>
        <v>-75026.321220000013</v>
      </c>
      <c r="W36" s="510">
        <f t="shared" si="20"/>
        <v>68661.610820000031</v>
      </c>
      <c r="X36" s="510">
        <f t="shared" si="20"/>
        <v>173310.82241000002</v>
      </c>
      <c r="Y36" s="510">
        <f t="shared" si="20"/>
        <v>44424.709440000101</v>
      </c>
      <c r="Z36" s="510">
        <f t="shared" si="20"/>
        <v>260315.40027999989</v>
      </c>
      <c r="AA36" s="510">
        <f t="shared" si="20"/>
        <v>-19187</v>
      </c>
      <c r="AB36" s="510">
        <f t="shared" si="20"/>
        <v>-54549</v>
      </c>
      <c r="AC36" s="510">
        <f t="shared" si="20"/>
        <v>182632</v>
      </c>
      <c r="AD36" s="510">
        <f t="shared" si="20"/>
        <v>36148</v>
      </c>
      <c r="AE36" s="503"/>
      <c r="AF36" s="338">
        <f t="shared" si="13"/>
        <v>-0.80207192605896016</v>
      </c>
      <c r="AG36" s="338">
        <f t="shared" si="14"/>
        <v>-0.86113768159271964</v>
      </c>
      <c r="AH36" s="149"/>
      <c r="AI36" s="149"/>
      <c r="AJ36" s="208"/>
    </row>
    <row r="37" spans="1:36" ht="13" customHeight="1">
      <c r="A37" s="211"/>
      <c r="B37" s="16" t="str">
        <f>IF('Summary | Sumário'!D$6=Names!B$3,Names!O68,Names!Z68)</f>
        <v>Revenue foreign exchange</v>
      </c>
      <c r="C37" s="511">
        <f t="shared" ref="C37" si="21">C29</f>
        <v>5976</v>
      </c>
      <c r="D37" s="511">
        <f t="shared" ref="D37:Z37" si="22">D29</f>
        <v>17318</v>
      </c>
      <c r="E37" s="511">
        <f t="shared" si="22"/>
        <v>24667</v>
      </c>
      <c r="F37" s="511">
        <f t="shared" si="22"/>
        <v>99780</v>
      </c>
      <c r="G37" s="511">
        <f t="shared" si="22"/>
        <v>88708</v>
      </c>
      <c r="H37" s="511">
        <f t="shared" si="22"/>
        <v>74587.800272134002</v>
      </c>
      <c r="I37" s="511">
        <f t="shared" ref="I37" si="23">I29</f>
        <v>136271</v>
      </c>
      <c r="J37" s="511"/>
      <c r="K37" s="511">
        <f t="shared" si="22"/>
        <v>5876</v>
      </c>
      <c r="L37" s="511">
        <f t="shared" si="22"/>
        <v>6689</v>
      </c>
      <c r="M37" s="511">
        <f t="shared" si="22"/>
        <v>5791</v>
      </c>
      <c r="N37" s="511">
        <f t="shared" si="22"/>
        <v>6311</v>
      </c>
      <c r="O37" s="511">
        <f t="shared" si="22"/>
        <v>17033</v>
      </c>
      <c r="P37" s="511">
        <f t="shared" si="22"/>
        <v>25563</v>
      </c>
      <c r="Q37" s="511">
        <f t="shared" si="22"/>
        <v>31137</v>
      </c>
      <c r="R37" s="511">
        <f t="shared" si="22"/>
        <v>26047</v>
      </c>
      <c r="S37" s="511">
        <f t="shared" si="22"/>
        <v>14919</v>
      </c>
      <c r="T37" s="511">
        <f t="shared" si="22"/>
        <v>26191</v>
      </c>
      <c r="U37" s="511">
        <f t="shared" si="22"/>
        <v>26659</v>
      </c>
      <c r="V37" s="511">
        <f t="shared" si="22"/>
        <v>20939</v>
      </c>
      <c r="W37" s="511">
        <f t="shared" si="22"/>
        <v>21756</v>
      </c>
      <c r="X37" s="511">
        <f t="shared" si="22"/>
        <v>12197</v>
      </c>
      <c r="Y37" s="511">
        <f t="shared" si="22"/>
        <v>29585</v>
      </c>
      <c r="Z37" s="511">
        <f t="shared" si="22"/>
        <v>11049.800272134002</v>
      </c>
      <c r="AA37" s="511">
        <f>AA29</f>
        <v>16485.3</v>
      </c>
      <c r="AB37" s="511">
        <f>AB29</f>
        <v>16956</v>
      </c>
      <c r="AC37" s="511">
        <f>AC29</f>
        <v>34408</v>
      </c>
      <c r="AD37" s="511">
        <f>AD29</f>
        <v>68421.7</v>
      </c>
      <c r="AE37" s="503"/>
      <c r="AF37" s="314">
        <f t="shared" si="13"/>
        <v>0.98854045570797489</v>
      </c>
      <c r="AG37" s="314">
        <f t="shared" si="14"/>
        <v>5.1921209718649513</v>
      </c>
      <c r="AH37" s="149"/>
      <c r="AI37" s="149"/>
      <c r="AJ37" s="208"/>
    </row>
    <row r="38" spans="1:36" ht="13" customHeight="1">
      <c r="A38" s="211"/>
      <c r="B38" s="507" t="str">
        <f>IF('Summary | Sumário'!D$6=Names!B$3,Names!AC31,Names!AD31)</f>
        <v>NII</v>
      </c>
      <c r="C38" s="508">
        <f t="shared" ref="C38:G38" si="24">SUM(C33:C37)</f>
        <v>591527</v>
      </c>
      <c r="D38" s="508">
        <f t="shared" si="24"/>
        <v>733280.89517999999</v>
      </c>
      <c r="E38" s="508">
        <f t="shared" si="24"/>
        <v>1614134.912</v>
      </c>
      <c r="F38" s="508">
        <f t="shared" si="24"/>
        <v>2435209.1850000001</v>
      </c>
      <c r="G38" s="508">
        <f t="shared" si="24"/>
        <v>3296796.9950000001</v>
      </c>
      <c r="H38" s="508">
        <f>SUM(H33:H37)</f>
        <v>4456744.9342886657</v>
      </c>
      <c r="I38" s="508">
        <f>SUM(I33:I37)</f>
        <v>6273819</v>
      </c>
      <c r="J38" s="503"/>
      <c r="K38" s="508">
        <f t="shared" ref="K38:Z38" si="25">SUM(K33:K37)</f>
        <v>297457.33899999998</v>
      </c>
      <c r="L38" s="508">
        <f t="shared" si="25"/>
        <v>308984.34700000007</v>
      </c>
      <c r="M38" s="508">
        <f t="shared" si="25"/>
        <v>453160.88</v>
      </c>
      <c r="N38" s="508">
        <f t="shared" si="25"/>
        <v>554532.3459999999</v>
      </c>
      <c r="O38" s="508">
        <f t="shared" si="25"/>
        <v>560444.01500000001</v>
      </c>
      <c r="P38" s="508">
        <f t="shared" si="25"/>
        <v>586650.3110000001</v>
      </c>
      <c r="Q38" s="508">
        <f t="shared" si="25"/>
        <v>586724.46700000006</v>
      </c>
      <c r="R38" s="508">
        <f t="shared" si="25"/>
        <v>701390.39199999999</v>
      </c>
      <c r="S38" s="508">
        <f t="shared" si="25"/>
        <v>726481.12400000007</v>
      </c>
      <c r="T38" s="508">
        <f t="shared" si="25"/>
        <v>828266</v>
      </c>
      <c r="U38" s="508">
        <f t="shared" si="25"/>
        <v>845216.10796000005</v>
      </c>
      <c r="V38" s="508">
        <f t="shared" si="25"/>
        <v>896833.76303999987</v>
      </c>
      <c r="W38" s="508">
        <f t="shared" si="25"/>
        <v>992420.72051999974</v>
      </c>
      <c r="X38" s="508">
        <f t="shared" si="25"/>
        <v>1041865.72580385</v>
      </c>
      <c r="Y38" s="508">
        <f t="shared" si="25"/>
        <v>1164350.1315736331</v>
      </c>
      <c r="Z38" s="508">
        <f t="shared" si="25"/>
        <v>1258108.3563911831</v>
      </c>
      <c r="AA38" s="508">
        <f>SUM(AA33:AA37)</f>
        <v>1362594.3</v>
      </c>
      <c r="AB38" s="508">
        <f>SUM(AB33:AB37)</f>
        <v>1469507</v>
      </c>
      <c r="AC38" s="508">
        <f>SUM(AC33:AC37)</f>
        <v>1622691</v>
      </c>
      <c r="AD38" s="508">
        <f>SUM(AD33:AD37)</f>
        <v>1819026.7</v>
      </c>
      <c r="AE38" s="503"/>
      <c r="AF38" s="542">
        <f t="shared" si="13"/>
        <v>0.12099389224442603</v>
      </c>
      <c r="AG38" s="542">
        <f t="shared" si="14"/>
        <v>0.44584263410965752</v>
      </c>
      <c r="AH38" s="149"/>
      <c r="AI38" s="149"/>
      <c r="AJ38" s="208"/>
    </row>
    <row r="39" spans="1:36" ht="13" customHeight="1">
      <c r="R39" s="160"/>
      <c r="S39" s="160"/>
      <c r="T39" s="160"/>
      <c r="U39" s="160"/>
      <c r="V39" s="160"/>
      <c r="W39" s="160"/>
      <c r="X39" s="160"/>
      <c r="Y39" s="160"/>
      <c r="Z39" s="160"/>
      <c r="AA39" s="160"/>
      <c r="AB39" s="160"/>
      <c r="AC39" s="160"/>
      <c r="AD39" s="160"/>
      <c r="AE39" s="160"/>
      <c r="AF39" s="160"/>
      <c r="AG39" s="160"/>
    </row>
    <row r="40" spans="1:36" ht="13" customHeight="1">
      <c r="C40" s="116" t="s">
        <v>1047</v>
      </c>
      <c r="O40" s="160"/>
      <c r="P40" s="160"/>
      <c r="Q40" s="160"/>
      <c r="R40" s="160"/>
      <c r="S40" s="160"/>
      <c r="T40" s="160"/>
      <c r="U40" s="160"/>
      <c r="V40" s="160"/>
      <c r="W40" s="160"/>
      <c r="X40" s="160"/>
      <c r="Y40" s="160"/>
      <c r="Z40" s="160"/>
      <c r="AA40" s="160"/>
      <c r="AB40" s="160"/>
      <c r="AC40" s="160"/>
      <c r="AD40" s="160"/>
      <c r="AE40" s="160"/>
      <c r="AF40" s="160"/>
      <c r="AG40" s="160"/>
    </row>
    <row r="41" spans="1:36" ht="13" customHeight="1">
      <c r="AB41" s="188"/>
      <c r="AC41" s="188"/>
      <c r="AD41" s="188"/>
      <c r="AE41" s="188"/>
      <c r="AF41" s="188"/>
      <c r="AG41" s="188"/>
    </row>
    <row r="42" spans="1:36" ht="13" customHeight="1">
      <c r="S42" s="543"/>
      <c r="T42" s="543"/>
      <c r="U42" s="543"/>
      <c r="V42" s="543"/>
      <c r="W42" s="543"/>
      <c r="X42" s="543"/>
      <c r="Y42" s="543"/>
      <c r="Z42" s="543"/>
      <c r="AA42" s="543"/>
      <c r="AB42" s="543"/>
      <c r="AC42" s="543"/>
      <c r="AD42" s="543"/>
      <c r="AE42" s="160"/>
      <c r="AF42" s="229"/>
      <c r="AG42" s="229"/>
    </row>
    <row r="43" spans="1:36" ht="13" customHeight="1">
      <c r="K43" s="188"/>
      <c r="L43" s="188"/>
      <c r="M43" s="188"/>
      <c r="N43" s="188"/>
      <c r="O43" s="188"/>
      <c r="P43" s="188"/>
      <c r="Q43" s="188"/>
      <c r="R43" s="188"/>
      <c r="S43" s="188"/>
      <c r="T43" s="188"/>
      <c r="U43" s="188"/>
      <c r="V43" s="188"/>
      <c r="W43" s="188"/>
      <c r="X43" s="188"/>
      <c r="Y43" s="188"/>
      <c r="Z43" s="188"/>
      <c r="AA43" s="188"/>
      <c r="AB43" s="188"/>
      <c r="AC43" s="188"/>
      <c r="AD43" s="188"/>
    </row>
    <row r="44" spans="1:36" ht="13" customHeight="1">
      <c r="S44" s="188"/>
      <c r="T44" s="188"/>
      <c r="U44" s="188"/>
      <c r="V44" s="188"/>
      <c r="W44" s="188"/>
      <c r="X44" s="188"/>
      <c r="Y44" s="188"/>
      <c r="Z44" s="188"/>
      <c r="AA44" s="188"/>
      <c r="AB44" s="188"/>
      <c r="AC44" s="188"/>
      <c r="AD44" s="188"/>
    </row>
    <row r="45" spans="1:36" ht="13" customHeight="1">
      <c r="K45" s="188"/>
      <c r="L45" s="188"/>
      <c r="M45" s="188"/>
      <c r="N45" s="188"/>
      <c r="O45" s="188"/>
      <c r="P45" s="188"/>
      <c r="Q45" s="188"/>
      <c r="R45" s="188"/>
      <c r="S45" s="188"/>
      <c r="T45" s="188"/>
      <c r="U45" s="188"/>
      <c r="V45" s="188"/>
      <c r="W45" s="188"/>
      <c r="X45" s="188"/>
      <c r="Y45" s="188"/>
      <c r="Z45" s="188"/>
      <c r="AA45" s="188"/>
      <c r="AB45" s="188"/>
      <c r="AC45" s="188"/>
      <c r="AD45" s="188"/>
    </row>
    <row r="46" spans="1:36" ht="13" customHeight="1">
      <c r="Z46" s="188"/>
    </row>
    <row r="47" spans="1:36" ht="13" customHeight="1">
      <c r="Z47" s="188"/>
    </row>
  </sheetData>
  <sheetProtection algorithmName="SHA-512" hashValue="AzlONk8ocRxWNwl1Y3s7RqbRbPCd325SK58u9GL3h//V5gdjn93ujbeZhY5OsHbt85TorgnTxfx2xTwiGz4BUw==" saltValue="HbcX1weFR55JLnp/rQQ3sQ=="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r:id="rId1"/>
  <ignoredErrors>
    <ignoredError sqref="AE15 AE31:AG32 B16 AE16 B23 B15 AE5 AE6 AE7 AE8 AE9 AE10 AE11 AE12 AE13 AE14 AE17 AE18 AE19 AE20 AE21 AE22 AE23 AE24 AE25 AE26 AE27 AE28 AE29 AE30 AE38 AE33 AE34 AE35 AE36 AE37 B31:H38 K31:AC38 B29 B17 B5 E5:H5 B6 E6:H6 B7 E7:H7 B8 E8:H8 B9 E9:H9 B10 E10:H10 B11 E11:H11 B12 E12:H12 B13 E13:H13 B14 E14:H14 E15:H15 B18 E18:H18 B19 E19:H19 B20 E20:H20 B21 E21:H21 B22 E22:H22 E23:H23 B24 E24:H24 B25 E25:H25 B26:C26 E26:H26 B27 E27:H27 B28:C28 E28:H28 H29 Z5:AC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4C46-8366-F542-A98A-873CE3963448}">
  <sheetPr codeName="Sheet10">
    <tabColor rgb="FFEB7100"/>
  </sheetPr>
  <dimension ref="B1:AK22"/>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ol min="10" max="10" width="2.83203125" style="116" customWidth="1"/>
    <col min="11" max="30" width="10.83203125" style="116"/>
    <col min="31" max="31" width="5.83203125" style="116" customWidth="1"/>
    <col min="32" max="16384" width="10.83203125" style="116"/>
  </cols>
  <sheetData>
    <row r="1" spans="2:37"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2:37" s="10" customFormat="1" ht="13" customHeight="1">
      <c r="B2" s="267" t="str">
        <f>IF('Summary | Sumário'!D$6=Names!B$3,Names!AC1,Names!AD1)</f>
        <v>Fee Revenues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14"/>
      <c r="C3" s="126"/>
      <c r="D3" s="126"/>
      <c r="E3" s="126"/>
      <c r="F3" s="126"/>
      <c r="G3" s="126"/>
      <c r="H3" s="126"/>
      <c r="I3" s="126"/>
      <c r="J3" s="127"/>
      <c r="K3" s="127"/>
      <c r="L3" s="127"/>
      <c r="M3" s="127"/>
      <c r="N3" s="127"/>
      <c r="O3" s="127"/>
      <c r="P3" s="127"/>
      <c r="Q3" s="127"/>
      <c r="R3" s="127"/>
      <c r="S3" s="127"/>
      <c r="T3" s="127"/>
      <c r="U3" s="127"/>
      <c r="V3" s="127"/>
      <c r="W3" s="127"/>
      <c r="X3" s="127"/>
      <c r="Y3" s="127"/>
      <c r="Z3" s="127"/>
      <c r="AA3" s="127"/>
      <c r="AB3" s="127"/>
      <c r="AC3" s="127"/>
      <c r="AD3" s="127"/>
      <c r="AE3" s="127"/>
      <c r="AF3" s="127"/>
      <c r="AG3" s="127"/>
    </row>
    <row r="4" spans="2:37" ht="13" customHeight="1">
      <c r="B4" s="270" t="str">
        <f>IF('Summary | Sumário'!D$6=Names!B$3,Names!AC23,Names!AD23)</f>
        <v>Fee revenues</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row>
    <row r="5" spans="2:37" ht="13" customHeight="1">
      <c r="B5" s="271" t="str">
        <f>IF('Summary | Sumário'!D$6=Names!B$3,Names!AC24,Names!AD24)</f>
        <v>Net result from services and commissions</v>
      </c>
      <c r="C5" s="293">
        <v>73829.660999999993</v>
      </c>
      <c r="D5" s="293">
        <v>185534</v>
      </c>
      <c r="E5" s="293">
        <f>SUM(K5:N5)</f>
        <v>442272</v>
      </c>
      <c r="F5" s="293">
        <f>SUM(O5:R5)</f>
        <v>838806</v>
      </c>
      <c r="G5" s="293">
        <f t="shared" ref="G5" si="0">SUM(S5:V5)</f>
        <v>1168800.6000000001</v>
      </c>
      <c r="H5" s="293">
        <f t="shared" ref="H5" si="1">SUM(W5:Z5)</f>
        <v>1609850.2739999997</v>
      </c>
      <c r="I5" s="293">
        <f>SUM(AA5:AD5)</f>
        <v>1825893</v>
      </c>
      <c r="J5" s="215"/>
      <c r="K5" s="293">
        <v>77686</v>
      </c>
      <c r="L5" s="293">
        <v>89070</v>
      </c>
      <c r="M5" s="293">
        <v>122853</v>
      </c>
      <c r="N5" s="293">
        <v>152663</v>
      </c>
      <c r="O5" s="293">
        <v>177703</v>
      </c>
      <c r="P5" s="293">
        <v>204561</v>
      </c>
      <c r="Q5" s="293">
        <v>217029</v>
      </c>
      <c r="R5" s="293">
        <v>239513</v>
      </c>
      <c r="S5" s="293">
        <v>246675</v>
      </c>
      <c r="T5" s="293">
        <v>266801</v>
      </c>
      <c r="U5" s="293">
        <v>315509</v>
      </c>
      <c r="V5" s="293">
        <v>339815.6</v>
      </c>
      <c r="W5" s="293">
        <v>340317.39485153224</v>
      </c>
      <c r="X5" s="293">
        <v>364200.86699999997</v>
      </c>
      <c r="Y5" s="293">
        <v>429990.49199999997</v>
      </c>
      <c r="Z5" s="293">
        <v>475341.5201484678</v>
      </c>
      <c r="AA5" s="293">
        <v>419113.4</v>
      </c>
      <c r="AB5" s="293">
        <v>452131</v>
      </c>
      <c r="AC5" s="293">
        <v>467370</v>
      </c>
      <c r="AD5" s="293">
        <v>487278.6</v>
      </c>
      <c r="AE5" s="215"/>
      <c r="AF5" s="357">
        <f t="shared" ref="AF5:AF19" si="2">AD5/AC5-1</f>
        <v>4.2597085820655911E-2</v>
      </c>
      <c r="AG5" s="357">
        <f t="shared" ref="AG5:AG19" si="3">AD5/Z5-1</f>
        <v>2.5112638693551848E-2</v>
      </c>
    </row>
    <row r="6" spans="2:37" ht="13" customHeight="1">
      <c r="B6" s="496" t="str">
        <f>IF('Summary | Sumário'!D$6=Names!B$3,Names!AC4,Names!AD4)</f>
        <v>Interchange</v>
      </c>
      <c r="C6" s="215">
        <v>58152</v>
      </c>
      <c r="D6" s="215">
        <v>137863</v>
      </c>
      <c r="E6" s="215">
        <v>369340</v>
      </c>
      <c r="F6" s="215">
        <v>617552</v>
      </c>
      <c r="G6" s="215">
        <v>820630</v>
      </c>
      <c r="H6" s="215">
        <v>1131024.4148299999</v>
      </c>
      <c r="I6" s="215">
        <v>1349906</v>
      </c>
      <c r="J6" s="215"/>
      <c r="K6" s="215">
        <v>61188</v>
      </c>
      <c r="L6" s="215">
        <v>78212</v>
      </c>
      <c r="M6" s="215">
        <v>99723</v>
      </c>
      <c r="N6" s="215">
        <v>130217</v>
      </c>
      <c r="O6" s="215">
        <v>127049</v>
      </c>
      <c r="P6" s="215">
        <v>149403</v>
      </c>
      <c r="Q6" s="215">
        <v>161418</v>
      </c>
      <c r="R6" s="215">
        <v>179682</v>
      </c>
      <c r="S6" s="215">
        <v>174929</v>
      </c>
      <c r="T6" s="215">
        <v>185608</v>
      </c>
      <c r="U6" s="215">
        <v>214415</v>
      </c>
      <c r="V6" s="215">
        <v>245678</v>
      </c>
      <c r="W6" s="215">
        <v>241890.53451</v>
      </c>
      <c r="X6" s="215">
        <v>254700.68423000001</v>
      </c>
      <c r="Y6" s="215">
        <v>294983.18956000003</v>
      </c>
      <c r="Z6" s="215">
        <v>339450.0065299999</v>
      </c>
      <c r="AA6" s="215">
        <v>308341</v>
      </c>
      <c r="AB6" s="215">
        <v>332674</v>
      </c>
      <c r="AC6" s="215">
        <v>345261</v>
      </c>
      <c r="AD6" s="215">
        <v>363630</v>
      </c>
      <c r="AE6" s="215"/>
      <c r="AF6" s="358">
        <f t="shared" si="2"/>
        <v>5.3203228861643748E-2</v>
      </c>
      <c r="AG6" s="358">
        <f t="shared" si="3"/>
        <v>7.1232856105021503E-2</v>
      </c>
    </row>
    <row r="7" spans="2:37" ht="13" customHeight="1">
      <c r="B7" s="100" t="str">
        <f>IF('Summary | Sumário'!D$6=Names!B$3,Names!AC40,Names!AD40)</f>
        <v>Commission and brokerage fees</v>
      </c>
      <c r="C7" s="214">
        <v>18870</v>
      </c>
      <c r="D7" s="214">
        <v>110640</v>
      </c>
      <c r="E7" s="214">
        <v>314586</v>
      </c>
      <c r="F7" s="214">
        <v>523889</v>
      </c>
      <c r="G7" s="214">
        <v>536580</v>
      </c>
      <c r="H7" s="214">
        <v>785975.55267</v>
      </c>
      <c r="I7" s="214">
        <v>831142</v>
      </c>
      <c r="J7" s="215"/>
      <c r="K7" s="214">
        <v>57439.66</v>
      </c>
      <c r="L7" s="214">
        <v>71617</v>
      </c>
      <c r="M7" s="214">
        <v>78731</v>
      </c>
      <c r="N7" s="214">
        <v>106798.34</v>
      </c>
      <c r="O7" s="214">
        <v>120069</v>
      </c>
      <c r="P7" s="214">
        <v>134103</v>
      </c>
      <c r="Q7" s="214">
        <v>122675</v>
      </c>
      <c r="R7" s="214">
        <v>147042</v>
      </c>
      <c r="S7" s="214">
        <v>132652</v>
      </c>
      <c r="T7" s="214">
        <v>116633</v>
      </c>
      <c r="U7" s="214">
        <v>142831</v>
      </c>
      <c r="V7" s="214">
        <v>144464</v>
      </c>
      <c r="W7" s="214">
        <v>146067.27165041512</v>
      </c>
      <c r="X7" s="214">
        <v>189250.16493492996</v>
      </c>
      <c r="Y7" s="214">
        <v>221396.29507507</v>
      </c>
      <c r="Z7" s="214">
        <v>229261.82100958494</v>
      </c>
      <c r="AA7" s="214">
        <v>193621</v>
      </c>
      <c r="AB7" s="214">
        <v>193901</v>
      </c>
      <c r="AC7" s="214">
        <v>213084</v>
      </c>
      <c r="AD7" s="214">
        <v>230536</v>
      </c>
      <c r="AE7" s="215"/>
      <c r="AF7" s="359">
        <f t="shared" si="2"/>
        <v>8.1901972930862987E-2</v>
      </c>
      <c r="AG7" s="359">
        <f t="shared" si="3"/>
        <v>5.5577460948537105E-3</v>
      </c>
    </row>
    <row r="8" spans="2:37" ht="13" customHeight="1">
      <c r="B8" s="496" t="str">
        <f>IF('Summary | Sumário'!D$6=Names!B$3,Names!AC39,Names!AD39)</f>
        <v>Banking and credit operations</v>
      </c>
      <c r="C8" s="215">
        <v>29397</v>
      </c>
      <c r="D8" s="215">
        <v>40436</v>
      </c>
      <c r="E8" s="215">
        <v>50992</v>
      </c>
      <c r="F8" s="215">
        <v>62544</v>
      </c>
      <c r="G8" s="215">
        <v>89507</v>
      </c>
      <c r="H8" s="215">
        <v>108135</v>
      </c>
      <c r="I8" s="215">
        <v>48181</v>
      </c>
      <c r="J8" s="215"/>
      <c r="K8" s="215">
        <v>11035</v>
      </c>
      <c r="L8" s="215">
        <v>11281</v>
      </c>
      <c r="M8" s="215">
        <v>13664</v>
      </c>
      <c r="N8" s="215">
        <v>15012</v>
      </c>
      <c r="O8" s="215">
        <v>12254</v>
      </c>
      <c r="P8" s="215">
        <v>16155</v>
      </c>
      <c r="Q8" s="215">
        <v>16837</v>
      </c>
      <c r="R8" s="215">
        <v>17298</v>
      </c>
      <c r="S8" s="215">
        <v>14541</v>
      </c>
      <c r="T8" s="215">
        <v>21875.4</v>
      </c>
      <c r="U8" s="215">
        <v>24030</v>
      </c>
      <c r="V8" s="215">
        <v>29060.6</v>
      </c>
      <c r="W8" s="215">
        <v>25837.612680000002</v>
      </c>
      <c r="X8" s="215">
        <v>27809.559130000001</v>
      </c>
      <c r="Y8" s="215">
        <v>26119.440870000002</v>
      </c>
      <c r="Z8" s="215">
        <v>28368.387319999994</v>
      </c>
      <c r="AA8" s="215">
        <v>11897</v>
      </c>
      <c r="AB8" s="215">
        <v>10830</v>
      </c>
      <c r="AC8" s="215">
        <v>11055</v>
      </c>
      <c r="AD8" s="215">
        <v>14399</v>
      </c>
      <c r="AE8" s="215"/>
      <c r="AF8" s="358">
        <f t="shared" si="2"/>
        <v>0.30248756218905481</v>
      </c>
      <c r="AG8" s="358">
        <f t="shared" si="3"/>
        <v>-0.49242796787928222</v>
      </c>
    </row>
    <row r="9" spans="2:37" ht="13" customHeight="1">
      <c r="B9" s="100" t="str">
        <f>IF('Summary | Sumário'!D$6=Names!B$3,Names!AC8,Names!AD8)</f>
        <v>Other</v>
      </c>
      <c r="C9" s="214">
        <v>4271</v>
      </c>
      <c r="D9" s="214">
        <v>6005</v>
      </c>
      <c r="E9" s="214">
        <v>9780</v>
      </c>
      <c r="F9" s="214">
        <v>18059</v>
      </c>
      <c r="G9" s="214">
        <v>69945</v>
      </c>
      <c r="H9" s="214">
        <v>90813.390399400101</v>
      </c>
      <c r="I9" s="214">
        <v>60333</v>
      </c>
      <c r="J9" s="215"/>
      <c r="K9" s="214">
        <v>1891</v>
      </c>
      <c r="L9" s="214">
        <v>2826</v>
      </c>
      <c r="M9" s="214">
        <v>2715</v>
      </c>
      <c r="N9" s="214">
        <v>2348</v>
      </c>
      <c r="O9" s="214">
        <v>5875</v>
      </c>
      <c r="P9" s="214">
        <v>5182</v>
      </c>
      <c r="Q9" s="214">
        <v>3516</v>
      </c>
      <c r="R9" s="214">
        <v>3486</v>
      </c>
      <c r="S9" s="214">
        <v>7279</v>
      </c>
      <c r="T9" s="214">
        <v>20925</v>
      </c>
      <c r="U9" s="214">
        <v>20957</v>
      </c>
      <c r="V9" s="214">
        <v>20784</v>
      </c>
      <c r="W9" s="214">
        <v>25279.820079759389</v>
      </c>
      <c r="X9" s="214">
        <v>17465.699248099983</v>
      </c>
      <c r="Y9" s="214">
        <v>24324.045841900101</v>
      </c>
      <c r="Z9" s="214">
        <v>23743.825229640628</v>
      </c>
      <c r="AA9" s="214">
        <v>16560</v>
      </c>
      <c r="AB9" s="214">
        <v>14005</v>
      </c>
      <c r="AC9" s="214">
        <v>18101</v>
      </c>
      <c r="AD9" s="214">
        <v>11667</v>
      </c>
      <c r="AE9" s="215"/>
      <c r="AF9" s="359">
        <f>AD9/AC9-1</f>
        <v>-0.35544997513949506</v>
      </c>
      <c r="AG9" s="359">
        <f t="shared" si="3"/>
        <v>-0.50863014332520073</v>
      </c>
    </row>
    <row r="10" spans="2:37" ht="13" customHeight="1">
      <c r="B10" s="496" t="str">
        <f>IF('Summary | Sumário'!D$6=Names!B$3,Names!AC38,Names!AD38)</f>
        <v>Fund managament and investment fees</v>
      </c>
      <c r="C10" s="215">
        <v>19767</v>
      </c>
      <c r="D10" s="215">
        <v>22177</v>
      </c>
      <c r="E10" s="215">
        <v>49234</v>
      </c>
      <c r="F10" s="215">
        <v>67433</v>
      </c>
      <c r="G10" s="215">
        <v>90772</v>
      </c>
      <c r="H10" s="215">
        <v>124127.8705302</v>
      </c>
      <c r="I10" s="215">
        <v>157144</v>
      </c>
      <c r="J10" s="215"/>
      <c r="K10" s="215">
        <v>7894</v>
      </c>
      <c r="L10" s="215">
        <v>7159</v>
      </c>
      <c r="M10" s="215">
        <v>20258</v>
      </c>
      <c r="N10" s="215">
        <v>13923</v>
      </c>
      <c r="O10" s="215">
        <v>23514</v>
      </c>
      <c r="P10" s="215">
        <v>18922</v>
      </c>
      <c r="Q10" s="215">
        <v>22407</v>
      </c>
      <c r="R10" s="215">
        <v>2590</v>
      </c>
      <c r="S10" s="215">
        <v>20220</v>
      </c>
      <c r="T10" s="215">
        <v>18062</v>
      </c>
      <c r="U10" s="215">
        <v>20848</v>
      </c>
      <c r="V10" s="215">
        <v>31642</v>
      </c>
      <c r="W10" s="215">
        <v>28732</v>
      </c>
      <c r="X10" s="215">
        <v>27595.525853990002</v>
      </c>
      <c r="Y10" s="215">
        <v>35583.665756010007</v>
      </c>
      <c r="Z10" s="215">
        <v>32216.678920199993</v>
      </c>
      <c r="AA10" s="215">
        <v>33601</v>
      </c>
      <c r="AB10" s="215">
        <v>40628</v>
      </c>
      <c r="AC10" s="215">
        <v>40576</v>
      </c>
      <c r="AD10" s="215">
        <v>42339</v>
      </c>
      <c r="AE10" s="215"/>
      <c r="AF10" s="358">
        <f t="shared" si="2"/>
        <v>4.3449329652996749E-2</v>
      </c>
      <c r="AG10" s="358">
        <f t="shared" si="3"/>
        <v>0.3141950511060676</v>
      </c>
    </row>
    <row r="11" spans="2:37" ht="13" customHeight="1">
      <c r="B11" s="100" t="str">
        <f>IF('Summary | Sumário'!D$6=Names!B$3,Names!AC10,Names!AD10)</f>
        <v>Cashback expenses</v>
      </c>
      <c r="C11" s="214">
        <v>0</v>
      </c>
      <c r="D11" s="214">
        <v>-59976</v>
      </c>
      <c r="E11" s="214">
        <v>-251363</v>
      </c>
      <c r="F11" s="214">
        <v>-321438</v>
      </c>
      <c r="G11" s="214">
        <v>-236482</v>
      </c>
      <c r="H11" s="214">
        <v>-360561.95250999997</v>
      </c>
      <c r="I11" s="214">
        <v>-273207</v>
      </c>
      <c r="J11" s="215"/>
      <c r="K11" s="214">
        <v>-38482.660000000003</v>
      </c>
      <c r="L11" s="214">
        <v>-60184</v>
      </c>
      <c r="M11" s="214">
        <v>-65808</v>
      </c>
      <c r="N11" s="214">
        <v>-86888.34</v>
      </c>
      <c r="O11" s="214">
        <v>-82542</v>
      </c>
      <c r="P11" s="214">
        <v>-85250</v>
      </c>
      <c r="Q11" s="214">
        <v>-76420</v>
      </c>
      <c r="R11" s="214">
        <v>-77226</v>
      </c>
      <c r="S11" s="214">
        <v>-67268</v>
      </c>
      <c r="T11" s="214">
        <v>-58005</v>
      </c>
      <c r="U11" s="214">
        <v>-48391</v>
      </c>
      <c r="V11" s="214">
        <v>-62818</v>
      </c>
      <c r="W11" s="214">
        <v>-63381.686999999998</v>
      </c>
      <c r="X11" s="214">
        <v>-91044.550029999999</v>
      </c>
      <c r="Y11" s="214">
        <v>-104280.54006</v>
      </c>
      <c r="Z11" s="214">
        <v>-101855.17541999999</v>
      </c>
      <c r="AA11" s="214">
        <v>-68120</v>
      </c>
      <c r="AB11" s="214">
        <v>-58376</v>
      </c>
      <c r="AC11" s="214">
        <v>-75042</v>
      </c>
      <c r="AD11" s="214">
        <v>-71669</v>
      </c>
      <c r="AE11" s="215"/>
      <c r="AF11" s="359">
        <f t="shared" si="2"/>
        <v>-4.4948162362410393E-2</v>
      </c>
      <c r="AG11" s="359">
        <f t="shared" si="3"/>
        <v>-0.29636368790812284</v>
      </c>
    </row>
    <row r="12" spans="2:37" ht="13" customHeight="1">
      <c r="B12" s="496" t="str">
        <f>IF('Summary | Sumário'!D$6=Names!B$3,Names!AC11,Names!AD11)</f>
        <v>Inter Loop</v>
      </c>
      <c r="C12" s="215">
        <v>0</v>
      </c>
      <c r="D12" s="215">
        <v>0</v>
      </c>
      <c r="E12" s="215">
        <v>0</v>
      </c>
      <c r="F12" s="215">
        <v>0</v>
      </c>
      <c r="G12" s="215">
        <v>-66571</v>
      </c>
      <c r="H12" s="215">
        <v>-126233.79137000001</v>
      </c>
      <c r="I12" s="215">
        <v>-165404</v>
      </c>
      <c r="J12" s="215"/>
      <c r="K12" s="215">
        <v>0</v>
      </c>
      <c r="L12" s="215">
        <v>0</v>
      </c>
      <c r="M12" s="215">
        <v>0</v>
      </c>
      <c r="N12" s="215">
        <v>0</v>
      </c>
      <c r="O12" s="215">
        <v>0</v>
      </c>
      <c r="P12" s="215">
        <v>0</v>
      </c>
      <c r="Q12" s="215">
        <v>0</v>
      </c>
      <c r="R12" s="215">
        <v>0</v>
      </c>
      <c r="S12" s="215">
        <v>0</v>
      </c>
      <c r="T12" s="215">
        <v>-6574</v>
      </c>
      <c r="U12" s="215">
        <v>-26910</v>
      </c>
      <c r="V12" s="215">
        <v>-33087</v>
      </c>
      <c r="W12" s="215">
        <v>-30086.383590000005</v>
      </c>
      <c r="X12" s="215">
        <v>-28632.017450000003</v>
      </c>
      <c r="Y12" s="215">
        <v>-30458.598399999999</v>
      </c>
      <c r="Z12" s="215">
        <v>-37056.791929999992</v>
      </c>
      <c r="AA12" s="215">
        <v>-35976</v>
      </c>
      <c r="AB12" s="215">
        <v>-38534</v>
      </c>
      <c r="AC12" s="215">
        <v>-38856</v>
      </c>
      <c r="AD12" s="215">
        <v>-52038</v>
      </c>
      <c r="AE12" s="215"/>
      <c r="AF12" s="358">
        <f t="shared" si="2"/>
        <v>0.3392526250772081</v>
      </c>
      <c r="AG12" s="358">
        <f t="shared" si="3"/>
        <v>0.4042769837793676</v>
      </c>
    </row>
    <row r="13" spans="2:37" ht="13" customHeight="1">
      <c r="B13" s="100" t="str">
        <f>IF('Summary | Sumário'!D$6=Names!B$3,Names!AC12,Names!AD12)</f>
        <v>Expenses from services and commissions</v>
      </c>
      <c r="C13" s="214">
        <v>-56627.339</v>
      </c>
      <c r="D13" s="214">
        <v>-71611</v>
      </c>
      <c r="E13" s="214">
        <v>-100297</v>
      </c>
      <c r="F13" s="214">
        <v>-129233</v>
      </c>
      <c r="G13" s="214">
        <v>-135582</v>
      </c>
      <c r="H13" s="214">
        <v>-143430.21100000001</v>
      </c>
      <c r="I13" s="214">
        <v>-182202</v>
      </c>
      <c r="J13" s="215"/>
      <c r="K13" s="214">
        <v>-23279</v>
      </c>
      <c r="L13" s="214">
        <v>-21841</v>
      </c>
      <c r="M13" s="214">
        <v>-26430</v>
      </c>
      <c r="N13" s="214">
        <v>-28747</v>
      </c>
      <c r="O13" s="214">
        <v>-28516</v>
      </c>
      <c r="P13" s="214">
        <v>-33954</v>
      </c>
      <c r="Q13" s="214">
        <v>-33404</v>
      </c>
      <c r="R13" s="214">
        <v>-33359</v>
      </c>
      <c r="S13" s="214">
        <v>-35678</v>
      </c>
      <c r="T13" s="214">
        <v>-31723</v>
      </c>
      <c r="U13" s="214">
        <v>-32271</v>
      </c>
      <c r="V13" s="214">
        <v>-35910</v>
      </c>
      <c r="W13" s="214">
        <v>-34021.773478642281</v>
      </c>
      <c r="X13" s="214">
        <v>-32942.008999999998</v>
      </c>
      <c r="Y13" s="214">
        <v>-37676.508000000002</v>
      </c>
      <c r="Z13" s="214">
        <v>-38789.920521357737</v>
      </c>
      <c r="AA13" s="214">
        <v>-40810.6</v>
      </c>
      <c r="AB13" s="214">
        <v>-42997</v>
      </c>
      <c r="AC13" s="214">
        <v>-46809</v>
      </c>
      <c r="AD13" s="214">
        <v>-51585.399999999994</v>
      </c>
      <c r="AE13" s="215"/>
      <c r="AF13" s="359">
        <f t="shared" si="2"/>
        <v>0.10204020594330143</v>
      </c>
      <c r="AG13" s="359">
        <f t="shared" si="3"/>
        <v>0.32986609167185743</v>
      </c>
    </row>
    <row r="14" spans="2:37" ht="13" customHeight="1">
      <c r="B14" s="16" t="str">
        <f>IF('Summary | Sumário'!D$6=Names!B$3,Names!AC21,Names!AD21)</f>
        <v>Other revenues</v>
      </c>
      <c r="C14" s="215">
        <f t="shared" ref="C14:AA14" si="4">SUM(C15:C18)</f>
        <v>46867</v>
      </c>
      <c r="D14" s="215">
        <f t="shared" si="4"/>
        <v>92564</v>
      </c>
      <c r="E14" s="215">
        <f t="shared" si="4"/>
        <v>165415</v>
      </c>
      <c r="F14" s="215">
        <f t="shared" si="4"/>
        <v>288682</v>
      </c>
      <c r="G14" s="215">
        <f t="shared" si="4"/>
        <v>286980</v>
      </c>
      <c r="H14" s="215">
        <f t="shared" si="4"/>
        <v>333570.52926939994</v>
      </c>
      <c r="I14" s="215">
        <f t="shared" ref="I14" si="5">SUM(I15:I18)</f>
        <v>301226</v>
      </c>
      <c r="J14" s="215"/>
      <c r="K14" s="215">
        <f t="shared" si="4"/>
        <v>41623</v>
      </c>
      <c r="L14" s="215">
        <f t="shared" si="4"/>
        <v>69359</v>
      </c>
      <c r="M14" s="215">
        <f t="shared" si="4"/>
        <v>30496</v>
      </c>
      <c r="N14" s="215">
        <f t="shared" si="4"/>
        <v>23937</v>
      </c>
      <c r="O14" s="215">
        <f t="shared" si="4"/>
        <v>95374</v>
      </c>
      <c r="P14" s="215">
        <f t="shared" si="4"/>
        <v>85809</v>
      </c>
      <c r="Q14" s="215">
        <f t="shared" si="4"/>
        <v>46550</v>
      </c>
      <c r="R14" s="215">
        <f t="shared" si="4"/>
        <v>60949</v>
      </c>
      <c r="S14" s="215">
        <f t="shared" si="4"/>
        <v>50958</v>
      </c>
      <c r="T14" s="215">
        <f t="shared" si="4"/>
        <v>54967</v>
      </c>
      <c r="U14" s="215">
        <f t="shared" si="4"/>
        <v>104770.50028000001</v>
      </c>
      <c r="V14" s="215">
        <f t="shared" si="4"/>
        <v>76284.499719999993</v>
      </c>
      <c r="W14" s="215">
        <f t="shared" si="4"/>
        <v>68201</v>
      </c>
      <c r="X14" s="215">
        <f t="shared" si="4"/>
        <v>72531.218238679983</v>
      </c>
      <c r="Y14" s="215">
        <f t="shared" si="4"/>
        <v>81802.620979938802</v>
      </c>
      <c r="Z14" s="215">
        <f t="shared" si="4"/>
        <v>111035.69005078121</v>
      </c>
      <c r="AA14" s="215">
        <f t="shared" si="4"/>
        <v>56093.4</v>
      </c>
      <c r="AB14" s="215">
        <f t="shared" ref="AB14:AC14" si="6">SUM(AB15:AB18)</f>
        <v>81444.399999999994</v>
      </c>
      <c r="AC14" s="215">
        <f t="shared" si="6"/>
        <v>72103</v>
      </c>
      <c r="AD14" s="215">
        <f t="shared" ref="AD14" si="7">SUM(AD15:AD18)</f>
        <v>91585.2</v>
      </c>
      <c r="AE14" s="215"/>
      <c r="AF14" s="358">
        <f t="shared" si="2"/>
        <v>0.2701995756071176</v>
      </c>
      <c r="AG14" s="358">
        <f t="shared" si="3"/>
        <v>-0.1751733162723238</v>
      </c>
    </row>
    <row r="15" spans="2:37" ht="13" customHeight="1">
      <c r="B15" s="100" t="str">
        <f>IF('Summary | Sumário'!D$6=Names!B$3,Names!AC42,Names!AD42)</f>
        <v>Credits from payables with credit card networks</v>
      </c>
      <c r="C15" s="214">
        <v>0</v>
      </c>
      <c r="D15" s="214">
        <v>0</v>
      </c>
      <c r="E15" s="214">
        <v>0</v>
      </c>
      <c r="F15" s="214">
        <v>0</v>
      </c>
      <c r="G15" s="214">
        <v>52316.985379999998</v>
      </c>
      <c r="H15" s="214">
        <v>81740</v>
      </c>
      <c r="I15" s="214">
        <v>156717</v>
      </c>
      <c r="J15" s="215"/>
      <c r="K15" s="214">
        <v>0</v>
      </c>
      <c r="L15" s="214">
        <v>0</v>
      </c>
      <c r="M15" s="214">
        <v>0</v>
      </c>
      <c r="N15" s="214">
        <v>0</v>
      </c>
      <c r="O15" s="214">
        <v>0</v>
      </c>
      <c r="P15" s="214">
        <v>0</v>
      </c>
      <c r="Q15" s="214">
        <v>0</v>
      </c>
      <c r="R15" s="214">
        <v>0</v>
      </c>
      <c r="S15" s="214">
        <v>0</v>
      </c>
      <c r="T15" s="214">
        <v>13028.933999999999</v>
      </c>
      <c r="U15" s="214">
        <v>14002.33604</v>
      </c>
      <c r="V15" s="214">
        <v>25285.715339999995</v>
      </c>
      <c r="W15" s="214">
        <v>17461.62442</v>
      </c>
      <c r="X15" s="214">
        <v>25175.659950000001</v>
      </c>
      <c r="Y15" s="214">
        <v>16552.843199999996</v>
      </c>
      <c r="Z15" s="214">
        <v>22549.872430000003</v>
      </c>
      <c r="AA15" s="214">
        <v>35257</v>
      </c>
      <c r="AB15" s="214">
        <v>35811</v>
      </c>
      <c r="AC15" s="214">
        <v>38581</v>
      </c>
      <c r="AD15" s="214">
        <v>47068</v>
      </c>
      <c r="AE15" s="215"/>
      <c r="AF15" s="359">
        <f t="shared" si="2"/>
        <v>0.21997874601487788</v>
      </c>
      <c r="AG15" s="359">
        <f t="shared" si="3"/>
        <v>1.0872845354717597</v>
      </c>
    </row>
    <row r="16" spans="2:37" ht="13" customHeight="1">
      <c r="B16" s="496" t="str">
        <f>IF('Summary | Sumário'!D$6=Names!B$3,Names!AC16,Names!AD16)</f>
        <v>Performance fees</v>
      </c>
      <c r="C16" s="215">
        <v>24610</v>
      </c>
      <c r="D16" s="215">
        <v>75230</v>
      </c>
      <c r="E16" s="215">
        <v>102863</v>
      </c>
      <c r="F16" s="215">
        <v>150401</v>
      </c>
      <c r="G16" s="215">
        <v>135260</v>
      </c>
      <c r="H16" s="215">
        <v>73649.78379999999</v>
      </c>
      <c r="I16" s="215">
        <v>41574</v>
      </c>
      <c r="J16" s="215"/>
      <c r="K16" s="215">
        <v>29089</v>
      </c>
      <c r="L16" s="215">
        <v>45719</v>
      </c>
      <c r="M16" s="215">
        <v>18654</v>
      </c>
      <c r="N16" s="215">
        <v>9401</v>
      </c>
      <c r="O16" s="215">
        <v>40734</v>
      </c>
      <c r="P16" s="215">
        <v>52204</v>
      </c>
      <c r="Q16" s="215">
        <v>30764</v>
      </c>
      <c r="R16" s="215">
        <v>26699</v>
      </c>
      <c r="S16" s="215">
        <v>28285</v>
      </c>
      <c r="T16" s="215">
        <v>27910</v>
      </c>
      <c r="U16" s="215">
        <v>48644.500280000007</v>
      </c>
      <c r="V16" s="215">
        <v>30420.499719999993</v>
      </c>
      <c r="W16" s="215">
        <v>24264</v>
      </c>
      <c r="X16" s="215">
        <v>16726.843239999995</v>
      </c>
      <c r="Y16" s="215">
        <v>14306.74461</v>
      </c>
      <c r="Z16" s="215">
        <v>18352.195949999994</v>
      </c>
      <c r="AA16" s="215">
        <v>9130.4</v>
      </c>
      <c r="AB16" s="215">
        <v>11653.4</v>
      </c>
      <c r="AC16" s="215">
        <v>9962</v>
      </c>
      <c r="AD16" s="215">
        <v>10828.2</v>
      </c>
      <c r="AE16" s="215"/>
      <c r="AF16" s="358">
        <f t="shared" si="2"/>
        <v>8.6950411563943009E-2</v>
      </c>
      <c r="AG16" s="358">
        <f t="shared" si="3"/>
        <v>-0.40997796506199546</v>
      </c>
    </row>
    <row r="17" spans="2:33" ht="13" customHeight="1">
      <c r="B17" s="100" t="str">
        <f>IF('Summary | Sumário'!D$6=Names!B$3,Names!AC17,Names!AD17)</f>
        <v>Capital gains (losses)</v>
      </c>
      <c r="C17" s="214">
        <v>0</v>
      </c>
      <c r="D17" s="214">
        <v>0</v>
      </c>
      <c r="E17" s="214">
        <v>29330</v>
      </c>
      <c r="F17" s="214">
        <v>66363</v>
      </c>
      <c r="G17" s="214">
        <v>41785</v>
      </c>
      <c r="H17" s="214">
        <v>55538.273229999999</v>
      </c>
      <c r="I17" s="214">
        <v>-23547</v>
      </c>
      <c r="J17" s="215"/>
      <c r="K17" s="214">
        <v>6837</v>
      </c>
      <c r="L17" s="214">
        <v>13917</v>
      </c>
      <c r="M17" s="214">
        <v>4248</v>
      </c>
      <c r="N17" s="214">
        <v>4328</v>
      </c>
      <c r="O17" s="214">
        <v>38486</v>
      </c>
      <c r="P17" s="214">
        <v>22428</v>
      </c>
      <c r="Q17" s="214">
        <v>2651</v>
      </c>
      <c r="R17" s="214">
        <v>2798</v>
      </c>
      <c r="S17" s="214">
        <v>2938</v>
      </c>
      <c r="T17" s="214">
        <v>6149</v>
      </c>
      <c r="U17" s="214">
        <v>25341</v>
      </c>
      <c r="V17" s="214">
        <v>7357</v>
      </c>
      <c r="W17" s="214">
        <v>3255</v>
      </c>
      <c r="X17" s="214">
        <v>5533.7366399999992</v>
      </c>
      <c r="Y17" s="214">
        <v>7716.9919500000005</v>
      </c>
      <c r="Z17" s="214">
        <v>39032.54464</v>
      </c>
      <c r="AA17" s="214">
        <v>-1952</v>
      </c>
      <c r="AB17" s="214">
        <v>1965</v>
      </c>
      <c r="AC17" s="214">
        <v>-15266</v>
      </c>
      <c r="AD17" s="214">
        <v>-8294</v>
      </c>
      <c r="AE17" s="215"/>
      <c r="AF17" s="359">
        <f t="shared" si="2"/>
        <v>-0.45670116598978117</v>
      </c>
      <c r="AG17" s="359">
        <f t="shared" si="3"/>
        <v>-1.2124893489905966</v>
      </c>
    </row>
    <row r="18" spans="2:33" ht="13" customHeight="1">
      <c r="B18" s="496" t="str">
        <f>IF('Summary | Sumário'!D$6=Names!B$3,Names!AC19,Names!AD19)</f>
        <v>Other revenue</v>
      </c>
      <c r="C18" s="215">
        <v>22257</v>
      </c>
      <c r="D18" s="215">
        <v>17334</v>
      </c>
      <c r="E18" s="215">
        <v>33222</v>
      </c>
      <c r="F18" s="215">
        <v>71918</v>
      </c>
      <c r="G18" s="215">
        <v>57618.014620000009</v>
      </c>
      <c r="H18" s="215">
        <v>122642.4722394</v>
      </c>
      <c r="I18" s="215">
        <v>126482</v>
      </c>
      <c r="J18" s="215"/>
      <c r="K18" s="215">
        <v>5697</v>
      </c>
      <c r="L18" s="215">
        <v>9723</v>
      </c>
      <c r="M18" s="215">
        <v>7594</v>
      </c>
      <c r="N18" s="215">
        <v>10208</v>
      </c>
      <c r="O18" s="215">
        <v>16154</v>
      </c>
      <c r="P18" s="215">
        <v>11177</v>
      </c>
      <c r="Q18" s="215">
        <v>13135</v>
      </c>
      <c r="R18" s="215">
        <v>31452</v>
      </c>
      <c r="S18" s="215">
        <v>19735</v>
      </c>
      <c r="T18" s="215">
        <v>7879.0659999999989</v>
      </c>
      <c r="U18" s="215">
        <v>16782.663960000005</v>
      </c>
      <c r="V18" s="215">
        <v>13221.284660000005</v>
      </c>
      <c r="W18" s="215">
        <v>23220.37558</v>
      </c>
      <c r="X18" s="215">
        <v>25094.978408679988</v>
      </c>
      <c r="Y18" s="215">
        <v>43226.041219938801</v>
      </c>
      <c r="Z18" s="215">
        <v>31101.07703078122</v>
      </c>
      <c r="AA18" s="215">
        <v>13658</v>
      </c>
      <c r="AB18" s="215">
        <v>32015</v>
      </c>
      <c r="AC18" s="215">
        <v>38826</v>
      </c>
      <c r="AD18" s="215">
        <v>41983</v>
      </c>
      <c r="AE18" s="215"/>
      <c r="AF18" s="358">
        <f t="shared" si="2"/>
        <v>8.131149229897483E-2</v>
      </c>
      <c r="AG18" s="358">
        <f t="shared" si="3"/>
        <v>0.34988894302434526</v>
      </c>
    </row>
    <row r="19" spans="2:33" ht="13" customHeight="1">
      <c r="B19" s="298" t="str">
        <f>IF('Summary | Sumário'!D$6=Names!B$3,Names!AC26,Names!AD26)</f>
        <v>Net fee revenues</v>
      </c>
      <c r="C19" s="282">
        <f t="shared" ref="C19:H19" si="8">C5+C14</f>
        <v>120696.66099999999</v>
      </c>
      <c r="D19" s="282">
        <f t="shared" si="8"/>
        <v>278098</v>
      </c>
      <c r="E19" s="282">
        <f t="shared" si="8"/>
        <v>607687</v>
      </c>
      <c r="F19" s="282">
        <f t="shared" si="8"/>
        <v>1127488</v>
      </c>
      <c r="G19" s="282">
        <f t="shared" si="8"/>
        <v>1455780.6</v>
      </c>
      <c r="H19" s="282">
        <f t="shared" si="8"/>
        <v>1943420.8032693998</v>
      </c>
      <c r="I19" s="282">
        <f t="shared" ref="I19" si="9">I5+I14</f>
        <v>2127119</v>
      </c>
      <c r="J19" s="227"/>
      <c r="K19" s="282">
        <f t="shared" ref="K19:AA19" si="10">K5+K14</f>
        <v>119309</v>
      </c>
      <c r="L19" s="282">
        <f t="shared" si="10"/>
        <v>158429</v>
      </c>
      <c r="M19" s="282">
        <f t="shared" si="10"/>
        <v>153349</v>
      </c>
      <c r="N19" s="282">
        <f t="shared" si="10"/>
        <v>176600</v>
      </c>
      <c r="O19" s="282">
        <f t="shared" si="10"/>
        <v>273077</v>
      </c>
      <c r="P19" s="282">
        <f t="shared" si="10"/>
        <v>290370</v>
      </c>
      <c r="Q19" s="282">
        <f t="shared" si="10"/>
        <v>263579</v>
      </c>
      <c r="R19" s="282">
        <f t="shared" si="10"/>
        <v>300462</v>
      </c>
      <c r="S19" s="282">
        <f t="shared" si="10"/>
        <v>297633</v>
      </c>
      <c r="T19" s="282">
        <f t="shared" si="10"/>
        <v>321768</v>
      </c>
      <c r="U19" s="282">
        <f t="shared" si="10"/>
        <v>420279.50028000004</v>
      </c>
      <c r="V19" s="282">
        <f t="shared" si="10"/>
        <v>416100.09971999994</v>
      </c>
      <c r="W19" s="282">
        <f t="shared" si="10"/>
        <v>408518.39485153224</v>
      </c>
      <c r="X19" s="282">
        <f t="shared" si="10"/>
        <v>436732.08523867995</v>
      </c>
      <c r="Y19" s="282">
        <f t="shared" si="10"/>
        <v>511793.11297993874</v>
      </c>
      <c r="Z19" s="282">
        <f t="shared" si="10"/>
        <v>586377.21019924898</v>
      </c>
      <c r="AA19" s="282">
        <f t="shared" si="10"/>
        <v>475206.80000000005</v>
      </c>
      <c r="AB19" s="282">
        <f t="shared" ref="AB19:AC19" si="11">AB5+AB14</f>
        <v>533575.4</v>
      </c>
      <c r="AC19" s="282">
        <f t="shared" si="11"/>
        <v>539473</v>
      </c>
      <c r="AD19" s="282">
        <f t="shared" ref="AD19" si="12">AD5+AD14</f>
        <v>578863.79999999993</v>
      </c>
      <c r="AE19" s="227"/>
      <c r="AF19" s="360">
        <f t="shared" si="2"/>
        <v>7.3017185290088493E-2</v>
      </c>
      <c r="AG19" s="360">
        <f t="shared" si="3"/>
        <v>-1.2813271164982765E-2</v>
      </c>
    </row>
    <row r="21" spans="2:33" ht="13" customHeight="1">
      <c r="H21" s="157"/>
      <c r="I21" s="157"/>
      <c r="AC21" s="188"/>
      <c r="AD21" s="188"/>
    </row>
    <row r="22" spans="2:33" ht="13" customHeight="1">
      <c r="AC22" s="188"/>
    </row>
  </sheetData>
  <sheetProtection algorithmName="SHA-512" hashValue="v7ajwsBQut2K4BdSCZUlcLnzueiyU/cci5WASFQAxY8kuuiak6QlaFD6XsJLku4LfCYpYjzIabuhLai3EFLPNg==" saltValue="x5Uk5pRUylphw2WzYgZ0e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32387ac-e78b-4690-a915-72ca2ef0e251">
      <UserInfo>
        <DisplayName/>
        <AccountId xsi:nil="true"/>
        <AccountType/>
      </UserInfo>
    </SharedWithUsers>
    <lcf76f155ced4ddcb4097134ff3c332f xmlns="5d9f6fee-b6ef-4fa4-8eca-ab2ea167719e">
      <Terms xmlns="http://schemas.microsoft.com/office/infopath/2007/PartnerControls"/>
    </lcf76f155ced4ddcb4097134ff3c332f>
    <TaxCatchAll xmlns="732387ac-e78b-4690-a915-72ca2ef0e251" xsi:nil="true"/>
    <_Flow_SignoffStatus xmlns="5d9f6fee-b6ef-4fa4-8eca-ab2ea16771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818A26B56FC449FC3FC4B33B773FD" ma:contentTypeVersion="18" ma:contentTypeDescription="Create a new document." ma:contentTypeScope="" ma:versionID="b9ad7aee12bc649a3ef2129b69982034">
  <xsd:schema xmlns:xsd="http://www.w3.org/2001/XMLSchema" xmlns:xs="http://www.w3.org/2001/XMLSchema" xmlns:p="http://schemas.microsoft.com/office/2006/metadata/properties" xmlns:ns2="5d9f6fee-b6ef-4fa4-8eca-ab2ea167719e" xmlns:ns3="732387ac-e78b-4690-a915-72ca2ef0e251" targetNamespace="http://schemas.microsoft.com/office/2006/metadata/properties" ma:root="true" ma:fieldsID="097652a21bdd59a19721fc128af81717" ns2:_="" ns3:_="">
    <xsd:import namespace="5d9f6fee-b6ef-4fa4-8eca-ab2ea167719e"/>
    <xsd:import namespace="732387ac-e78b-4690-a915-72ca2ef0e2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9f6fee-b6ef-4fa4-8eca-ab2ea16771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5be271f-47c9-4e56-9709-cda91bb854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Flow_SignoffStatus" ma:index="24" nillable="true" ma:displayName="Sign-off status"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2387ac-e78b-4690-a915-72ca2ef0e2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12c62a7-6304-4677-961b-98b31ee99232}" ma:internalName="TaxCatchAll" ma:showField="CatchAllData" ma:web="732387ac-e78b-4690-a915-72ca2ef0e2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3CD487-4B02-4B36-BF83-23F3D0CAFBF1}">
  <ds:schemaRefs>
    <ds:schemaRef ds:uri="http://schemas.microsoft.com/sharepoint/v3/contenttype/forms"/>
  </ds:schemaRefs>
</ds:datastoreItem>
</file>

<file path=customXml/itemProps2.xml><?xml version="1.0" encoding="utf-8"?>
<ds:datastoreItem xmlns:ds="http://schemas.openxmlformats.org/officeDocument/2006/customXml" ds:itemID="{A72DE5B4-D031-4212-9547-CB6B5BD9375B}">
  <ds:schemaRefs>
    <ds:schemaRef ds:uri="http://schemas.microsoft.com/office/infopath/2007/PartnerControls"/>
    <ds:schemaRef ds:uri="http://purl.org/dc/terms/"/>
    <ds:schemaRef ds:uri="http://www.w3.org/XML/1998/namespace"/>
    <ds:schemaRef ds:uri="http://schemas.openxmlformats.org/package/2006/metadata/core-properties"/>
    <ds:schemaRef ds:uri="http://purl.org/dc/elements/1.1/"/>
    <ds:schemaRef ds:uri="http://schemas.microsoft.com/office/2006/documentManagement/types"/>
    <ds:schemaRef ds:uri="http://purl.org/dc/dcmitype/"/>
    <ds:schemaRef ds:uri="732387ac-e78b-4690-a915-72ca2ef0e251"/>
    <ds:schemaRef ds:uri="5d9f6fee-b6ef-4fa4-8eca-ab2ea167719e"/>
    <ds:schemaRef ds:uri="http://schemas.microsoft.com/office/2006/metadata/properties"/>
  </ds:schemaRefs>
</ds:datastoreItem>
</file>

<file path=customXml/itemProps3.xml><?xml version="1.0" encoding="utf-8"?>
<ds:datastoreItem xmlns:ds="http://schemas.openxmlformats.org/officeDocument/2006/customXml" ds:itemID="{B3B0A6F4-F81F-43D0-A624-9BB39235F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9f6fee-b6ef-4fa4-8eca-ab2ea167719e"/>
    <ds:schemaRef ds:uri="732387ac-e78b-4690-a915-72ca2ef0e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30</vt:i4>
      </vt:variant>
    </vt:vector>
  </HeadingPairs>
  <TitlesOfParts>
    <vt:vector size="30" baseType="lpstr">
      <vt:lpstr>Names</vt:lpstr>
      <vt:lpstr>Summary | Sumário</vt:lpstr>
      <vt:lpstr>1. Highlights</vt:lpstr>
      <vt:lpstr>2. BS | BP</vt:lpstr>
      <vt:lpstr>3. IS | DRE</vt:lpstr>
      <vt:lpstr>4. Funding</vt:lpstr>
      <vt:lpstr>5. IEP</vt:lpstr>
      <vt:lpstr>6. NII</vt:lpstr>
      <vt:lpstr>7. Fee Revenue | R. de Serv </vt:lpstr>
      <vt:lpstr>8. Expenses</vt:lpstr>
      <vt:lpstr>9. Financial KPIs | KPIs Fin.</vt:lpstr>
      <vt:lpstr>9.1 Asset Quality</vt:lpstr>
      <vt:lpstr>9.2 NIM &amp; Yields</vt:lpstr>
      <vt:lpstr>9.3 Fee Income Ratio</vt:lpstr>
      <vt:lpstr>9.4 Efficiency | Eficiência</vt:lpstr>
      <vt:lpstr>9.5 CTS | Custo de servir </vt:lpstr>
      <vt:lpstr>9.6 ARPAC</vt:lpstr>
      <vt:lpstr>9.7 Cost of Funding</vt:lpstr>
      <vt:lpstr>9.8 ROE</vt:lpstr>
      <vt:lpstr>9.9 Capital | Basileia</vt:lpstr>
      <vt:lpstr>9.10 Income Tax Rate</vt:lpstr>
      <vt:lpstr>1. Inter Invest</vt:lpstr>
      <vt:lpstr>2. Inter Seguros</vt:lpstr>
      <vt:lpstr>3. Inter Shop</vt:lpstr>
      <vt:lpstr>4. Digital Acou. | Conta Di</vt:lpstr>
      <vt:lpstr>5. Oper. KPIs | KPIs Oper.</vt:lpstr>
      <vt:lpstr>1. Market Data | Dado de Mer.</vt:lpstr>
      <vt:lpstr>2. Simulation | Simulação</vt:lpstr>
      <vt:lpstr>2. Disclaimer</vt:lpstr>
      <vt:lpstr>3. Glossary | Glossário</vt:lpstr>
    </vt:vector>
  </TitlesOfParts>
  <Manager/>
  <Company>Inter&amp;Co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Inter&amp;Co - Historical Data</dc:title>
  <dc:subject/>
  <dc:creator>Fernand Marinho Fernandes</dc:creator>
  <cp:keywords/>
  <dc:description/>
  <cp:lastModifiedBy>Gabriel Araripe Alencar Silva</cp:lastModifiedBy>
  <cp:revision/>
  <dcterms:created xsi:type="dcterms:W3CDTF">2016-08-05T17:50:49Z</dcterms:created>
  <dcterms:modified xsi:type="dcterms:W3CDTF">2026-02-11T12:24:17Z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d24d9c5-38c1-495b-ab07-d4fc08626d86_Enabled">
    <vt:lpwstr>true</vt:lpwstr>
  </property>
  <property fmtid="{D5CDD505-2E9C-101B-9397-08002B2CF9AE}" pid="3" name="MSIP_Label_5d24d9c5-38c1-495b-ab07-d4fc08626d86_SetDate">
    <vt:lpwstr>2022-02-22T04:35:44Z</vt:lpwstr>
  </property>
  <property fmtid="{D5CDD505-2E9C-101B-9397-08002B2CF9AE}" pid="4" name="MSIP_Label_5d24d9c5-38c1-495b-ab07-d4fc08626d86_Method">
    <vt:lpwstr>Privileged</vt:lpwstr>
  </property>
  <property fmtid="{D5CDD505-2E9C-101B-9397-08002B2CF9AE}" pid="5" name="MSIP_Label_5d24d9c5-38c1-495b-ab07-d4fc08626d86_Name">
    <vt:lpwstr>Público</vt:lpwstr>
  </property>
  <property fmtid="{D5CDD505-2E9C-101B-9397-08002B2CF9AE}" pid="6" name="MSIP_Label_5d24d9c5-38c1-495b-ab07-d4fc08626d86_SiteId">
    <vt:lpwstr>05e665c9-c502-4a19-98a5-a913a6f52be8</vt:lpwstr>
  </property>
  <property fmtid="{D5CDD505-2E9C-101B-9397-08002B2CF9AE}" pid="7" name="MSIP_Label_5d24d9c5-38c1-495b-ab07-d4fc08626d86_ActionId">
    <vt:lpwstr>5a590cc8-4202-46c6-9f11-08b8c9841dbb</vt:lpwstr>
  </property>
  <property fmtid="{D5CDD505-2E9C-101B-9397-08002B2CF9AE}" pid="8" name="MSIP_Label_5d24d9c5-38c1-495b-ab07-d4fc08626d86_ContentBits">
    <vt:lpwstr>0</vt:lpwstr>
  </property>
  <property fmtid="{D5CDD505-2E9C-101B-9397-08002B2CF9AE}" pid="9" name="ContentTypeId">
    <vt:lpwstr>0x0101003BE818A26B56FC449FC3FC4B33B773FD</vt:lpwstr>
  </property>
  <property fmtid="{D5CDD505-2E9C-101B-9397-08002B2CF9AE}" pid="10" name="Order">
    <vt:i4>174300</vt:i4>
  </property>
  <property fmtid="{D5CDD505-2E9C-101B-9397-08002B2CF9AE}" pid="11" name="SharedWithUsers">
    <vt:lpwstr>149;#Clara Andrade Santi;#18;#Felipe Lobo Rezende;#1109;#Pedro Henrique Leite Bontempo</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activity">
    <vt:lpwstr>{"FileActivityType":"9","FileActivityTimeStamp":"2022-11-08T17:41:21.233Z","FileActivityUsersOnPage":[{"DisplayName":"Maria Clara Loschi Ferreira","Id":"bi001615@bancointer.com.br"},{"DisplayName":"Pedro Henrique Leite Bontempo","Id":"bi005720@bancointer.com.br"}]}</vt:lpwstr>
  </property>
  <property fmtid="{D5CDD505-2E9C-101B-9397-08002B2CF9AE}" pid="16" name="_ExtendedDescription">
    <vt:lpwstr/>
  </property>
  <property fmtid="{D5CDD505-2E9C-101B-9397-08002B2CF9AE}" pid="17" name="TriggerFlowInfo">
    <vt:lpwstr/>
  </property>
  <property fmtid="{D5CDD505-2E9C-101B-9397-08002B2CF9AE}" pid="18" name="xd_ProgID">
    <vt:lpwstr/>
  </property>
  <property fmtid="{D5CDD505-2E9C-101B-9397-08002B2CF9AE}" pid="19" name="TemplateUrl">
    <vt:lpwstr/>
  </property>
  <property fmtid="{D5CDD505-2E9C-101B-9397-08002B2CF9AE}" pid="20" name="xd_Signature">
    <vt:bool>false</vt:bool>
  </property>
  <property fmtid="{D5CDD505-2E9C-101B-9397-08002B2CF9AE}" pid="21" name="MediaServiceImageTags">
    <vt:lpwstr/>
  </property>
</Properties>
</file>