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https://intermediumsa.sharepoint.com/sites/TimeRI855/Documentos Compartilhados/General/Inter&amp;Co IR Base/Séries Históricas/1. Website Version/05. 3Q24/"/>
    </mc:Choice>
  </mc:AlternateContent>
  <xr:revisionPtr revIDLastSave="2" documentId="13_ncr:1_{22F5EEEB-23AB-0B49-894D-50E6923A17EA}" xr6:coauthVersionLast="47" xr6:coauthVersionMax="47" xr10:uidLastSave="{48F80838-4622-D94B-9090-790BC3710B9C}"/>
  <bookViews>
    <workbookView xWindow="-2880" yWindow="-21100" windowWidth="38400" windowHeight="21100" tabRatio="502" activeTab="1" xr2:uid="{00000000-000D-0000-FFFF-FFFF00000000}"/>
  </bookViews>
  <sheets>
    <sheet name="Names" sheetId="40" state="hidden" r:id="rId1"/>
    <sheet name="Summary | Sumário" sheetId="13" r:id="rId2"/>
    <sheet name="1. Highlights" sheetId="48" r:id="rId3"/>
    <sheet name="2. BS | BP" sheetId="20" r:id="rId4"/>
    <sheet name="3. IS | DRE" sheetId="18" r:id="rId5"/>
    <sheet name="4. Credit | Crédito" sheetId="19" r:id="rId6"/>
    <sheet name="5. Funding" sheetId="41" r:id="rId7"/>
    <sheet name="6. Fee Revenue | R. de Serviços" sheetId="35" r:id="rId8"/>
    <sheet name="7. Financial KPIs (Financeiros)" sheetId="28" r:id="rId9"/>
    <sheet name="7.1. Tier I Ratio | Basileia" sheetId="42" r:id="rId10"/>
    <sheet name="7.2. NIMs" sheetId="36" r:id="rId11"/>
    <sheet name="7.3. Efficiency | Eficiência" sheetId="37" r:id="rId12"/>
    <sheet name="7.4. CTS | Custo de servir" sheetId="38" r:id="rId13"/>
    <sheet name="7.5. ARPAC" sheetId="39" r:id="rId14"/>
    <sheet name="7.6. Cost of Risk" sheetId="51" r:id="rId15"/>
    <sheet name="1. Inter Invest" sheetId="31" r:id="rId16"/>
    <sheet name="2. Inter Seguros" sheetId="30" r:id="rId17"/>
    <sheet name="3. Inter Shop" sheetId="29" r:id="rId18"/>
    <sheet name="4. Digital Acou. | Conta Dig." sheetId="32" r:id="rId19"/>
    <sheet name="5. Oper. KPIs | KPIs Oper." sheetId="23" r:id="rId20"/>
    <sheet name="1. Market Data | Dado de Mer." sheetId="54" r:id="rId21"/>
    <sheet name="2. Simulation | Simulação" sheetId="52" r:id="rId22"/>
    <sheet name="3. Disclaimer" sheetId="46" r:id="rId23"/>
    <sheet name="4. Glossary | Glossário" sheetId="44" r:id="rId24"/>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0" l="1"/>
  <c r="Q23" i="54"/>
  <c r="C22" i="54"/>
  <c r="D22" i="54"/>
  <c r="E22" i="54"/>
  <c r="F22" i="54"/>
  <c r="G22" i="54"/>
  <c r="H22" i="54"/>
  <c r="I22" i="54"/>
  <c r="J22" i="54"/>
  <c r="K22" i="54"/>
  <c r="L22" i="54"/>
  <c r="M22" i="54"/>
  <c r="N22" i="54"/>
  <c r="O22" i="54"/>
  <c r="P22" i="54"/>
  <c r="Q22" i="54"/>
  <c r="V22" i="54"/>
  <c r="Q21" i="54"/>
  <c r="V21" i="54"/>
  <c r="P19" i="54"/>
  <c r="P20" i="54"/>
  <c r="Q20" i="54"/>
  <c r="Q19" i="54"/>
  <c r="Q15" i="54"/>
  <c r="Y15" i="42"/>
  <c r="B12" i="42"/>
  <c r="V17" i="37"/>
  <c r="V28" i="37"/>
  <c r="V19" i="37"/>
  <c r="V32" i="37"/>
  <c r="R30" i="37"/>
  <c r="U20" i="37"/>
  <c r="V18" i="41"/>
  <c r="R18" i="41"/>
  <c r="U18" i="41"/>
  <c r="V50" i="36"/>
  <c r="V51" i="36"/>
  <c r="V53" i="36"/>
  <c r="V55" i="36"/>
  <c r="U50" i="36"/>
  <c r="U51" i="36"/>
  <c r="U53" i="36"/>
  <c r="U55" i="36"/>
  <c r="R50" i="36"/>
  <c r="R51" i="36"/>
  <c r="R53" i="36"/>
  <c r="R55" i="36"/>
  <c r="Q50" i="36"/>
  <c r="Q53" i="36"/>
  <c r="Q55" i="36"/>
  <c r="T51" i="36"/>
  <c r="T53" i="36"/>
  <c r="T55" i="36"/>
  <c r="V6" i="36"/>
  <c r="V5" i="36"/>
  <c r="V22" i="36"/>
  <c r="V23" i="36"/>
  <c r="V25" i="36"/>
  <c r="V27" i="36"/>
  <c r="U22" i="36"/>
  <c r="U23" i="36"/>
  <c r="U25" i="36"/>
  <c r="U27" i="36"/>
  <c r="R6" i="36"/>
  <c r="R23" i="36"/>
  <c r="R25" i="36"/>
  <c r="R27" i="36"/>
  <c r="Q22" i="36"/>
  <c r="Q25" i="36"/>
  <c r="Q27" i="36"/>
  <c r="U6" i="36"/>
  <c r="U5" i="36"/>
  <c r="T22" i="36"/>
  <c r="T25" i="36"/>
  <c r="T27" i="36"/>
  <c r="B15" i="28"/>
  <c r="B13" i="28"/>
  <c r="B12" i="28"/>
  <c r="B31" i="19"/>
  <c r="B30" i="18"/>
  <c r="B29" i="18"/>
  <c r="B28" i="18"/>
  <c r="G2" i="19"/>
  <c r="F2" i="19"/>
  <c r="E2" i="19"/>
  <c r="E32" i="19"/>
  <c r="T13" i="54"/>
  <c r="S13" i="54"/>
  <c r="S14" i="54"/>
  <c r="T14" i="54"/>
  <c r="V19" i="54"/>
  <c r="P13" i="54"/>
  <c r="Q10" i="54"/>
  <c r="Q11" i="54"/>
  <c r="T11" i="54"/>
  <c r="V5" i="28"/>
  <c r="X5" i="28"/>
  <c r="K21" i="48"/>
  <c r="M21" i="48"/>
  <c r="Q9" i="52"/>
  <c r="P9" i="52"/>
  <c r="P32" i="52"/>
  <c r="O9" i="52"/>
  <c r="N9" i="52"/>
  <c r="M9" i="52"/>
  <c r="L9" i="52"/>
  <c r="K9" i="52"/>
  <c r="J9" i="52"/>
  <c r="T22" i="54"/>
  <c r="S22" i="54"/>
  <c r="T21" i="54"/>
  <c r="S21" i="54"/>
  <c r="T20" i="54"/>
  <c r="S20" i="54"/>
  <c r="T19" i="54"/>
  <c r="S19" i="54"/>
  <c r="T18" i="54"/>
  <c r="S18" i="54"/>
  <c r="T15" i="54"/>
  <c r="S15" i="54"/>
  <c r="S11" i="54"/>
  <c r="T10" i="54"/>
  <c r="S10" i="54"/>
  <c r="T6" i="54"/>
  <c r="S6" i="54"/>
  <c r="T5" i="54"/>
  <c r="S5" i="54"/>
  <c r="Q2" i="54"/>
  <c r="S2" i="23"/>
  <c r="S2" i="32"/>
  <c r="R2" i="29"/>
  <c r="S2" i="30"/>
  <c r="S2" i="31"/>
  <c r="V2" i="51"/>
  <c r="V2" i="39"/>
  <c r="V2" i="38"/>
  <c r="V2" i="37"/>
  <c r="V2" i="36"/>
  <c r="Y22" i="42"/>
  <c r="X22" i="42"/>
  <c r="Y21" i="42"/>
  <c r="X21" i="42"/>
  <c r="Y20" i="42"/>
  <c r="X20" i="42"/>
  <c r="Y19" i="42"/>
  <c r="X19" i="42"/>
  <c r="Y18" i="42"/>
  <c r="X18" i="42"/>
  <c r="Y16" i="42"/>
  <c r="X16" i="42"/>
  <c r="X15" i="42"/>
  <c r="Y14" i="42"/>
  <c r="X14" i="42"/>
  <c r="Y11" i="42"/>
  <c r="X11" i="42"/>
  <c r="Y10" i="42"/>
  <c r="X10" i="42"/>
  <c r="Y9" i="42"/>
  <c r="X9" i="42"/>
  <c r="Y8" i="42"/>
  <c r="X8" i="42"/>
  <c r="Y7" i="42"/>
  <c r="X7" i="42"/>
  <c r="Y6" i="42"/>
  <c r="X6" i="42"/>
  <c r="Y5" i="42"/>
  <c r="X5" i="42"/>
  <c r="V2" i="42"/>
  <c r="V2" i="28"/>
  <c r="V2" i="35"/>
  <c r="V2" i="41"/>
  <c r="V2" i="19"/>
  <c r="V2" i="18"/>
  <c r="V2" i="20"/>
  <c r="K2" i="48"/>
  <c r="K24" i="13"/>
  <c r="C23" i="54"/>
  <c r="D23" i="54"/>
  <c r="E23" i="54"/>
  <c r="F23" i="54"/>
  <c r="G23" i="54"/>
  <c r="H23" i="54"/>
  <c r="I23" i="54"/>
  <c r="J23" i="54"/>
  <c r="K23" i="54"/>
  <c r="L23" i="54"/>
  <c r="M23" i="54"/>
  <c r="T23" i="54"/>
  <c r="N23" i="54"/>
  <c r="O23" i="54"/>
  <c r="P23" i="54"/>
  <c r="S23" i="54"/>
  <c r="B27" i="54"/>
  <c r="B26" i="54"/>
  <c r="D13" i="54"/>
  <c r="E13" i="54"/>
  <c r="F13" i="54"/>
  <c r="G13" i="54"/>
  <c r="H13" i="54"/>
  <c r="I13" i="54"/>
  <c r="J13" i="54"/>
  <c r="K13" i="54"/>
  <c r="L13" i="54"/>
  <c r="M13" i="54"/>
  <c r="N13" i="54"/>
  <c r="O13" i="54"/>
  <c r="C13" i="54"/>
  <c r="V4" i="54"/>
  <c r="V5" i="54"/>
  <c r="V6" i="54"/>
  <c r="V9" i="54"/>
  <c r="V13" i="54"/>
  <c r="V20" i="54"/>
  <c r="B23" i="54"/>
  <c r="B22" i="54"/>
  <c r="B21" i="54"/>
  <c r="B20" i="54"/>
  <c r="B19" i="54"/>
  <c r="B18" i="54"/>
  <c r="B17" i="54"/>
  <c r="B15" i="54"/>
  <c r="B14" i="54"/>
  <c r="B13" i="54"/>
  <c r="B11" i="54"/>
  <c r="B10" i="54"/>
  <c r="B9" i="54"/>
  <c r="B8" i="54"/>
  <c r="B6" i="54"/>
  <c r="B5" i="54"/>
  <c r="B4" i="54"/>
  <c r="B2" i="54"/>
  <c r="T2" i="54"/>
  <c r="S2" i="54"/>
  <c r="V2" i="23"/>
  <c r="U2" i="23"/>
  <c r="V2" i="32"/>
  <c r="U2" i="32"/>
  <c r="U2" i="29"/>
  <c r="T2" i="29"/>
  <c r="V2" i="30"/>
  <c r="U2" i="30"/>
  <c r="V2" i="31"/>
  <c r="U2" i="31"/>
  <c r="Y2" i="51"/>
  <c r="X2" i="51"/>
  <c r="Y2" i="39"/>
  <c r="X2" i="39"/>
  <c r="Y2" i="38"/>
  <c r="X2" i="38"/>
  <c r="Y2" i="37"/>
  <c r="X2" i="37"/>
  <c r="Y2" i="36"/>
  <c r="X2" i="36"/>
  <c r="Y2" i="42"/>
  <c r="X2" i="42"/>
  <c r="Y2" i="28"/>
  <c r="X2" i="28"/>
  <c r="Y2" i="35"/>
  <c r="X2" i="35"/>
  <c r="Y2" i="41"/>
  <c r="X2" i="41"/>
  <c r="Y2" i="18"/>
  <c r="Y2" i="19"/>
  <c r="X2" i="19"/>
  <c r="Y2" i="20"/>
  <c r="X2" i="18"/>
  <c r="X2" i="20"/>
  <c r="M2" i="48"/>
  <c r="N2" i="48"/>
  <c r="P2" i="54"/>
  <c r="O2" i="54"/>
  <c r="N2" i="54"/>
  <c r="M2" i="54"/>
  <c r="L2" i="54"/>
  <c r="K2" i="54"/>
  <c r="J2" i="54"/>
  <c r="I2" i="54"/>
  <c r="H2" i="54"/>
  <c r="G2" i="54"/>
  <c r="F2" i="54"/>
  <c r="E2" i="54"/>
  <c r="D2" i="54"/>
  <c r="C2" i="54"/>
  <c r="B37" i="48"/>
  <c r="B35" i="48"/>
  <c r="U5" i="28"/>
  <c r="J21" i="48"/>
  <c r="I22" i="52"/>
  <c r="R2" i="23"/>
  <c r="R2" i="32"/>
  <c r="Q2" i="29"/>
  <c r="R2" i="30"/>
  <c r="R2" i="31"/>
  <c r="U2" i="51"/>
  <c r="V17" i="51"/>
  <c r="U2" i="39"/>
  <c r="U2" i="38"/>
  <c r="U2" i="37"/>
  <c r="U2" i="36"/>
  <c r="U2" i="42"/>
  <c r="T5" i="28"/>
  <c r="S5" i="28"/>
  <c r="U2" i="28"/>
  <c r="U2" i="35"/>
  <c r="U2" i="41"/>
  <c r="U2" i="18"/>
  <c r="T2" i="18"/>
  <c r="S2" i="18"/>
  <c r="U2" i="20"/>
  <c r="B2" i="48"/>
  <c r="J2" i="48"/>
  <c r="U2" i="19"/>
  <c r="T2" i="39"/>
  <c r="I21" i="48"/>
  <c r="B9" i="35"/>
  <c r="B7" i="35"/>
  <c r="B6" i="35"/>
  <c r="C5" i="52"/>
  <c r="C3" i="52"/>
  <c r="Q2" i="23"/>
  <c r="Q2" i="32"/>
  <c r="P2" i="29"/>
  <c r="Q2" i="30"/>
  <c r="Q2" i="31"/>
  <c r="T2" i="51"/>
  <c r="T2" i="38"/>
  <c r="T2" i="37"/>
  <c r="T2" i="36"/>
  <c r="T2" i="42"/>
  <c r="T2" i="28"/>
  <c r="T2" i="35"/>
  <c r="T2" i="41"/>
  <c r="T2" i="19"/>
  <c r="T2" i="20"/>
  <c r="I2" i="48"/>
  <c r="R16" i="28"/>
  <c r="U17" i="51"/>
  <c r="B56" i="36"/>
  <c r="B55" i="36"/>
  <c r="B54" i="36"/>
  <c r="B53" i="36"/>
  <c r="B52" i="36"/>
  <c r="B51" i="36"/>
  <c r="B50" i="36"/>
  <c r="B49" i="36"/>
  <c r="B48" i="36"/>
  <c r="B47" i="36"/>
  <c r="B46" i="36"/>
  <c r="B45" i="36"/>
  <c r="B44" i="36"/>
  <c r="B43" i="36"/>
  <c r="B41" i="36"/>
  <c r="B40" i="36"/>
  <c r="B39" i="36"/>
  <c r="B38" i="36"/>
  <c r="B37" i="36"/>
  <c r="B36" i="36"/>
  <c r="B35" i="36"/>
  <c r="B34" i="36"/>
  <c r="B33" i="36"/>
  <c r="B32" i="36"/>
  <c r="B31" i="36"/>
  <c r="B30" i="36"/>
  <c r="B99" i="19"/>
  <c r="B98" i="19"/>
  <c r="B97" i="19"/>
  <c r="H21" i="48"/>
  <c r="O32" i="52"/>
  <c r="E9" i="52"/>
  <c r="P2" i="23"/>
  <c r="P2" i="32"/>
  <c r="O2" i="29"/>
  <c r="P2" i="30"/>
  <c r="P2" i="31"/>
  <c r="G2" i="51"/>
  <c r="S2" i="51"/>
  <c r="G2" i="39"/>
  <c r="S2" i="39"/>
  <c r="G2" i="38"/>
  <c r="S2" i="38"/>
  <c r="G2" i="37"/>
  <c r="S2" i="37"/>
  <c r="G2" i="36"/>
  <c r="S2" i="36"/>
  <c r="S55" i="36"/>
  <c r="S2" i="42"/>
  <c r="G2" i="42"/>
  <c r="G22" i="42"/>
  <c r="G21" i="42"/>
  <c r="G20" i="42"/>
  <c r="G19" i="42"/>
  <c r="G18" i="42"/>
  <c r="G16" i="42"/>
  <c r="G15" i="42"/>
  <c r="G14" i="42"/>
  <c r="G11" i="42"/>
  <c r="G10" i="42"/>
  <c r="G9" i="42"/>
  <c r="G8" i="42"/>
  <c r="G7" i="42"/>
  <c r="G6" i="42"/>
  <c r="G5" i="42"/>
  <c r="G5" i="28"/>
  <c r="G2" i="28"/>
  <c r="S2" i="28"/>
  <c r="B31" i="35"/>
  <c r="G2" i="35"/>
  <c r="S2" i="35"/>
  <c r="G2" i="41"/>
  <c r="S2" i="41"/>
  <c r="G2" i="18"/>
  <c r="G2" i="20"/>
  <c r="F2" i="20"/>
  <c r="S2" i="20"/>
  <c r="H2" i="48"/>
  <c r="S53" i="36"/>
  <c r="G51" i="36"/>
  <c r="G53" i="36"/>
  <c r="S2" i="19"/>
  <c r="G98" i="19"/>
  <c r="C18" i="52"/>
  <c r="C13" i="52"/>
  <c r="R5" i="28"/>
  <c r="Q5" i="28"/>
  <c r="E5" i="28"/>
  <c r="F5" i="28"/>
  <c r="B33" i="35"/>
  <c r="B17" i="41"/>
  <c r="B23" i="41"/>
  <c r="B25" i="41"/>
  <c r="B25" i="48"/>
  <c r="B87" i="19"/>
  <c r="B73" i="19"/>
  <c r="B9" i="30"/>
  <c r="B71" i="19"/>
  <c r="B95" i="19"/>
  <c r="G21" i="48"/>
  <c r="N21" i="48"/>
  <c r="D72" i="19"/>
  <c r="H72" i="19"/>
  <c r="I72" i="19"/>
  <c r="J72" i="19"/>
  <c r="K72" i="19"/>
  <c r="E72" i="19"/>
  <c r="C72" i="19"/>
  <c r="B66" i="19"/>
  <c r="B74" i="19"/>
  <c r="B72" i="19"/>
  <c r="B70" i="19"/>
  <c r="B69" i="19"/>
  <c r="B68" i="19"/>
  <c r="B67" i="19"/>
  <c r="B65" i="19"/>
  <c r="B85" i="19"/>
  <c r="B10" i="51"/>
  <c r="B9" i="51"/>
  <c r="B8" i="51"/>
  <c r="B7" i="51"/>
  <c r="B6" i="51"/>
  <c r="B5" i="51"/>
  <c r="B4" i="51"/>
  <c r="B46" i="19"/>
  <c r="B47" i="19"/>
  <c r="B48" i="19"/>
  <c r="B49" i="19"/>
  <c r="B50" i="19"/>
  <c r="B53" i="19"/>
  <c r="B54" i="19"/>
  <c r="B55" i="19"/>
  <c r="B94" i="19"/>
  <c r="B93" i="19"/>
  <c r="B92" i="19"/>
  <c r="B91" i="19"/>
  <c r="B90" i="19"/>
  <c r="B89" i="19"/>
  <c r="B86" i="19"/>
  <c r="B84" i="19"/>
  <c r="B83" i="19"/>
  <c r="B82" i="19"/>
  <c r="B81" i="19"/>
  <c r="B80" i="19"/>
  <c r="B79" i="19"/>
  <c r="B78" i="19"/>
  <c r="B77" i="19"/>
  <c r="B76" i="19"/>
  <c r="B61" i="19"/>
  <c r="B62" i="19"/>
  <c r="B58" i="19"/>
  <c r="B59" i="19"/>
  <c r="B60" i="19"/>
  <c r="B56" i="19"/>
  <c r="B57" i="19"/>
  <c r="B51" i="19"/>
  <c r="B52" i="19"/>
  <c r="N35" i="52"/>
  <c r="O2" i="23"/>
  <c r="O2" i="32"/>
  <c r="N2" i="29"/>
  <c r="O2" i="30"/>
  <c r="O2" i="31"/>
  <c r="R2" i="51"/>
  <c r="S17" i="51"/>
  <c r="R2" i="39"/>
  <c r="R2" i="38"/>
  <c r="R2" i="37"/>
  <c r="R2" i="36"/>
  <c r="R2" i="42"/>
  <c r="R2" i="28"/>
  <c r="R2" i="35"/>
  <c r="B36" i="41"/>
  <c r="B27" i="41"/>
  <c r="B24" i="41"/>
  <c r="B22" i="41"/>
  <c r="B21" i="41"/>
  <c r="B20" i="41"/>
  <c r="B19" i="41"/>
  <c r="B18" i="41"/>
  <c r="L35" i="52"/>
  <c r="T18" i="41"/>
  <c r="S18" i="41"/>
  <c r="G18" i="41"/>
  <c r="B9" i="41"/>
  <c r="B14" i="41"/>
  <c r="B13" i="41"/>
  <c r="B12" i="41"/>
  <c r="G12" i="41"/>
  <c r="B11" i="41"/>
  <c r="B10" i="41"/>
  <c r="B15" i="41"/>
  <c r="B8" i="41"/>
  <c r="B7" i="41"/>
  <c r="B6" i="41"/>
  <c r="G6" i="41"/>
  <c r="B5" i="41"/>
  <c r="B4" i="41"/>
  <c r="B46" i="41"/>
  <c r="G7" i="41"/>
  <c r="G9" i="41"/>
  <c r="R2" i="41"/>
  <c r="R2" i="19"/>
  <c r="R2" i="18"/>
  <c r="R2" i="20"/>
  <c r="G2" i="48"/>
  <c r="B28" i="37"/>
  <c r="B26" i="37"/>
  <c r="B27" i="37"/>
  <c r="B13" i="48"/>
  <c r="B40" i="48"/>
  <c r="B39" i="48"/>
  <c r="B38" i="48"/>
  <c r="B36" i="48"/>
  <c r="B34" i="48"/>
  <c r="B33" i="48"/>
  <c r="B31" i="48"/>
  <c r="B30" i="48"/>
  <c r="B29" i="48"/>
  <c r="B28" i="48"/>
  <c r="B26" i="48"/>
  <c r="B24" i="48"/>
  <c r="B23" i="48"/>
  <c r="B21" i="48"/>
  <c r="B20" i="48"/>
  <c r="B19" i="48"/>
  <c r="B18" i="48"/>
  <c r="B17" i="48"/>
  <c r="B15" i="48"/>
  <c r="B14" i="48"/>
  <c r="B12" i="48"/>
  <c r="B11" i="48"/>
  <c r="B9" i="48"/>
  <c r="B8" i="48"/>
  <c r="B7" i="48"/>
  <c r="B6" i="48"/>
  <c r="B5" i="48"/>
  <c r="B4" i="48"/>
  <c r="F2" i="48"/>
  <c r="E2" i="48"/>
  <c r="D2" i="48"/>
  <c r="C2" i="48"/>
  <c r="B32" i="37"/>
  <c r="B33" i="37"/>
  <c r="B34" i="37"/>
  <c r="B29" i="37"/>
  <c r="B30" i="37"/>
  <c r="B31" i="37"/>
  <c r="B25" i="37"/>
  <c r="B23" i="37"/>
  <c r="B17" i="37"/>
  <c r="B18" i="37"/>
  <c r="B19" i="37"/>
  <c r="B20" i="37"/>
  <c r="B21" i="37"/>
  <c r="B22" i="37"/>
  <c r="B16" i="37"/>
  <c r="K18" i="13"/>
  <c r="I35" i="52"/>
  <c r="D9" i="52"/>
  <c r="B13" i="38"/>
  <c r="B10" i="37"/>
  <c r="C47" i="52"/>
  <c r="V9" i="52"/>
  <c r="V32" i="52"/>
  <c r="U9" i="52"/>
  <c r="U32" i="52"/>
  <c r="T9" i="52"/>
  <c r="T32" i="52"/>
  <c r="S9" i="52"/>
  <c r="S32" i="52"/>
  <c r="S8" i="52"/>
  <c r="S31" i="52"/>
  <c r="I33" i="52"/>
  <c r="I34" i="52"/>
  <c r="I36" i="52"/>
  <c r="I37" i="52"/>
  <c r="I39" i="52"/>
  <c r="I40" i="52"/>
  <c r="I41" i="52"/>
  <c r="I42" i="52"/>
  <c r="I43" i="52"/>
  <c r="I32" i="52"/>
  <c r="I12" i="52"/>
  <c r="I14" i="52"/>
  <c r="I15" i="52"/>
  <c r="I17" i="52"/>
  <c r="I18" i="52"/>
  <c r="I20" i="52"/>
  <c r="I21" i="52"/>
  <c r="I23" i="52"/>
  <c r="I25" i="52"/>
  <c r="I26" i="52"/>
  <c r="I10" i="52"/>
  <c r="I11" i="52"/>
  <c r="I9" i="52"/>
  <c r="E24" i="52"/>
  <c r="D24" i="52"/>
  <c r="C24" i="52"/>
  <c r="C25" i="52"/>
  <c r="C26" i="52"/>
  <c r="C27" i="52"/>
  <c r="C9" i="52"/>
  <c r="C10" i="52"/>
  <c r="C11" i="52"/>
  <c r="C12" i="52"/>
  <c r="C14" i="52"/>
  <c r="C15" i="52"/>
  <c r="C16" i="52"/>
  <c r="C17" i="52"/>
  <c r="C19" i="52"/>
  <c r="J32" i="52"/>
  <c r="Q32" i="52"/>
  <c r="N32" i="52"/>
  <c r="M32" i="52"/>
  <c r="L32" i="52"/>
  <c r="K32" i="52"/>
  <c r="H10" i="13"/>
  <c r="K28" i="13"/>
  <c r="K30" i="13"/>
  <c r="K26" i="13"/>
  <c r="BI2" i="40"/>
  <c r="BI1" i="40"/>
  <c r="BG1" i="40"/>
  <c r="BG2" i="40"/>
  <c r="C21" i="48"/>
  <c r="D21" i="48"/>
  <c r="E21" i="48"/>
  <c r="F21" i="48"/>
  <c r="T30" i="37"/>
  <c r="B26" i="39"/>
  <c r="B12" i="39"/>
  <c r="T26" i="39"/>
  <c r="R26" i="39"/>
  <c r="U26" i="39"/>
  <c r="G26" i="39"/>
  <c r="S26" i="39"/>
  <c r="B20" i="51"/>
  <c r="B42" i="19"/>
  <c r="H34" i="13"/>
  <c r="B18" i="51"/>
  <c r="B17" i="51"/>
  <c r="B16" i="51"/>
  <c r="B15" i="51"/>
  <c r="B14" i="51"/>
  <c r="B13" i="51"/>
  <c r="B12" i="51"/>
  <c r="B2" i="51"/>
  <c r="B14" i="18"/>
  <c r="Q2" i="51"/>
  <c r="P2" i="51"/>
  <c r="Q17" i="51"/>
  <c r="O2" i="51"/>
  <c r="N2" i="51"/>
  <c r="M2" i="51"/>
  <c r="N17" i="51"/>
  <c r="L2" i="51"/>
  <c r="M17" i="51"/>
  <c r="K2" i="51"/>
  <c r="J2" i="51"/>
  <c r="I2" i="51"/>
  <c r="J17" i="51"/>
  <c r="H2" i="51"/>
  <c r="F2" i="51"/>
  <c r="E2" i="51"/>
  <c r="D2" i="51"/>
  <c r="H17" i="51"/>
  <c r="C2" i="51"/>
  <c r="C17" i="51"/>
  <c r="C15" i="51"/>
  <c r="B16" i="28"/>
  <c r="N9" i="51"/>
  <c r="J35" i="52"/>
  <c r="R17" i="51"/>
  <c r="K35" i="52"/>
  <c r="I17" i="51"/>
  <c r="J9" i="51"/>
  <c r="K17" i="51"/>
  <c r="K9" i="51"/>
  <c r="N17" i="52"/>
  <c r="B20" i="39"/>
  <c r="B22" i="39"/>
  <c r="B8" i="39"/>
  <c r="B8" i="38"/>
  <c r="B7" i="37"/>
  <c r="T27" i="37"/>
  <c r="B12" i="18"/>
  <c r="B21" i="18"/>
  <c r="B25" i="18"/>
  <c r="M25" i="52"/>
  <c r="O25" i="52"/>
  <c r="B15" i="18"/>
  <c r="B6" i="18"/>
  <c r="B11" i="18"/>
  <c r="B2" i="30"/>
  <c r="N2" i="23"/>
  <c r="N2" i="32"/>
  <c r="M2" i="29"/>
  <c r="N2" i="30"/>
  <c r="N2" i="31"/>
  <c r="Q2" i="39"/>
  <c r="Q2" i="38"/>
  <c r="Q2" i="37"/>
  <c r="Q2" i="36"/>
  <c r="Q2" i="42"/>
  <c r="Q2" i="28"/>
  <c r="P2" i="28"/>
  <c r="Q2" i="35"/>
  <c r="Q2" i="41"/>
  <c r="Q26" i="39"/>
  <c r="Q19" i="37"/>
  <c r="Q18" i="41"/>
  <c r="Q2" i="19"/>
  <c r="Q2" i="18"/>
  <c r="Q2" i="20"/>
  <c r="P2" i="20"/>
  <c r="F6" i="13"/>
  <c r="H12" i="13"/>
  <c r="B4" i="23"/>
  <c r="B4" i="29"/>
  <c r="B4" i="30"/>
  <c r="B4" i="31"/>
  <c r="B11" i="31"/>
  <c r="B10" i="31"/>
  <c r="B9" i="31"/>
  <c r="B8" i="31"/>
  <c r="B7" i="31"/>
  <c r="B6" i="31"/>
  <c r="B5" i="31"/>
  <c r="B2" i="31"/>
  <c r="B4" i="28"/>
  <c r="B10" i="30"/>
  <c r="B8" i="30"/>
  <c r="B7" i="30"/>
  <c r="B6" i="30"/>
  <c r="B5" i="30"/>
  <c r="B14" i="37"/>
  <c r="B13" i="37"/>
  <c r="V33" i="37"/>
  <c r="B12" i="37"/>
  <c r="B11" i="37"/>
  <c r="B9" i="37"/>
  <c r="B8" i="37"/>
  <c r="B6" i="37"/>
  <c r="B5" i="37"/>
  <c r="B4" i="37"/>
  <c r="B2" i="37"/>
  <c r="B26" i="18"/>
  <c r="B23" i="18"/>
  <c r="B22" i="18"/>
  <c r="P22" i="52"/>
  <c r="B20" i="18"/>
  <c r="P21" i="52"/>
  <c r="B19" i="18"/>
  <c r="B18" i="18"/>
  <c r="B17" i="18"/>
  <c r="B10" i="18"/>
  <c r="B9" i="18"/>
  <c r="B7" i="18"/>
  <c r="B5" i="18"/>
  <c r="P11" i="52"/>
  <c r="B4" i="18"/>
  <c r="B2" i="18"/>
  <c r="B12" i="23"/>
  <c r="B11" i="23"/>
  <c r="B10" i="23"/>
  <c r="B9" i="23"/>
  <c r="B8" i="23"/>
  <c r="K6" i="48"/>
  <c r="B7" i="23"/>
  <c r="B6" i="23"/>
  <c r="B5" i="23"/>
  <c r="B2" i="23"/>
  <c r="B13" i="32"/>
  <c r="B12" i="32"/>
  <c r="B11" i="32"/>
  <c r="B10" i="32"/>
  <c r="B9" i="32"/>
  <c r="B7" i="32"/>
  <c r="B6" i="32"/>
  <c r="B5" i="32"/>
  <c r="B4" i="32"/>
  <c r="B2" i="32"/>
  <c r="M2" i="32"/>
  <c r="L2" i="32"/>
  <c r="K2" i="32"/>
  <c r="J2" i="32"/>
  <c r="I2" i="32"/>
  <c r="H2" i="32"/>
  <c r="G2" i="32"/>
  <c r="F2" i="32"/>
  <c r="E2" i="32"/>
  <c r="D2" i="32"/>
  <c r="C2" i="32"/>
  <c r="L2" i="29"/>
  <c r="K2" i="29"/>
  <c r="J2" i="29"/>
  <c r="I2" i="29"/>
  <c r="H2" i="29"/>
  <c r="G2" i="29"/>
  <c r="F2" i="29"/>
  <c r="E2" i="29"/>
  <c r="D2" i="29"/>
  <c r="C2" i="29"/>
  <c r="B11" i="29"/>
  <c r="B10" i="29"/>
  <c r="B9" i="29"/>
  <c r="B8" i="29"/>
  <c r="B7" i="29"/>
  <c r="B6" i="29"/>
  <c r="B5" i="29"/>
  <c r="B2" i="29"/>
  <c r="M2" i="23"/>
  <c r="L2" i="23"/>
  <c r="K2" i="23"/>
  <c r="J2" i="23"/>
  <c r="I2" i="23"/>
  <c r="H2" i="23"/>
  <c r="G2" i="23"/>
  <c r="F2" i="23"/>
  <c r="E2" i="23"/>
  <c r="D2" i="23"/>
  <c r="C2" i="23"/>
  <c r="M2" i="30"/>
  <c r="L2" i="30"/>
  <c r="K2" i="30"/>
  <c r="J2" i="30"/>
  <c r="I2" i="30"/>
  <c r="H2" i="30"/>
  <c r="G2" i="30"/>
  <c r="F2" i="30"/>
  <c r="E2" i="30"/>
  <c r="D2" i="30"/>
  <c r="C2" i="30"/>
  <c r="M2" i="31"/>
  <c r="L2" i="31"/>
  <c r="K2" i="31"/>
  <c r="J2" i="31"/>
  <c r="I2" i="31"/>
  <c r="H2" i="31"/>
  <c r="G2" i="31"/>
  <c r="F2" i="31"/>
  <c r="E2" i="31"/>
  <c r="D2" i="31"/>
  <c r="C2" i="31"/>
  <c r="B31" i="39"/>
  <c r="B30" i="39"/>
  <c r="B29" i="39"/>
  <c r="B28" i="39"/>
  <c r="B27" i="39"/>
  <c r="B25" i="39"/>
  <c r="B24" i="39"/>
  <c r="B23" i="39"/>
  <c r="B21" i="39"/>
  <c r="B19" i="39"/>
  <c r="B18" i="39"/>
  <c r="B16" i="39"/>
  <c r="B15" i="39"/>
  <c r="B14" i="39"/>
  <c r="B13" i="39"/>
  <c r="B11" i="39"/>
  <c r="V25" i="39"/>
  <c r="B10" i="39"/>
  <c r="B9" i="39"/>
  <c r="B7" i="39"/>
  <c r="B6" i="39"/>
  <c r="B5" i="39"/>
  <c r="B4" i="39"/>
  <c r="B2" i="39"/>
  <c r="P2" i="39"/>
  <c r="O2" i="39"/>
  <c r="N2" i="39"/>
  <c r="M2" i="39"/>
  <c r="L2" i="39"/>
  <c r="K2" i="39"/>
  <c r="J2" i="39"/>
  <c r="I2" i="39"/>
  <c r="H2" i="39"/>
  <c r="F2" i="39"/>
  <c r="E2" i="39"/>
  <c r="D2" i="39"/>
  <c r="C2" i="39"/>
  <c r="P2" i="38"/>
  <c r="O2" i="38"/>
  <c r="N2" i="38"/>
  <c r="M2" i="38"/>
  <c r="L2" i="38"/>
  <c r="K2" i="38"/>
  <c r="L13" i="38"/>
  <c r="J2" i="38"/>
  <c r="I2" i="38"/>
  <c r="H2" i="38"/>
  <c r="F2" i="38"/>
  <c r="E2" i="38"/>
  <c r="D2" i="38"/>
  <c r="C2" i="38"/>
  <c r="P2" i="37"/>
  <c r="O2" i="37"/>
  <c r="N2" i="37"/>
  <c r="N27" i="37"/>
  <c r="M2" i="37"/>
  <c r="L2" i="37"/>
  <c r="K2" i="37"/>
  <c r="J2" i="37"/>
  <c r="I2" i="37"/>
  <c r="H2" i="37"/>
  <c r="F2" i="37"/>
  <c r="E2" i="37"/>
  <c r="E33" i="37"/>
  <c r="D2" i="37"/>
  <c r="C2" i="37"/>
  <c r="B14" i="38"/>
  <c r="B12" i="38"/>
  <c r="B11" i="38"/>
  <c r="B10" i="38"/>
  <c r="B9" i="38"/>
  <c r="B7" i="38"/>
  <c r="B6" i="38"/>
  <c r="B5" i="38"/>
  <c r="B4" i="38"/>
  <c r="B2" i="38"/>
  <c r="B28" i="36"/>
  <c r="B27" i="36"/>
  <c r="B26" i="36"/>
  <c r="B25" i="36"/>
  <c r="B24" i="36"/>
  <c r="B23" i="36"/>
  <c r="B22" i="36"/>
  <c r="B21" i="36"/>
  <c r="B20" i="36"/>
  <c r="B19" i="36"/>
  <c r="B18" i="36"/>
  <c r="B17" i="36"/>
  <c r="B16" i="36"/>
  <c r="B14" i="36"/>
  <c r="B13" i="36"/>
  <c r="B12" i="36"/>
  <c r="B11" i="36"/>
  <c r="B10" i="36"/>
  <c r="B9" i="36"/>
  <c r="B8" i="36"/>
  <c r="B7" i="36"/>
  <c r="B6" i="36"/>
  <c r="B5" i="36"/>
  <c r="B4" i="36"/>
  <c r="B2" i="36"/>
  <c r="P2" i="36"/>
  <c r="O2" i="36"/>
  <c r="N2" i="36"/>
  <c r="M2" i="36"/>
  <c r="L2" i="36"/>
  <c r="K2" i="36"/>
  <c r="J2" i="36"/>
  <c r="I2" i="36"/>
  <c r="H2" i="36"/>
  <c r="F2" i="36"/>
  <c r="E2" i="36"/>
  <c r="D2" i="36"/>
  <c r="C2" i="36"/>
  <c r="C51" i="36"/>
  <c r="B22" i="42"/>
  <c r="B21" i="42"/>
  <c r="B20" i="42"/>
  <c r="B19" i="42"/>
  <c r="B18" i="42"/>
  <c r="B17" i="42"/>
  <c r="B16" i="42"/>
  <c r="B15" i="42"/>
  <c r="B14" i="42"/>
  <c r="B13" i="42"/>
  <c r="B11" i="42"/>
  <c r="B10" i="42"/>
  <c r="B9" i="42"/>
  <c r="B8" i="42"/>
  <c r="B7" i="42"/>
  <c r="B6" i="42"/>
  <c r="B5" i="42"/>
  <c r="B4" i="42"/>
  <c r="B2" i="42"/>
  <c r="P2" i="42"/>
  <c r="O2" i="42"/>
  <c r="N2" i="42"/>
  <c r="M2" i="42"/>
  <c r="L2" i="42"/>
  <c r="K2" i="42"/>
  <c r="J2" i="42"/>
  <c r="I2" i="42"/>
  <c r="H2" i="42"/>
  <c r="F2" i="42"/>
  <c r="E2" i="42"/>
  <c r="D2" i="42"/>
  <c r="C2" i="42"/>
  <c r="B14" i="28"/>
  <c r="B11" i="28"/>
  <c r="B10" i="28"/>
  <c r="B9" i="28"/>
  <c r="B8" i="28"/>
  <c r="B7" i="28"/>
  <c r="B6" i="28"/>
  <c r="B5" i="28"/>
  <c r="B2" i="28"/>
  <c r="O2" i="28"/>
  <c r="N2" i="28"/>
  <c r="M2" i="28"/>
  <c r="L2" i="28"/>
  <c r="K2" i="28"/>
  <c r="J2" i="28"/>
  <c r="I2" i="28"/>
  <c r="H2" i="28"/>
  <c r="F2" i="28"/>
  <c r="E2" i="28"/>
  <c r="D2" i="28"/>
  <c r="C2" i="28"/>
  <c r="B32" i="35"/>
  <c r="B30" i="35"/>
  <c r="B29" i="35"/>
  <c r="B28" i="35"/>
  <c r="B27" i="35"/>
  <c r="B25" i="35"/>
  <c r="B24" i="35"/>
  <c r="B23" i="35"/>
  <c r="B22" i="35"/>
  <c r="B20" i="35"/>
  <c r="B19" i="35"/>
  <c r="B18" i="35"/>
  <c r="B17" i="35"/>
  <c r="B16" i="35"/>
  <c r="B15" i="35"/>
  <c r="B13" i="35"/>
  <c r="B12" i="35"/>
  <c r="B11" i="35"/>
  <c r="B10" i="35"/>
  <c r="B8" i="35"/>
  <c r="B5" i="35"/>
  <c r="B4" i="35"/>
  <c r="B2" i="35"/>
  <c r="P2" i="35"/>
  <c r="O2" i="35"/>
  <c r="N2" i="35"/>
  <c r="M2" i="35"/>
  <c r="L2" i="35"/>
  <c r="K2" i="35"/>
  <c r="J2" i="35"/>
  <c r="I2" i="35"/>
  <c r="H2" i="35"/>
  <c r="F2" i="35"/>
  <c r="E2" i="35"/>
  <c r="D2" i="35"/>
  <c r="C2" i="35"/>
  <c r="B44" i="41"/>
  <c r="B43" i="41"/>
  <c r="B42" i="41"/>
  <c r="B41" i="41"/>
  <c r="B40" i="41"/>
  <c r="B39" i="41"/>
  <c r="B38" i="41"/>
  <c r="V37" i="41"/>
  <c r="B37" i="41"/>
  <c r="B34" i="41"/>
  <c r="B33" i="41"/>
  <c r="B32" i="41"/>
  <c r="B31" i="41"/>
  <c r="B30" i="41"/>
  <c r="B29" i="41"/>
  <c r="B28" i="41"/>
  <c r="B2" i="41"/>
  <c r="P2" i="41"/>
  <c r="O2" i="41"/>
  <c r="N2" i="41"/>
  <c r="M2" i="41"/>
  <c r="L2" i="41"/>
  <c r="K2" i="41"/>
  <c r="J2" i="41"/>
  <c r="I2" i="41"/>
  <c r="H2" i="41"/>
  <c r="F2" i="41"/>
  <c r="E2" i="41"/>
  <c r="E18" i="41"/>
  <c r="D2" i="41"/>
  <c r="C2" i="41"/>
  <c r="B63" i="19"/>
  <c r="B45" i="19"/>
  <c r="B44" i="19"/>
  <c r="V87" i="19"/>
  <c r="B43" i="19"/>
  <c r="B41" i="19"/>
  <c r="B40" i="19"/>
  <c r="V84" i="19"/>
  <c r="B39" i="19"/>
  <c r="V82" i="19"/>
  <c r="B38" i="19"/>
  <c r="P79" i="19"/>
  <c r="B37" i="19"/>
  <c r="B36" i="19"/>
  <c r="B35" i="19"/>
  <c r="B33" i="19"/>
  <c r="B32" i="19"/>
  <c r="B30" i="19"/>
  <c r="B28" i="19"/>
  <c r="B27" i="19"/>
  <c r="B26" i="19"/>
  <c r="B25" i="19"/>
  <c r="B23" i="19"/>
  <c r="B22" i="19"/>
  <c r="B21" i="19"/>
  <c r="B20" i="19"/>
  <c r="B19" i="19"/>
  <c r="B17" i="19"/>
  <c r="B16" i="19"/>
  <c r="B15" i="19"/>
  <c r="B14" i="19"/>
  <c r="B12" i="19"/>
  <c r="B11" i="19"/>
  <c r="B10" i="19"/>
  <c r="V73" i="19"/>
  <c r="B9" i="19"/>
  <c r="V71" i="19"/>
  <c r="B8" i="19"/>
  <c r="B7" i="19"/>
  <c r="V68" i="19"/>
  <c r="B6" i="19"/>
  <c r="V67" i="19"/>
  <c r="B5" i="19"/>
  <c r="B4" i="19"/>
  <c r="B2" i="19"/>
  <c r="O2" i="19"/>
  <c r="P2" i="19"/>
  <c r="N2" i="19"/>
  <c r="N67" i="19"/>
  <c r="M2" i="19"/>
  <c r="L2" i="19"/>
  <c r="K2" i="19"/>
  <c r="J2" i="19"/>
  <c r="I2" i="19"/>
  <c r="H2" i="19"/>
  <c r="D2" i="19"/>
  <c r="C2" i="19"/>
  <c r="P2" i="18"/>
  <c r="O2" i="18"/>
  <c r="N2" i="18"/>
  <c r="M2" i="18"/>
  <c r="L2" i="18"/>
  <c r="K2" i="18"/>
  <c r="J2" i="18"/>
  <c r="I2" i="18"/>
  <c r="H2" i="18"/>
  <c r="F2" i="18"/>
  <c r="E2" i="18"/>
  <c r="D2" i="18"/>
  <c r="C2" i="18"/>
  <c r="B41" i="20"/>
  <c r="B40" i="20"/>
  <c r="B38" i="20"/>
  <c r="B37" i="20"/>
  <c r="B36" i="20"/>
  <c r="B35" i="20"/>
  <c r="B34" i="20"/>
  <c r="B33" i="20"/>
  <c r="B32" i="20"/>
  <c r="B31" i="20"/>
  <c r="B29" i="20"/>
  <c r="B28" i="20"/>
  <c r="B27" i="20"/>
  <c r="B26" i="20"/>
  <c r="B25" i="20"/>
  <c r="B24" i="20"/>
  <c r="B23" i="20"/>
  <c r="B22" i="20"/>
  <c r="B21" i="20"/>
  <c r="B20" i="20"/>
  <c r="B19" i="20"/>
  <c r="B17" i="20"/>
  <c r="P37" i="52"/>
  <c r="B16" i="20"/>
  <c r="B15" i="20"/>
  <c r="B14" i="20"/>
  <c r="B13" i="20"/>
  <c r="B12" i="20"/>
  <c r="B11" i="20"/>
  <c r="B10" i="20"/>
  <c r="B9" i="20"/>
  <c r="B8" i="20"/>
  <c r="B7" i="20"/>
  <c r="B6" i="20"/>
  <c r="B5" i="20"/>
  <c r="B4" i="20"/>
  <c r="B2" i="20"/>
  <c r="O2" i="20"/>
  <c r="N2" i="20"/>
  <c r="M2" i="20"/>
  <c r="L2" i="20"/>
  <c r="K2" i="20"/>
  <c r="J2" i="20"/>
  <c r="I2" i="20"/>
  <c r="H2" i="20"/>
  <c r="E2" i="20"/>
  <c r="D2" i="20"/>
  <c r="C2" i="20"/>
  <c r="G9" i="48"/>
  <c r="D9" i="48"/>
  <c r="J9" i="48"/>
  <c r="F9" i="48"/>
  <c r="I9" i="48"/>
  <c r="H9" i="48"/>
  <c r="E9" i="48"/>
  <c r="F5" i="48"/>
  <c r="C5" i="48"/>
  <c r="J5" i="48"/>
  <c r="I5" i="48"/>
  <c r="H5" i="48"/>
  <c r="E5" i="48"/>
  <c r="G6" i="48"/>
  <c r="E6" i="48"/>
  <c r="J6" i="48"/>
  <c r="H6" i="48"/>
  <c r="E12" i="23"/>
  <c r="C6" i="48"/>
  <c r="I6" i="48"/>
  <c r="D6" i="48"/>
  <c r="G25" i="48"/>
  <c r="F25" i="48"/>
  <c r="E25" i="48"/>
  <c r="H25" i="48"/>
  <c r="D25" i="48"/>
  <c r="C25" i="48"/>
  <c r="I25" i="48"/>
  <c r="J25" i="48"/>
  <c r="L26" i="39"/>
  <c r="P30" i="39"/>
  <c r="G30" i="39"/>
  <c r="O30" i="39"/>
  <c r="F30" i="39"/>
  <c r="N30" i="39"/>
  <c r="H30" i="39"/>
  <c r="V30" i="39"/>
  <c r="U30" i="39"/>
  <c r="T30" i="39"/>
  <c r="S30" i="39"/>
  <c r="R30" i="39"/>
  <c r="C30" i="39"/>
  <c r="D30" i="39"/>
  <c r="Q30" i="39"/>
  <c r="M30" i="39"/>
  <c r="K30" i="39"/>
  <c r="J30" i="39"/>
  <c r="I30" i="39"/>
  <c r="U25" i="39"/>
  <c r="M25" i="39"/>
  <c r="E25" i="39"/>
  <c r="T25" i="39"/>
  <c r="L25" i="39"/>
  <c r="D25" i="39"/>
  <c r="S25" i="39"/>
  <c r="K25" i="39"/>
  <c r="C25" i="39"/>
  <c r="O25" i="39"/>
  <c r="F25" i="39"/>
  <c r="P25" i="39"/>
  <c r="N25" i="39"/>
  <c r="J25" i="39"/>
  <c r="I25" i="39"/>
  <c r="H25" i="39"/>
  <c r="G25" i="39"/>
  <c r="Q25" i="39"/>
  <c r="R25" i="39"/>
  <c r="H26" i="39"/>
  <c r="P26" i="39"/>
  <c r="I26" i="39"/>
  <c r="J26" i="39"/>
  <c r="R15" i="39"/>
  <c r="J15" i="39"/>
  <c r="Q15" i="39"/>
  <c r="I15" i="39"/>
  <c r="P15" i="39"/>
  <c r="G15" i="39"/>
  <c r="L15" i="39"/>
  <c r="F15" i="39"/>
  <c r="T15" i="39"/>
  <c r="M15" i="39"/>
  <c r="K15" i="39"/>
  <c r="U15" i="39"/>
  <c r="H15" i="39"/>
  <c r="C15" i="39"/>
  <c r="D15" i="39"/>
  <c r="O15" i="39"/>
  <c r="K26" i="39"/>
  <c r="C26" i="39"/>
  <c r="D26" i="39"/>
  <c r="M26" i="39"/>
  <c r="E26" i="39"/>
  <c r="N26" i="39"/>
  <c r="F26" i="39"/>
  <c r="O26" i="39"/>
  <c r="T13" i="38"/>
  <c r="I13" i="38"/>
  <c r="G13" i="38"/>
  <c r="S13" i="38"/>
  <c r="K13" i="38"/>
  <c r="J13" i="38"/>
  <c r="F13" i="38"/>
  <c r="R13" i="38"/>
  <c r="Q13" i="38"/>
  <c r="P13" i="38"/>
  <c r="V13" i="38"/>
  <c r="H13" i="38"/>
  <c r="U13" i="38"/>
  <c r="M13" i="38"/>
  <c r="C13" i="38"/>
  <c r="D13" i="38"/>
  <c r="J30" i="37"/>
  <c r="J27" i="37"/>
  <c r="K19" i="37"/>
  <c r="K27" i="37"/>
  <c r="U31" i="37"/>
  <c r="E31" i="37"/>
  <c r="L31" i="37"/>
  <c r="Q20" i="37"/>
  <c r="K31" i="37"/>
  <c r="P31" i="37"/>
  <c r="H20" i="37"/>
  <c r="C31" i="37"/>
  <c r="J31" i="37"/>
  <c r="F19" i="37"/>
  <c r="F27" i="37"/>
  <c r="O19" i="37"/>
  <c r="O27" i="37"/>
  <c r="S32" i="37"/>
  <c r="K32" i="37"/>
  <c r="C21" i="37"/>
  <c r="R32" i="37"/>
  <c r="J21" i="37"/>
  <c r="I32" i="37"/>
  <c r="N21" i="37"/>
  <c r="F21" i="37"/>
  <c r="T32" i="37"/>
  <c r="D32" i="37"/>
  <c r="Q32" i="37"/>
  <c r="P32" i="37"/>
  <c r="G21" i="37"/>
  <c r="M21" i="37"/>
  <c r="E32" i="37"/>
  <c r="L32" i="37"/>
  <c r="H21" i="37"/>
  <c r="O32" i="37"/>
  <c r="J17" i="37"/>
  <c r="P17" i="37"/>
  <c r="F17" i="37"/>
  <c r="E17" i="37"/>
  <c r="T17" i="37"/>
  <c r="D17" i="37"/>
  <c r="S17" i="37"/>
  <c r="C17" i="37"/>
  <c r="Q17" i="37"/>
  <c r="H17" i="37"/>
  <c r="L17" i="37"/>
  <c r="K17" i="37"/>
  <c r="I17" i="37"/>
  <c r="G17" i="37"/>
  <c r="C30" i="37"/>
  <c r="C27" i="37"/>
  <c r="T28" i="37"/>
  <c r="L28" i="37"/>
  <c r="D28" i="37"/>
  <c r="K28" i="37"/>
  <c r="H28" i="37"/>
  <c r="O28" i="37"/>
  <c r="G28" i="37"/>
  <c r="N28" i="37"/>
  <c r="M28" i="37"/>
  <c r="S28" i="37"/>
  <c r="R28" i="37"/>
  <c r="I28" i="37"/>
  <c r="P28" i="37"/>
  <c r="F28" i="37"/>
  <c r="E28" i="37"/>
  <c r="C28" i="37"/>
  <c r="J28" i="37"/>
  <c r="Q28" i="37"/>
  <c r="M19" i="37"/>
  <c r="M27" i="37"/>
  <c r="N30" i="37"/>
  <c r="H30" i="37"/>
  <c r="H27" i="37"/>
  <c r="P30" i="37"/>
  <c r="P27" i="37"/>
  <c r="Q22" i="37"/>
  <c r="P22" i="37"/>
  <c r="H22" i="37"/>
  <c r="O33" i="37"/>
  <c r="D33" i="37"/>
  <c r="G22" i="37"/>
  <c r="N22" i="37"/>
  <c r="T33" i="37"/>
  <c r="S33" i="37"/>
  <c r="K33" i="37"/>
  <c r="C33" i="37"/>
  <c r="L33" i="37"/>
  <c r="Y13" i="37"/>
  <c r="J22" i="37"/>
  <c r="I33" i="37"/>
  <c r="F22" i="37"/>
  <c r="M33" i="37"/>
  <c r="L19" i="37"/>
  <c r="L27" i="37"/>
  <c r="D19" i="37"/>
  <c r="D27" i="37"/>
  <c r="E30" i="37"/>
  <c r="E27" i="37"/>
  <c r="I19" i="37"/>
  <c r="I27" i="37"/>
  <c r="J55" i="36"/>
  <c r="J50" i="36"/>
  <c r="J51" i="36"/>
  <c r="J45" i="36"/>
  <c r="J44" i="36"/>
  <c r="J25" i="36"/>
  <c r="O25" i="36"/>
  <c r="N25" i="36"/>
  <c r="D25" i="36"/>
  <c r="M25" i="36"/>
  <c r="C25" i="36"/>
  <c r="L25" i="36"/>
  <c r="H25" i="36"/>
  <c r="P25" i="36"/>
  <c r="K25" i="36"/>
  <c r="F25" i="36"/>
  <c r="M55" i="36"/>
  <c r="M51" i="36"/>
  <c r="M53" i="36"/>
  <c r="M50" i="36"/>
  <c r="P19" i="36"/>
  <c r="H19" i="36"/>
  <c r="O6" i="36"/>
  <c r="O5" i="36"/>
  <c r="G6" i="36"/>
  <c r="G5" i="36"/>
  <c r="G17" i="36"/>
  <c r="N19" i="36"/>
  <c r="F6" i="36"/>
  <c r="F18" i="36"/>
  <c r="T19" i="36"/>
  <c r="I19" i="36"/>
  <c r="S6" i="36"/>
  <c r="S18" i="36"/>
  <c r="E19" i="36"/>
  <c r="D6" i="36"/>
  <c r="D5" i="36"/>
  <c r="Q19" i="36"/>
  <c r="M19" i="36"/>
  <c r="L6" i="36"/>
  <c r="L18" i="36"/>
  <c r="K6" i="36"/>
  <c r="K5" i="36"/>
  <c r="K17" i="36"/>
  <c r="N50" i="36"/>
  <c r="N51" i="36"/>
  <c r="N55" i="36"/>
  <c r="N53" i="36"/>
  <c r="O50" i="36"/>
  <c r="F50" i="36"/>
  <c r="O53" i="36"/>
  <c r="O51" i="36"/>
  <c r="F53" i="36"/>
  <c r="F55" i="36"/>
  <c r="O55" i="36"/>
  <c r="F51" i="36"/>
  <c r="D24" i="36"/>
  <c r="C50" i="36"/>
  <c r="C53" i="36"/>
  <c r="H55" i="36"/>
  <c r="H50" i="36"/>
  <c r="H53" i="36"/>
  <c r="H51" i="36"/>
  <c r="P51" i="36"/>
  <c r="P53" i="36"/>
  <c r="P55" i="36"/>
  <c r="P22" i="36"/>
  <c r="H22" i="36"/>
  <c r="O22" i="36"/>
  <c r="G22" i="36"/>
  <c r="K22" i="36"/>
  <c r="S22" i="36"/>
  <c r="I22" i="36"/>
  <c r="F22" i="36"/>
  <c r="N22" i="36"/>
  <c r="M22" i="36"/>
  <c r="L22" i="36"/>
  <c r="D22" i="36"/>
  <c r="C22" i="36"/>
  <c r="E55" i="36"/>
  <c r="K51" i="36"/>
  <c r="E53" i="36"/>
  <c r="K55" i="36"/>
  <c r="K53" i="36"/>
  <c r="E50" i="36"/>
  <c r="E51" i="36"/>
  <c r="K50" i="36"/>
  <c r="O27" i="36"/>
  <c r="G27" i="36"/>
  <c r="N27" i="36"/>
  <c r="F27" i="36"/>
  <c r="H27" i="36"/>
  <c r="E27" i="36"/>
  <c r="P27" i="36"/>
  <c r="D27" i="36"/>
  <c r="M27" i="36"/>
  <c r="C27" i="36"/>
  <c r="J27" i="36"/>
  <c r="L27" i="36"/>
  <c r="I27" i="36"/>
  <c r="K27" i="36"/>
  <c r="S27" i="36"/>
  <c r="L51" i="36"/>
  <c r="L50" i="36"/>
  <c r="D50" i="36"/>
  <c r="D51" i="36"/>
  <c r="D53" i="36"/>
  <c r="I51" i="36"/>
  <c r="I55" i="36"/>
  <c r="I53" i="36"/>
  <c r="M23" i="36"/>
  <c r="E23" i="36"/>
  <c r="L23" i="36"/>
  <c r="D23" i="36"/>
  <c r="N23" i="36"/>
  <c r="K23" i="36"/>
  <c r="J23" i="36"/>
  <c r="S23" i="36"/>
  <c r="I23" i="36"/>
  <c r="C23" i="36"/>
  <c r="H23" i="36"/>
  <c r="G23" i="36"/>
  <c r="P23" i="36"/>
  <c r="F23" i="36"/>
  <c r="O23" i="36"/>
  <c r="M30" i="35"/>
  <c r="X11" i="35"/>
  <c r="F30" i="35"/>
  <c r="H30" i="35"/>
  <c r="P30" i="35"/>
  <c r="I30" i="35"/>
  <c r="L30" i="35"/>
  <c r="Y10" i="35"/>
  <c r="N30" i="35"/>
  <c r="Y12" i="35"/>
  <c r="J30" i="35"/>
  <c r="X16" i="35"/>
  <c r="Y16" i="35"/>
  <c r="C30" i="35"/>
  <c r="Y18" i="35"/>
  <c r="X18" i="35"/>
  <c r="D30" i="35"/>
  <c r="E30" i="35"/>
  <c r="O30" i="35"/>
  <c r="K30" i="35"/>
  <c r="X31" i="41"/>
  <c r="G31" i="41"/>
  <c r="E31" i="41"/>
  <c r="Y31" i="41"/>
  <c r="F31" i="41"/>
  <c r="N18" i="41"/>
  <c r="F32" i="41"/>
  <c r="E32" i="41"/>
  <c r="G32" i="41"/>
  <c r="F18" i="41"/>
  <c r="O18" i="41"/>
  <c r="F13" i="41"/>
  <c r="F8" i="41"/>
  <c r="F10" i="41"/>
  <c r="F14" i="41"/>
  <c r="F7" i="41"/>
  <c r="F6" i="41"/>
  <c r="F5" i="41"/>
  <c r="F9" i="41"/>
  <c r="C34" i="41"/>
  <c r="X33" i="41"/>
  <c r="E33" i="41"/>
  <c r="G33" i="41"/>
  <c r="Y33" i="41"/>
  <c r="Y43" i="41"/>
  <c r="X43" i="41"/>
  <c r="H18" i="41"/>
  <c r="I18" i="41"/>
  <c r="I11" i="41"/>
  <c r="J18" i="41"/>
  <c r="F28" i="41"/>
  <c r="G28" i="41"/>
  <c r="D34" i="41"/>
  <c r="D40" i="41"/>
  <c r="L34" i="41"/>
  <c r="L40" i="41"/>
  <c r="M41" i="41"/>
  <c r="P34" i="41"/>
  <c r="P40" i="41"/>
  <c r="S37" i="41"/>
  <c r="G37" i="41"/>
  <c r="K37" i="41"/>
  <c r="C37" i="41"/>
  <c r="R37" i="41"/>
  <c r="Y37" i="41"/>
  <c r="J37" i="41"/>
  <c r="Q37" i="41"/>
  <c r="I37" i="41"/>
  <c r="O37" i="41"/>
  <c r="P37" i="41"/>
  <c r="H37" i="41"/>
  <c r="T37" i="41"/>
  <c r="N37" i="41"/>
  <c r="M37" i="41"/>
  <c r="L37" i="41"/>
  <c r="F37" i="41"/>
  <c r="E37" i="41"/>
  <c r="D37" i="41"/>
  <c r="U37" i="41"/>
  <c r="X29" i="41"/>
  <c r="F29" i="41"/>
  <c r="Y29" i="41"/>
  <c r="E29" i="41"/>
  <c r="G29" i="41"/>
  <c r="G30" i="41"/>
  <c r="E30" i="41"/>
  <c r="F30" i="41"/>
  <c r="M18" i="41"/>
  <c r="C18" i="41"/>
  <c r="P18" i="41"/>
  <c r="P11" i="41"/>
  <c r="K18" i="41"/>
  <c r="E10" i="41"/>
  <c r="E6" i="41"/>
  <c r="E8" i="41"/>
  <c r="E12" i="41"/>
  <c r="E5" i="41"/>
  <c r="E7" i="41"/>
  <c r="E14" i="41"/>
  <c r="E9" i="41"/>
  <c r="L18" i="41"/>
  <c r="D18" i="41"/>
  <c r="C83" i="19"/>
  <c r="C86" i="19"/>
  <c r="O69" i="19"/>
  <c r="F69" i="19"/>
  <c r="L69" i="19"/>
  <c r="U69" i="19"/>
  <c r="Q69" i="19"/>
  <c r="N69" i="19"/>
  <c r="J69" i="19"/>
  <c r="T69" i="19"/>
  <c r="I69" i="19"/>
  <c r="H69" i="19"/>
  <c r="P86" i="19"/>
  <c r="H71" i="19"/>
  <c r="F9" i="19"/>
  <c r="D71" i="19"/>
  <c r="D70" i="19"/>
  <c r="G9" i="19"/>
  <c r="I71" i="19"/>
  <c r="Q71" i="19"/>
  <c r="U71" i="19"/>
  <c r="T33" i="19"/>
  <c r="N71" i="19"/>
  <c r="J33" i="19"/>
  <c r="J31" i="19"/>
  <c r="P87" i="19"/>
  <c r="H87" i="19"/>
  <c r="D87" i="19"/>
  <c r="M87" i="19"/>
  <c r="L87" i="19"/>
  <c r="U87" i="19"/>
  <c r="K87" i="19"/>
  <c r="Q87" i="19"/>
  <c r="N87" i="19"/>
  <c r="C87" i="19"/>
  <c r="J87" i="19"/>
  <c r="R87" i="19"/>
  <c r="T87" i="19"/>
  <c r="F98" i="19"/>
  <c r="P73" i="19"/>
  <c r="O73" i="19"/>
  <c r="F73" i="19"/>
  <c r="D73" i="19"/>
  <c r="L73" i="19"/>
  <c r="T73" i="19"/>
  <c r="G10" i="19"/>
  <c r="R73" i="19"/>
  <c r="Q73" i="19"/>
  <c r="J73" i="19"/>
  <c r="I86" i="19"/>
  <c r="Q74" i="19"/>
  <c r="I74" i="19"/>
  <c r="H74" i="19"/>
  <c r="N74" i="19"/>
  <c r="L74" i="19"/>
  <c r="U74" i="19"/>
  <c r="T74" i="19"/>
  <c r="G11" i="19"/>
  <c r="J74" i="19"/>
  <c r="R74" i="19"/>
  <c r="C74" i="19"/>
  <c r="J86" i="19"/>
  <c r="H79" i="19"/>
  <c r="O79" i="19"/>
  <c r="D79" i="19"/>
  <c r="M79" i="19"/>
  <c r="L79" i="19"/>
  <c r="U79" i="19"/>
  <c r="C79" i="19"/>
  <c r="T79" i="19"/>
  <c r="S79" i="19"/>
  <c r="Q79" i="19"/>
  <c r="N79" i="19"/>
  <c r="P82" i="19"/>
  <c r="H82" i="19"/>
  <c r="O82" i="19"/>
  <c r="S82" i="19"/>
  <c r="I82" i="19"/>
  <c r="R82" i="19"/>
  <c r="C82" i="19"/>
  <c r="Q82" i="19"/>
  <c r="J82" i="19"/>
  <c r="U82" i="19"/>
  <c r="T82" i="19"/>
  <c r="L82" i="19"/>
  <c r="N82" i="19"/>
  <c r="M82" i="19"/>
  <c r="M67" i="19"/>
  <c r="T67" i="19"/>
  <c r="K67" i="19"/>
  <c r="E67" i="19"/>
  <c r="L67" i="19"/>
  <c r="G6" i="19"/>
  <c r="J67" i="19"/>
  <c r="H67" i="19"/>
  <c r="D67" i="19"/>
  <c r="P67" i="19"/>
  <c r="F6" i="19"/>
  <c r="P84" i="19"/>
  <c r="H84" i="19"/>
  <c r="O84" i="19"/>
  <c r="D84" i="19"/>
  <c r="M84" i="19"/>
  <c r="L84" i="19"/>
  <c r="K84" i="19"/>
  <c r="I84" i="19"/>
  <c r="C84" i="19"/>
  <c r="T84" i="19"/>
  <c r="S84" i="19"/>
  <c r="Q84" i="19"/>
  <c r="N84" i="19"/>
  <c r="U68" i="19"/>
  <c r="X68" i="19"/>
  <c r="M68" i="19"/>
  <c r="T68" i="19"/>
  <c r="L68" i="19"/>
  <c r="S68" i="19"/>
  <c r="G68" i="19"/>
  <c r="H68" i="19"/>
  <c r="R68" i="19"/>
  <c r="Y68" i="19"/>
  <c r="D68" i="19"/>
  <c r="Q68" i="19"/>
  <c r="P68" i="19"/>
  <c r="F7" i="19"/>
  <c r="I68" i="19"/>
  <c r="N68" i="19"/>
  <c r="J68" i="19"/>
  <c r="N86" i="19"/>
  <c r="D80" i="19"/>
  <c r="D86" i="19"/>
  <c r="L86" i="19"/>
  <c r="M86" i="19"/>
  <c r="G16" i="19"/>
  <c r="Y16" i="19"/>
  <c r="E16" i="19"/>
  <c r="P85" i="19"/>
  <c r="H85" i="19"/>
  <c r="O85" i="19"/>
  <c r="D85" i="19"/>
  <c r="S85" i="19"/>
  <c r="I85" i="19"/>
  <c r="C85" i="19"/>
  <c r="Q85" i="19"/>
  <c r="L85" i="19"/>
  <c r="K85" i="19"/>
  <c r="J85" i="19"/>
  <c r="U85" i="19"/>
  <c r="N85" i="19"/>
  <c r="M85" i="19"/>
  <c r="J17" i="52"/>
  <c r="E13" i="48"/>
  <c r="J25" i="52"/>
  <c r="X10" i="18"/>
  <c r="Y10" i="18"/>
  <c r="X18" i="18"/>
  <c r="Y18" i="18"/>
  <c r="Y19" i="18"/>
  <c r="X19" i="18"/>
  <c r="X4" i="18"/>
  <c r="N10" i="52"/>
  <c r="M10" i="52"/>
  <c r="K10" i="52"/>
  <c r="N21" i="52"/>
  <c r="O21" i="52"/>
  <c r="J21" i="52"/>
  <c r="M21" i="52"/>
  <c r="L21" i="52"/>
  <c r="K21" i="52"/>
  <c r="M11" i="52"/>
  <c r="L11" i="52"/>
  <c r="V11" i="52"/>
  <c r="K11" i="52"/>
  <c r="X5" i="18"/>
  <c r="N11" i="52"/>
  <c r="J11" i="52"/>
  <c r="K22" i="52"/>
  <c r="J22" i="52"/>
  <c r="N22" i="52"/>
  <c r="M22" i="52"/>
  <c r="X7" i="18"/>
  <c r="I14" i="48"/>
  <c r="G14" i="48"/>
  <c r="F14" i="48"/>
  <c r="E14" i="48"/>
  <c r="O14" i="52"/>
  <c r="E15" i="48"/>
  <c r="I15" i="48"/>
  <c r="G15" i="48"/>
  <c r="F15" i="48"/>
  <c r="X12" i="20"/>
  <c r="G12" i="20"/>
  <c r="E12" i="20"/>
  <c r="Y12" i="20"/>
  <c r="F12" i="20"/>
  <c r="K42" i="52"/>
  <c r="C20" i="48"/>
  <c r="J42" i="52"/>
  <c r="D20" i="48"/>
  <c r="N42" i="52"/>
  <c r="E38" i="20"/>
  <c r="G38" i="20"/>
  <c r="G20" i="48"/>
  <c r="F13" i="20"/>
  <c r="E13" i="20"/>
  <c r="G13" i="20"/>
  <c r="Y13" i="20"/>
  <c r="F14" i="20"/>
  <c r="E14" i="20"/>
  <c r="X14" i="20"/>
  <c r="Y14" i="20"/>
  <c r="G14" i="20"/>
  <c r="F23" i="20"/>
  <c r="X23" i="20"/>
  <c r="E23" i="20"/>
  <c r="G23" i="20"/>
  <c r="Y23" i="20"/>
  <c r="G7" i="20"/>
  <c r="E7" i="20"/>
  <c r="Y7" i="20"/>
  <c r="X7" i="20"/>
  <c r="F7" i="20"/>
  <c r="G15" i="20"/>
  <c r="E15" i="20"/>
  <c r="Y15" i="20"/>
  <c r="X15" i="20"/>
  <c r="F15" i="20"/>
  <c r="F33" i="20"/>
  <c r="X33" i="20"/>
  <c r="E33" i="20"/>
  <c r="G33" i="20"/>
  <c r="Y33" i="20"/>
  <c r="X16" i="20"/>
  <c r="G16" i="20"/>
  <c r="E16" i="20"/>
  <c r="F16" i="20"/>
  <c r="Y16" i="20"/>
  <c r="G25" i="20"/>
  <c r="E25" i="20"/>
  <c r="F25" i="20"/>
  <c r="F34" i="20"/>
  <c r="Y34" i="20"/>
  <c r="G34" i="20"/>
  <c r="E34" i="20"/>
  <c r="F9" i="20"/>
  <c r="G9" i="20"/>
  <c r="Y9" i="20"/>
  <c r="E9" i="20"/>
  <c r="F17" i="20"/>
  <c r="E17" i="20"/>
  <c r="N37" i="52"/>
  <c r="N43" i="52"/>
  <c r="G17" i="20"/>
  <c r="L37" i="52"/>
  <c r="L43" i="52"/>
  <c r="K37" i="52"/>
  <c r="K43" i="52"/>
  <c r="J37" i="52"/>
  <c r="J43" i="52"/>
  <c r="X26" i="20"/>
  <c r="Y26" i="20"/>
  <c r="G26" i="20"/>
  <c r="E26" i="20"/>
  <c r="F26" i="20"/>
  <c r="G35" i="20"/>
  <c r="E35" i="20"/>
  <c r="F35" i="20"/>
  <c r="X35" i="20"/>
  <c r="F10" i="20"/>
  <c r="Y10" i="20"/>
  <c r="G10" i="20"/>
  <c r="X10" i="20"/>
  <c r="E10" i="20"/>
  <c r="F27" i="20"/>
  <c r="X27" i="20"/>
  <c r="G27" i="20"/>
  <c r="Y27" i="20"/>
  <c r="E27" i="20"/>
  <c r="X36" i="20"/>
  <c r="Y36" i="20"/>
  <c r="G36" i="20"/>
  <c r="E36" i="20"/>
  <c r="F36" i="20"/>
  <c r="G11" i="20"/>
  <c r="E11" i="20"/>
  <c r="Y11" i="20"/>
  <c r="F11" i="20"/>
  <c r="X11" i="20"/>
  <c r="F20" i="20"/>
  <c r="E20" i="20"/>
  <c r="X20" i="20"/>
  <c r="G20" i="20"/>
  <c r="F28" i="20"/>
  <c r="X28" i="20"/>
  <c r="E28" i="20"/>
  <c r="G28" i="20"/>
  <c r="Y28" i="20"/>
  <c r="F37" i="20"/>
  <c r="X37" i="20"/>
  <c r="G37" i="20"/>
  <c r="Y37" i="20"/>
  <c r="E37" i="20"/>
  <c r="G21" i="20"/>
  <c r="E21" i="20"/>
  <c r="Y21" i="20"/>
  <c r="F21" i="20"/>
  <c r="X22" i="20"/>
  <c r="Y22" i="20"/>
  <c r="G22" i="20"/>
  <c r="E22" i="20"/>
  <c r="F22" i="20"/>
  <c r="X8" i="20"/>
  <c r="G8" i="20"/>
  <c r="E8" i="20"/>
  <c r="Y8" i="20"/>
  <c r="F8" i="20"/>
  <c r="G29" i="20"/>
  <c r="E29" i="20"/>
  <c r="X29" i="20"/>
  <c r="F29" i="20"/>
  <c r="F5" i="20"/>
  <c r="E5" i="20"/>
  <c r="G5" i="20"/>
  <c r="Y5" i="20"/>
  <c r="F6" i="20"/>
  <c r="E6" i="20"/>
  <c r="G6" i="20"/>
  <c r="X6" i="20"/>
  <c r="Y6" i="20"/>
  <c r="G41" i="20"/>
  <c r="E41" i="20"/>
  <c r="F41" i="20"/>
  <c r="F24" i="20"/>
  <c r="Y24" i="20"/>
  <c r="E24" i="20"/>
  <c r="G24" i="20"/>
  <c r="C80" i="19"/>
  <c r="K16" i="13"/>
  <c r="K14" i="13"/>
  <c r="K12" i="13"/>
  <c r="K10" i="13"/>
  <c r="H32" i="13"/>
  <c r="H30" i="13"/>
  <c r="H28" i="13"/>
  <c r="H26" i="13"/>
  <c r="H24" i="13"/>
  <c r="H22" i="13"/>
  <c r="H20" i="13"/>
  <c r="H18" i="13"/>
  <c r="H16" i="13"/>
  <c r="H14" i="13"/>
  <c r="E6" i="42"/>
  <c r="E7" i="42"/>
  <c r="E8" i="42"/>
  <c r="E20" i="42"/>
  <c r="E21" i="42"/>
  <c r="E22" i="42"/>
  <c r="E5" i="42"/>
  <c r="F21" i="42"/>
  <c r="F22" i="42"/>
  <c r="F20" i="42"/>
  <c r="F6" i="42"/>
  <c r="F7" i="42"/>
  <c r="F5" i="42"/>
  <c r="U8" i="23"/>
  <c r="U17" i="37"/>
  <c r="C19" i="37"/>
  <c r="E22" i="36"/>
  <c r="F6" i="48"/>
  <c r="P43" i="52"/>
  <c r="U30" i="35"/>
  <c r="U30" i="37"/>
  <c r="U19" i="37"/>
  <c r="T30" i="35"/>
  <c r="T19" i="37"/>
  <c r="U9" i="51"/>
  <c r="G32" i="36"/>
  <c r="G31" i="36"/>
  <c r="G45" i="36"/>
  <c r="G44" i="36"/>
  <c r="G30" i="35"/>
  <c r="G19" i="37"/>
  <c r="G30" i="37"/>
  <c r="R30" i="35"/>
  <c r="Q30" i="35"/>
  <c r="S32" i="36"/>
  <c r="S31" i="36"/>
  <c r="S45" i="36"/>
  <c r="S44" i="36"/>
  <c r="R19" i="37"/>
  <c r="Q30" i="37"/>
  <c r="S19" i="37"/>
  <c r="S30" i="37"/>
  <c r="S9" i="51"/>
  <c r="R9" i="51"/>
  <c r="R7" i="51"/>
  <c r="O9" i="51"/>
  <c r="O7" i="51"/>
  <c r="G9" i="51"/>
  <c r="I9" i="51"/>
  <c r="I7" i="51"/>
  <c r="P9" i="51"/>
  <c r="Q9" i="51"/>
  <c r="Q7" i="51"/>
  <c r="F9" i="51"/>
  <c r="F7" i="51"/>
  <c r="V20" i="37"/>
  <c r="E16" i="52"/>
  <c r="D16" i="52"/>
  <c r="K14" i="48"/>
  <c r="N14" i="48"/>
  <c r="T20" i="37"/>
  <c r="I13" i="48"/>
  <c r="K15" i="48"/>
  <c r="G31" i="37"/>
  <c r="S31" i="37"/>
  <c r="R20" i="37"/>
  <c r="G13" i="48"/>
  <c r="H13" i="48"/>
  <c r="H14" i="48"/>
  <c r="H15" i="48"/>
  <c r="D20" i="39"/>
  <c r="D19" i="39"/>
  <c r="O20" i="37"/>
  <c r="M31" i="37"/>
  <c r="I20" i="37"/>
  <c r="D31" i="37"/>
  <c r="N20" i="37"/>
  <c r="D13" i="48"/>
  <c r="C13" i="48"/>
  <c r="F31" i="37"/>
  <c r="D14" i="48"/>
  <c r="C14" i="48"/>
  <c r="C15" i="48"/>
  <c r="D15" i="48"/>
  <c r="V6" i="31"/>
  <c r="I22" i="37"/>
  <c r="N7" i="51"/>
  <c r="K12" i="23"/>
  <c r="V5" i="30"/>
  <c r="V9" i="23"/>
  <c r="Q12" i="23"/>
  <c r="X13" i="37"/>
  <c r="V10" i="30"/>
  <c r="J12" i="23"/>
  <c r="P12" i="23"/>
  <c r="V22" i="37"/>
  <c r="U22" i="37"/>
  <c r="R12" i="23"/>
  <c r="U33" i="37"/>
  <c r="H31" i="37"/>
  <c r="R33" i="37"/>
  <c r="Y33" i="37"/>
  <c r="V18" i="36"/>
  <c r="U6" i="32"/>
  <c r="N6" i="48"/>
  <c r="X9" i="20"/>
  <c r="Y6" i="37"/>
  <c r="G12" i="23"/>
  <c r="M30" i="37"/>
  <c r="D19" i="36"/>
  <c r="Y13" i="36"/>
  <c r="X7" i="36"/>
  <c r="V19" i="36"/>
  <c r="O71" i="19"/>
  <c r="F71" i="19"/>
  <c r="V21" i="37"/>
  <c r="C26" i="37"/>
  <c r="K22" i="37"/>
  <c r="U19" i="36"/>
  <c r="R22" i="37"/>
  <c r="I12" i="23"/>
  <c r="D33" i="19"/>
  <c r="D31" i="19"/>
  <c r="E28" i="41"/>
  <c r="E34" i="41"/>
  <c r="E40" i="41"/>
  <c r="U10" i="32"/>
  <c r="V12" i="32"/>
  <c r="G14" i="39"/>
  <c r="L11" i="38"/>
  <c r="N15" i="39"/>
  <c r="Q28" i="39"/>
  <c r="I20" i="48"/>
  <c r="N13" i="32"/>
  <c r="F24" i="48"/>
  <c r="Y31" i="35"/>
  <c r="F33" i="41"/>
  <c r="Q21" i="37"/>
  <c r="T71" i="19"/>
  <c r="F12" i="41"/>
  <c r="I50" i="36"/>
  <c r="K5" i="37"/>
  <c r="R17" i="37"/>
  <c r="X13" i="36"/>
  <c r="X8" i="37"/>
  <c r="U28" i="37"/>
  <c r="X12" i="37"/>
  <c r="U32" i="37"/>
  <c r="U21" i="37"/>
  <c r="S15" i="39"/>
  <c r="O9" i="36"/>
  <c r="R21" i="37"/>
  <c r="Y12" i="37"/>
  <c r="R19" i="36"/>
  <c r="E30" i="39"/>
  <c r="E13" i="32"/>
  <c r="P50" i="36"/>
  <c r="M17" i="37"/>
  <c r="X22" i="36"/>
  <c r="Q15" i="51"/>
  <c r="X10" i="35"/>
  <c r="X52" i="19"/>
  <c r="X6" i="37"/>
  <c r="Y38" i="36"/>
  <c r="J15" i="51"/>
  <c r="X13" i="41"/>
  <c r="Y16" i="51"/>
  <c r="K15" i="51"/>
  <c r="X10" i="37"/>
  <c r="X58" i="19"/>
  <c r="U5" i="23"/>
  <c r="Y6" i="36"/>
  <c r="U7" i="32"/>
  <c r="V31" i="37"/>
  <c r="X11" i="37"/>
  <c r="K5" i="48"/>
  <c r="M5" i="48"/>
  <c r="O42" i="52"/>
  <c r="K20" i="48"/>
  <c r="P42" i="52"/>
  <c r="P69" i="19"/>
  <c r="X10" i="19"/>
  <c r="X12" i="35"/>
  <c r="Y11" i="36"/>
  <c r="L55" i="36"/>
  <c r="C19" i="36"/>
  <c r="J19" i="36"/>
  <c r="G25" i="36"/>
  <c r="E25" i="36"/>
  <c r="J32" i="36"/>
  <c r="J31" i="36"/>
  <c r="J36" i="36"/>
  <c r="N17" i="37"/>
  <c r="M6" i="38"/>
  <c r="M5" i="38"/>
  <c r="X12" i="38"/>
  <c r="C13" i="32"/>
  <c r="V7" i="32"/>
  <c r="H12" i="23"/>
  <c r="V79" i="19"/>
  <c r="V20" i="35"/>
  <c r="V24" i="35"/>
  <c r="V11" i="23"/>
  <c r="N12" i="23"/>
  <c r="F16" i="51"/>
  <c r="G17" i="51"/>
  <c r="P17" i="51"/>
  <c r="P15" i="51"/>
  <c r="V7" i="23"/>
  <c r="J79" i="19"/>
  <c r="I79" i="19"/>
  <c r="C73" i="19"/>
  <c r="M73" i="19"/>
  <c r="S25" i="36"/>
  <c r="I25" i="36"/>
  <c r="I24" i="36"/>
  <c r="O13" i="38"/>
  <c r="D5" i="48"/>
  <c r="L12" i="23"/>
  <c r="U5" i="29"/>
  <c r="K25" i="48"/>
  <c r="N25" i="48"/>
  <c r="L13" i="32"/>
  <c r="D24" i="48"/>
  <c r="P17" i="52"/>
  <c r="X30" i="18"/>
  <c r="P20" i="52"/>
  <c r="V5" i="19"/>
  <c r="C12" i="23"/>
  <c r="C9" i="48"/>
  <c r="V6" i="23"/>
  <c r="T17" i="51"/>
  <c r="T15" i="51"/>
  <c r="G16" i="51"/>
  <c r="S15" i="51"/>
  <c r="Y21" i="18"/>
  <c r="M17" i="52"/>
  <c r="X24" i="41"/>
  <c r="Y30" i="18"/>
  <c r="Y11" i="18"/>
  <c r="Y25" i="18"/>
  <c r="S27" i="37"/>
  <c r="S26" i="37"/>
  <c r="O17" i="52"/>
  <c r="E9" i="51"/>
  <c r="E7" i="51"/>
  <c r="R86" i="19"/>
  <c r="V26" i="39"/>
  <c r="V30" i="37"/>
  <c r="X10" i="41"/>
  <c r="X7" i="41"/>
  <c r="S11" i="41"/>
  <c r="X12" i="41"/>
  <c r="X46" i="19"/>
  <c r="X51" i="19"/>
  <c r="V9" i="30"/>
  <c r="S30" i="35"/>
  <c r="G50" i="36"/>
  <c r="G55" i="36"/>
  <c r="T45" i="36"/>
  <c r="T44" i="36"/>
  <c r="Y98" i="19"/>
  <c r="Y34" i="36"/>
  <c r="X7" i="35"/>
  <c r="Y6" i="35"/>
  <c r="R27" i="37"/>
  <c r="R26" i="37"/>
  <c r="M9" i="51"/>
  <c r="M7" i="51"/>
  <c r="G10" i="41"/>
  <c r="G14" i="41"/>
  <c r="V15" i="51"/>
  <c r="V8" i="31"/>
  <c r="K25" i="52"/>
  <c r="Q32" i="36"/>
  <c r="Q31" i="36"/>
  <c r="P10" i="52"/>
  <c r="N25" i="52"/>
  <c r="D9" i="51"/>
  <c r="Y5" i="41"/>
  <c r="G8" i="41"/>
  <c r="G5" i="41"/>
  <c r="Y8" i="41"/>
  <c r="G8" i="51"/>
  <c r="D83" i="19"/>
  <c r="P35" i="52"/>
  <c r="X37" i="36"/>
  <c r="S13" i="32"/>
  <c r="F13" i="48"/>
  <c r="L17" i="52"/>
  <c r="K7" i="51"/>
  <c r="Y10" i="37"/>
  <c r="X55" i="19"/>
  <c r="X31" i="35"/>
  <c r="X47" i="36"/>
  <c r="G5" i="31"/>
  <c r="K17" i="52"/>
  <c r="X14" i="41"/>
  <c r="S50" i="36"/>
  <c r="Y10" i="41"/>
  <c r="X6" i="41"/>
  <c r="Y5" i="28"/>
  <c r="V85" i="19"/>
  <c r="V86" i="19"/>
  <c r="E10" i="19"/>
  <c r="K68" i="19"/>
  <c r="E68" i="19"/>
  <c r="R85" i="19"/>
  <c r="T85" i="19"/>
  <c r="X50" i="19"/>
  <c r="G50" i="19"/>
  <c r="R67" i="19"/>
  <c r="Y67" i="19"/>
  <c r="M71" i="19"/>
  <c r="L71" i="19"/>
  <c r="X16" i="19"/>
  <c r="P33" i="19"/>
  <c r="P71" i="19"/>
  <c r="M74" i="19"/>
  <c r="D74" i="19"/>
  <c r="Y7" i="19"/>
  <c r="X54" i="19"/>
  <c r="E9" i="19"/>
  <c r="K69" i="19"/>
  <c r="E69" i="19"/>
  <c r="O87" i="19"/>
  <c r="F16" i="19"/>
  <c r="D82" i="19"/>
  <c r="K82" i="19"/>
  <c r="X42" i="19"/>
  <c r="H86" i="19"/>
  <c r="O86" i="19"/>
  <c r="T86" i="19"/>
  <c r="S86" i="19"/>
  <c r="X56" i="19"/>
  <c r="N33" i="19"/>
  <c r="K86" i="19"/>
  <c r="P74" i="19"/>
  <c r="I73" i="19"/>
  <c r="I67" i="19"/>
  <c r="X63" i="19"/>
  <c r="Q86" i="19"/>
  <c r="Y46" i="19"/>
  <c r="R72" i="19"/>
  <c r="P72" i="19"/>
  <c r="O72" i="19"/>
  <c r="N72" i="19"/>
  <c r="N70" i="19"/>
  <c r="X40" i="19"/>
  <c r="K79" i="19"/>
  <c r="N73" i="19"/>
  <c r="H73" i="19"/>
  <c r="D69" i="19"/>
  <c r="R69" i="19"/>
  <c r="M69" i="19"/>
  <c r="X53" i="19"/>
  <c r="Y49" i="19"/>
  <c r="M72" i="19"/>
  <c r="X47" i="19"/>
  <c r="T72" i="19"/>
  <c r="S69" i="19"/>
  <c r="G69" i="19"/>
  <c r="U18" i="36"/>
  <c r="X6" i="36"/>
  <c r="L5" i="36"/>
  <c r="L17" i="36"/>
  <c r="S5" i="36"/>
  <c r="Y11" i="37"/>
  <c r="Y17" i="51"/>
  <c r="Y7" i="41"/>
  <c r="Y18" i="41"/>
  <c r="V5" i="32"/>
  <c r="V6" i="32"/>
  <c r="Y8" i="38"/>
  <c r="I15" i="51"/>
  <c r="Y58" i="19"/>
  <c r="J20" i="52"/>
  <c r="U6" i="23"/>
  <c r="U11" i="23"/>
  <c r="O17" i="51"/>
  <c r="O15" i="51"/>
  <c r="L17" i="51"/>
  <c r="L15" i="51"/>
  <c r="H15" i="51"/>
  <c r="Y7" i="35"/>
  <c r="Y56" i="19"/>
  <c r="V32" i="20"/>
  <c r="E16" i="51"/>
  <c r="F17" i="51"/>
  <c r="Y47" i="19"/>
  <c r="T5" i="29"/>
  <c r="U11" i="32"/>
  <c r="V11" i="32"/>
  <c r="V10" i="23"/>
  <c r="M15" i="51"/>
  <c r="Y24" i="41"/>
  <c r="V30" i="35"/>
  <c r="X30" i="41"/>
  <c r="V6" i="38"/>
  <c r="V5" i="38"/>
  <c r="Y6" i="41"/>
  <c r="Y9" i="41"/>
  <c r="V5" i="23"/>
  <c r="X21" i="18"/>
  <c r="D17" i="51"/>
  <c r="D15" i="51"/>
  <c r="Y47" i="36"/>
  <c r="X16" i="51"/>
  <c r="X19" i="41"/>
  <c r="Y19" i="41"/>
  <c r="V34" i="41"/>
  <c r="R31" i="37"/>
  <c r="F5" i="36"/>
  <c r="Y4" i="18"/>
  <c r="Y38" i="20"/>
  <c r="D55" i="36"/>
  <c r="S33" i="19"/>
  <c r="G33" i="19"/>
  <c r="P20" i="37"/>
  <c r="S87" i="19"/>
  <c r="Q67" i="19"/>
  <c r="Q5" i="19"/>
  <c r="Q15" i="19"/>
  <c r="Q17" i="19"/>
  <c r="K11" i="41"/>
  <c r="E11" i="41"/>
  <c r="E13" i="41"/>
  <c r="U67" i="19"/>
  <c r="X67" i="19"/>
  <c r="S12" i="23"/>
  <c r="K9" i="48"/>
  <c r="M9" i="48"/>
  <c r="R15" i="51"/>
  <c r="S51" i="36"/>
  <c r="L25" i="52"/>
  <c r="X46" i="36"/>
  <c r="X5" i="41"/>
  <c r="V33" i="19"/>
  <c r="Y13" i="41"/>
  <c r="E17" i="51"/>
  <c r="Y40" i="36"/>
  <c r="Y46" i="36"/>
  <c r="Y55" i="19"/>
  <c r="X7" i="37"/>
  <c r="X33" i="36"/>
  <c r="X38" i="36"/>
  <c r="X34" i="36"/>
  <c r="Y37" i="36"/>
  <c r="X40" i="36"/>
  <c r="Y33" i="36"/>
  <c r="U27" i="37"/>
  <c r="X39" i="36"/>
  <c r="Y7" i="37"/>
  <c r="Y12" i="41"/>
  <c r="Y39" i="36"/>
  <c r="X12" i="36"/>
  <c r="V27" i="37"/>
  <c r="J53" i="36"/>
  <c r="L53" i="36"/>
  <c r="Y51" i="36"/>
  <c r="X51" i="36"/>
  <c r="X5" i="36"/>
  <c r="Y53" i="36"/>
  <c r="G32" i="19"/>
  <c r="S72" i="19"/>
  <c r="J33" i="37"/>
  <c r="J34" i="41"/>
  <c r="J40" i="41"/>
  <c r="K41" i="41"/>
  <c r="V13" i="39"/>
  <c r="X9" i="41"/>
  <c r="T32" i="36"/>
  <c r="T31" i="36"/>
  <c r="K73" i="19"/>
  <c r="E73" i="19"/>
  <c r="V11" i="38"/>
  <c r="N32" i="20"/>
  <c r="Y30" i="41"/>
  <c r="V10" i="32"/>
  <c r="Y14" i="41"/>
  <c r="X32" i="37"/>
  <c r="V15" i="39"/>
  <c r="E22" i="37"/>
  <c r="Y20" i="20"/>
  <c r="X34" i="20"/>
  <c r="H70" i="19"/>
  <c r="Y28" i="41"/>
  <c r="H13" i="32"/>
  <c r="Y12" i="38"/>
  <c r="U12" i="32"/>
  <c r="U7" i="23"/>
  <c r="X9" i="28"/>
  <c r="O36" i="36"/>
  <c r="F41" i="19"/>
  <c r="X24" i="20"/>
  <c r="C36" i="36"/>
  <c r="C35" i="36"/>
  <c r="X7" i="19"/>
  <c r="J32" i="20"/>
  <c r="Y25" i="20"/>
  <c r="Y5" i="35"/>
  <c r="L20" i="39"/>
  <c r="L19" i="39"/>
  <c r="Q45" i="36"/>
  <c r="Q44" i="36"/>
  <c r="Y32" i="37"/>
  <c r="H11" i="41"/>
  <c r="G55" i="19"/>
  <c r="O13" i="32"/>
  <c r="G24" i="48"/>
  <c r="Y23" i="35"/>
  <c r="Y29" i="20"/>
  <c r="X22" i="18"/>
  <c r="X37" i="41"/>
  <c r="Y11" i="35"/>
  <c r="L32" i="36"/>
  <c r="L31" i="36"/>
  <c r="Y9" i="38"/>
  <c r="M36" i="36"/>
  <c r="O32" i="20"/>
  <c r="N5" i="19"/>
  <c r="N15" i="19"/>
  <c r="N17" i="19"/>
  <c r="L36" i="36"/>
  <c r="H32" i="37"/>
  <c r="Y7" i="36"/>
  <c r="Y17" i="37"/>
  <c r="S11" i="38"/>
  <c r="G13" i="39"/>
  <c r="X33" i="37"/>
  <c r="Y8" i="37"/>
  <c r="P7" i="51"/>
  <c r="X25" i="20"/>
  <c r="Y6" i="19"/>
  <c r="X6" i="19"/>
  <c r="X36" i="19"/>
  <c r="J11" i="41"/>
  <c r="J15" i="41"/>
  <c r="J21" i="41"/>
  <c r="X17" i="35"/>
  <c r="X5" i="35"/>
  <c r="X11" i="36"/>
  <c r="S71" i="19"/>
  <c r="G71" i="19"/>
  <c r="Y9" i="28"/>
  <c r="Y12" i="36"/>
  <c r="M12" i="23"/>
  <c r="X21" i="20"/>
  <c r="Y35" i="20"/>
  <c r="C52" i="36"/>
  <c r="H24" i="36"/>
  <c r="S31" i="19"/>
  <c r="X31" i="37"/>
  <c r="X10" i="36"/>
  <c r="L13" i="39"/>
  <c r="M32" i="37"/>
  <c r="X17" i="20"/>
  <c r="X13" i="20"/>
  <c r="X38" i="20"/>
  <c r="Y7" i="18"/>
  <c r="I70" i="19"/>
  <c r="I66" i="19"/>
  <c r="Y10" i="36"/>
  <c r="D36" i="36"/>
  <c r="D35" i="36"/>
  <c r="S6" i="38"/>
  <c r="S5" i="38"/>
  <c r="Q20" i="39"/>
  <c r="Q19" i="39"/>
  <c r="P21" i="37"/>
  <c r="U33" i="19"/>
  <c r="U31" i="19"/>
  <c r="V28" i="39"/>
  <c r="C5" i="37"/>
  <c r="X17" i="37"/>
  <c r="G49" i="19"/>
  <c r="M34" i="41"/>
  <c r="M40" i="41"/>
  <c r="N41" i="41"/>
  <c r="I15" i="41"/>
  <c r="I21" i="41"/>
  <c r="T5" i="19"/>
  <c r="T15" i="19"/>
  <c r="T17" i="19"/>
  <c r="Q34" i="41"/>
  <c r="Q40" i="41"/>
  <c r="R41" i="41"/>
  <c r="U34" i="41"/>
  <c r="U40" i="41"/>
  <c r="H33" i="37"/>
  <c r="G34" i="41"/>
  <c r="G40" i="41"/>
  <c r="Q32" i="20"/>
  <c r="L33" i="19"/>
  <c r="O68" i="19"/>
  <c r="F68" i="19"/>
  <c r="F15" i="51"/>
  <c r="T42" i="52"/>
  <c r="H5" i="19"/>
  <c r="H15" i="19"/>
  <c r="H17" i="19"/>
  <c r="V43" i="52"/>
  <c r="I94" i="19"/>
  <c r="S5" i="19"/>
  <c r="G5" i="19"/>
  <c r="J9" i="36"/>
  <c r="O5" i="19"/>
  <c r="O15" i="19"/>
  <c r="O17" i="19"/>
  <c r="F17" i="19"/>
  <c r="K9" i="36"/>
  <c r="U13" i="39"/>
  <c r="J20" i="48"/>
  <c r="M20" i="48"/>
  <c r="J19" i="37"/>
  <c r="P5" i="19"/>
  <c r="P15" i="19"/>
  <c r="P17" i="19"/>
  <c r="E8" i="19"/>
  <c r="U32" i="20"/>
  <c r="X9" i="19"/>
  <c r="T6" i="38"/>
  <c r="T5" i="38"/>
  <c r="K11" i="38"/>
  <c r="I34" i="41"/>
  <c r="I40" i="41"/>
  <c r="J41" i="41"/>
  <c r="J39" i="41"/>
  <c r="J42" i="41"/>
  <c r="J44" i="41"/>
  <c r="X10" i="38"/>
  <c r="Y44" i="19"/>
  <c r="X11" i="19"/>
  <c r="I33" i="19"/>
  <c r="I31" i="19"/>
  <c r="K21" i="37"/>
  <c r="K32" i="20"/>
  <c r="E36" i="36"/>
  <c r="K30" i="37"/>
  <c r="J24" i="36"/>
  <c r="U10" i="23"/>
  <c r="T32" i="20"/>
  <c r="Q93" i="19"/>
  <c r="L11" i="41"/>
  <c r="L15" i="41"/>
  <c r="L21" i="41"/>
  <c r="N34" i="41"/>
  <c r="N40" i="41"/>
  <c r="N39" i="41"/>
  <c r="N42" i="41"/>
  <c r="N44" i="41"/>
  <c r="N11" i="41"/>
  <c r="N15" i="41"/>
  <c r="O22" i="41"/>
  <c r="L13" i="35"/>
  <c r="T9" i="36"/>
  <c r="M11" i="38"/>
  <c r="F87" i="19"/>
  <c r="Y37" i="19"/>
  <c r="J13" i="39"/>
  <c r="O28" i="39"/>
  <c r="U5" i="32"/>
  <c r="U6" i="39"/>
  <c r="J12" i="48"/>
  <c r="L6" i="39"/>
  <c r="L5" i="39"/>
  <c r="G16" i="35"/>
  <c r="T31" i="37"/>
  <c r="E59" i="19"/>
  <c r="D78" i="19"/>
  <c r="D91" i="19"/>
  <c r="T20" i="35"/>
  <c r="T24" i="35"/>
  <c r="I13" i="35"/>
  <c r="S20" i="37"/>
  <c r="E24" i="36"/>
  <c r="E21" i="36"/>
  <c r="J32" i="37"/>
  <c r="H13" i="39"/>
  <c r="E15" i="39"/>
  <c r="F6" i="39"/>
  <c r="F5" i="39"/>
  <c r="Y19" i="37"/>
  <c r="X19" i="37"/>
  <c r="Y7" i="38"/>
  <c r="Y38" i="41"/>
  <c r="Y23" i="36"/>
  <c r="X23" i="36"/>
  <c r="X17" i="51"/>
  <c r="U15" i="51"/>
  <c r="X15" i="51"/>
  <c r="U9" i="23"/>
  <c r="N13" i="38"/>
  <c r="I30" i="37"/>
  <c r="G33" i="37"/>
  <c r="L21" i="37"/>
  <c r="N20" i="48"/>
  <c r="C11" i="41"/>
  <c r="C15" i="41"/>
  <c r="C22" i="41"/>
  <c r="X53" i="36"/>
  <c r="Q6" i="36"/>
  <c r="Q5" i="36"/>
  <c r="Q17" i="36"/>
  <c r="C32" i="20"/>
  <c r="M32" i="20"/>
  <c r="H33" i="19"/>
  <c r="H31" i="19"/>
  <c r="L32" i="20"/>
  <c r="L9" i="36"/>
  <c r="E9" i="36"/>
  <c r="C55" i="36"/>
  <c r="E7" i="19"/>
  <c r="F63" i="19"/>
  <c r="N36" i="36"/>
  <c r="O35" i="36"/>
  <c r="N9" i="36"/>
  <c r="O8" i="36"/>
  <c r="O14" i="36"/>
  <c r="D34" i="48"/>
  <c r="F9" i="36"/>
  <c r="V11" i="41"/>
  <c r="S21" i="37"/>
  <c r="X5" i="20"/>
  <c r="I21" i="36"/>
  <c r="D21" i="36"/>
  <c r="X25" i="36"/>
  <c r="Y55" i="36"/>
  <c r="X55" i="36"/>
  <c r="X50" i="36"/>
  <c r="Y50" i="36"/>
  <c r="H32" i="20"/>
  <c r="R11" i="41"/>
  <c r="R15" i="41"/>
  <c r="I32" i="20"/>
  <c r="V40" i="41"/>
  <c r="O93" i="19"/>
  <c r="H15" i="41"/>
  <c r="H21" i="41"/>
  <c r="N15" i="51"/>
  <c r="I5" i="19"/>
  <c r="I15" i="19"/>
  <c r="I17" i="19"/>
  <c r="R32" i="20"/>
  <c r="F32" i="20"/>
  <c r="G9" i="36"/>
  <c r="E32" i="20"/>
  <c r="E52" i="36"/>
  <c r="E49" i="36"/>
  <c r="C24" i="36"/>
  <c r="C21" i="36"/>
  <c r="C20" i="36"/>
  <c r="J6" i="38"/>
  <c r="J5" i="38"/>
  <c r="H66" i="19"/>
  <c r="L5" i="19"/>
  <c r="L15" i="19"/>
  <c r="L17" i="19"/>
  <c r="Y15" i="51"/>
  <c r="I9" i="36"/>
  <c r="J8" i="36"/>
  <c r="Y32" i="41"/>
  <c r="S34" i="41"/>
  <c r="S40" i="41"/>
  <c r="T41" i="41"/>
  <c r="M5" i="19"/>
  <c r="M15" i="19"/>
  <c r="M17" i="19"/>
  <c r="G8" i="19"/>
  <c r="J22" i="36"/>
  <c r="J21" i="36"/>
  <c r="X32" i="41"/>
  <c r="K13" i="48"/>
  <c r="L42" i="52"/>
  <c r="V42" i="52"/>
  <c r="H9" i="36"/>
  <c r="F34" i="41"/>
  <c r="F40" i="41"/>
  <c r="G41" i="41"/>
  <c r="G7" i="19"/>
  <c r="D9" i="36"/>
  <c r="L22" i="37"/>
  <c r="N6" i="39"/>
  <c r="O20" i="39"/>
  <c r="O19" i="39"/>
  <c r="P32" i="20"/>
  <c r="D32" i="20"/>
  <c r="Y25" i="36"/>
  <c r="Q12" i="19"/>
  <c r="S36" i="36"/>
  <c r="O37" i="52"/>
  <c r="Q33" i="19"/>
  <c r="Q31" i="19"/>
  <c r="M37" i="52"/>
  <c r="M43" i="52"/>
  <c r="P15" i="41"/>
  <c r="J40" i="52"/>
  <c r="J41" i="52"/>
  <c r="I36" i="36"/>
  <c r="J35" i="36"/>
  <c r="J41" i="36"/>
  <c r="X27" i="36"/>
  <c r="F50" i="19"/>
  <c r="X39" i="19"/>
  <c r="J6" i="39"/>
  <c r="J5" i="39"/>
  <c r="X79" i="19"/>
  <c r="E13" i="38"/>
  <c r="K13" i="39"/>
  <c r="C28" i="39"/>
  <c r="P19" i="37"/>
  <c r="N19" i="37"/>
  <c r="X19" i="35"/>
  <c r="Y19" i="35"/>
  <c r="J95" i="19"/>
  <c r="F48" i="19"/>
  <c r="K13" i="35"/>
  <c r="H6" i="39"/>
  <c r="H5" i="39"/>
  <c r="P13" i="32"/>
  <c r="H24" i="48"/>
  <c r="G20" i="39"/>
  <c r="G19" i="39"/>
  <c r="Y36" i="19"/>
  <c r="H19" i="37"/>
  <c r="K14" i="52"/>
  <c r="F12" i="23"/>
  <c r="F79" i="19"/>
  <c r="E55" i="19"/>
  <c r="D20" i="35"/>
  <c r="D24" i="35"/>
  <c r="D25" i="35"/>
  <c r="L28" i="39"/>
  <c r="G13" i="32"/>
  <c r="F13" i="32"/>
  <c r="Q13" i="32"/>
  <c r="I24" i="48"/>
  <c r="F55" i="19"/>
  <c r="F51" i="19"/>
  <c r="Y39" i="19"/>
  <c r="D26" i="37"/>
  <c r="M13" i="32"/>
  <c r="E24" i="48"/>
  <c r="J13" i="32"/>
  <c r="N15" i="48"/>
  <c r="X18" i="36"/>
  <c r="F84" i="19"/>
  <c r="F93" i="19"/>
  <c r="E36" i="19"/>
  <c r="E6" i="36"/>
  <c r="E5" i="36"/>
  <c r="E17" i="36"/>
  <c r="P33" i="37"/>
  <c r="I11" i="38"/>
  <c r="X21" i="37"/>
  <c r="I6" i="39"/>
  <c r="I5" i="39"/>
  <c r="Y20" i="37"/>
  <c r="X23" i="35"/>
  <c r="I13" i="32"/>
  <c r="K13" i="32"/>
  <c r="C24" i="48"/>
  <c r="E44" i="19"/>
  <c r="J20" i="39"/>
  <c r="J19" i="39"/>
  <c r="U28" i="39"/>
  <c r="M6" i="36"/>
  <c r="M18" i="36"/>
  <c r="C11" i="38"/>
  <c r="C22" i="37"/>
  <c r="F32" i="37"/>
  <c r="X7" i="38"/>
  <c r="E6" i="38"/>
  <c r="E5" i="38"/>
  <c r="P13" i="35"/>
  <c r="F30" i="37"/>
  <c r="S13" i="39"/>
  <c r="G9" i="37"/>
  <c r="G29" i="37"/>
  <c r="Y30" i="35"/>
  <c r="E46" i="19"/>
  <c r="F54" i="19"/>
  <c r="X85" i="19"/>
  <c r="O6" i="38"/>
  <c r="O5" i="38"/>
  <c r="G53" i="19"/>
  <c r="R95" i="19"/>
  <c r="M20" i="52"/>
  <c r="D12" i="23"/>
  <c r="D13" i="32"/>
  <c r="N11" i="38"/>
  <c r="G18" i="36"/>
  <c r="K18" i="36"/>
  <c r="I5" i="37"/>
  <c r="G19" i="36"/>
  <c r="E20" i="37"/>
  <c r="F28" i="39"/>
  <c r="E9" i="37"/>
  <c r="E18" i="37"/>
  <c r="E23" i="37"/>
  <c r="V8" i="23"/>
  <c r="U10" i="30"/>
  <c r="Y22" i="37"/>
  <c r="U84" i="19"/>
  <c r="U93" i="19"/>
  <c r="J52" i="36"/>
  <c r="J49" i="36"/>
  <c r="M9" i="37"/>
  <c r="F6" i="38"/>
  <c r="F5" i="38"/>
  <c r="I6" i="38"/>
  <c r="I5" i="38"/>
  <c r="Q9" i="37"/>
  <c r="Q29" i="37"/>
  <c r="T13" i="39"/>
  <c r="G23" i="35"/>
  <c r="X28" i="37"/>
  <c r="Y28" i="37"/>
  <c r="Y45" i="19"/>
  <c r="G39" i="19"/>
  <c r="E48" i="19"/>
  <c r="V13" i="32"/>
  <c r="F82" i="19"/>
  <c r="K6" i="39"/>
  <c r="K5" i="39"/>
  <c r="Q6" i="39"/>
  <c r="F12" i="48"/>
  <c r="C45" i="36"/>
  <c r="C44" i="36"/>
  <c r="F57" i="19"/>
  <c r="Q11" i="38"/>
  <c r="E58" i="19"/>
  <c r="G38" i="19"/>
  <c r="F37" i="19"/>
  <c r="G17" i="35"/>
  <c r="O20" i="35"/>
  <c r="O24" i="35"/>
  <c r="O25" i="35"/>
  <c r="O32" i="35"/>
  <c r="O29" i="35"/>
  <c r="N5" i="31"/>
  <c r="F26" i="48"/>
  <c r="O5" i="31"/>
  <c r="G26" i="48"/>
  <c r="P5" i="31"/>
  <c r="H26" i="48"/>
  <c r="F5" i="31"/>
  <c r="L5" i="31"/>
  <c r="D26" i="48"/>
  <c r="E5" i="31"/>
  <c r="C5" i="31"/>
  <c r="M5" i="31"/>
  <c r="E26" i="48"/>
  <c r="D5" i="31"/>
  <c r="H5" i="31"/>
  <c r="J5" i="31"/>
  <c r="Q5" i="31"/>
  <c r="I26" i="48"/>
  <c r="R5" i="31"/>
  <c r="J26" i="48"/>
  <c r="K5" i="31"/>
  <c r="C26" i="48"/>
  <c r="I5" i="31"/>
  <c r="O10" i="52"/>
  <c r="Y17" i="35"/>
  <c r="C32" i="37"/>
  <c r="O19" i="36"/>
  <c r="E53" i="19"/>
  <c r="K32" i="36"/>
  <c r="K31" i="36"/>
  <c r="O32" i="36"/>
  <c r="O31" i="36"/>
  <c r="M5" i="37"/>
  <c r="H9" i="51"/>
  <c r="H7" i="51"/>
  <c r="T25" i="35"/>
  <c r="T32" i="35"/>
  <c r="T29" i="35"/>
  <c r="O18" i="36"/>
  <c r="E41" i="19"/>
  <c r="N20" i="52"/>
  <c r="T13" i="35"/>
  <c r="Q6" i="38"/>
  <c r="Q5" i="38"/>
  <c r="C66" i="19"/>
  <c r="K9" i="37"/>
  <c r="K29" i="37"/>
  <c r="U11" i="38"/>
  <c r="X11" i="38"/>
  <c r="I13" i="39"/>
  <c r="N28" i="39"/>
  <c r="E19" i="37"/>
  <c r="I6" i="36"/>
  <c r="I5" i="36"/>
  <c r="I17" i="36"/>
  <c r="X11" i="18"/>
  <c r="X43" i="19"/>
  <c r="G5" i="37"/>
  <c r="L10" i="52"/>
  <c r="L12" i="52"/>
  <c r="H6" i="38"/>
  <c r="H5" i="38"/>
  <c r="N20" i="35"/>
  <c r="K52" i="36"/>
  <c r="K49" i="36"/>
  <c r="G59" i="19"/>
  <c r="G56" i="19"/>
  <c r="E54" i="19"/>
  <c r="Y27" i="37"/>
  <c r="G44" i="19"/>
  <c r="F40" i="19"/>
  <c r="F36" i="19"/>
  <c r="F52" i="19"/>
  <c r="E57" i="19"/>
  <c r="E51" i="19"/>
  <c r="T12" i="19"/>
  <c r="I18" i="48"/>
  <c r="T28" i="39"/>
  <c r="C13" i="39"/>
  <c r="E32" i="36"/>
  <c r="E31" i="36"/>
  <c r="F32" i="36"/>
  <c r="F31" i="36"/>
  <c r="I28" i="39"/>
  <c r="X20" i="18"/>
  <c r="Y21" i="37"/>
  <c r="S22" i="37"/>
  <c r="E11" i="38"/>
  <c r="T6" i="36"/>
  <c r="T5" i="36"/>
  <c r="T17" i="36"/>
  <c r="M22" i="37"/>
  <c r="Q31" i="37"/>
  <c r="J10" i="52"/>
  <c r="J12" i="52"/>
  <c r="S15" i="41"/>
  <c r="T22" i="41"/>
  <c r="G11" i="41"/>
  <c r="E19" i="48"/>
  <c r="V41" i="41"/>
  <c r="K33" i="19"/>
  <c r="K31" i="19"/>
  <c r="L12" i="19"/>
  <c r="L99" i="19"/>
  <c r="N9" i="48"/>
  <c r="D5" i="19"/>
  <c r="D15" i="19"/>
  <c r="D17" i="19"/>
  <c r="O11" i="38"/>
  <c r="C6" i="36"/>
  <c r="C18" i="36"/>
  <c r="P70" i="19"/>
  <c r="P66" i="19"/>
  <c r="G13" i="41"/>
  <c r="Y17" i="20"/>
  <c r="S67" i="19"/>
  <c r="G67" i="19"/>
  <c r="D9" i="37"/>
  <c r="F38" i="20"/>
  <c r="F10" i="19"/>
  <c r="J71" i="19"/>
  <c r="J70" i="19"/>
  <c r="M11" i="41"/>
  <c r="M15" i="41"/>
  <c r="U11" i="41"/>
  <c r="X11" i="41"/>
  <c r="D13" i="35"/>
  <c r="I52" i="36"/>
  <c r="I49" i="36"/>
  <c r="Y32" i="20"/>
  <c r="O12" i="23"/>
  <c r="V12" i="23"/>
  <c r="S15" i="19"/>
  <c r="G15" i="19"/>
  <c r="J6" i="36"/>
  <c r="G15" i="51"/>
  <c r="F20" i="48"/>
  <c r="K20" i="39"/>
  <c r="K19" i="39"/>
  <c r="Y15" i="18"/>
  <c r="L31" i="19"/>
  <c r="E20" i="48"/>
  <c r="X32" i="20"/>
  <c r="G36" i="36"/>
  <c r="X37" i="19"/>
  <c r="Y8" i="51"/>
  <c r="K15" i="41"/>
  <c r="L22" i="41"/>
  <c r="L20" i="41"/>
  <c r="L23" i="41"/>
  <c r="L25" i="41"/>
  <c r="G20" i="37"/>
  <c r="X8" i="41"/>
  <c r="D20" i="37"/>
  <c r="G7" i="51"/>
  <c r="J5" i="19"/>
  <c r="F8" i="19"/>
  <c r="D11" i="41"/>
  <c r="D15" i="41"/>
  <c r="E22" i="41"/>
  <c r="K34" i="41"/>
  <c r="K40" i="41"/>
  <c r="H52" i="36"/>
  <c r="H49" i="36"/>
  <c r="K5" i="19"/>
  <c r="U5" i="39"/>
  <c r="U16" i="39"/>
  <c r="J7" i="48"/>
  <c r="E37" i="19"/>
  <c r="S32" i="20"/>
  <c r="G32" i="20"/>
  <c r="M42" i="52"/>
  <c r="X38" i="41"/>
  <c r="Y10" i="19"/>
  <c r="L19" i="36"/>
  <c r="S19" i="36"/>
  <c r="M14" i="52"/>
  <c r="H34" i="41"/>
  <c r="H40" i="41"/>
  <c r="I41" i="41"/>
  <c r="I39" i="41"/>
  <c r="I42" i="41"/>
  <c r="I44" i="41"/>
  <c r="U9" i="36"/>
  <c r="U8" i="36"/>
  <c r="U14" i="36"/>
  <c r="J34" i="48"/>
  <c r="T11" i="41"/>
  <c r="T15" i="41"/>
  <c r="Q11" i="41"/>
  <c r="Q15" i="41"/>
  <c r="K93" i="19"/>
  <c r="F5" i="19"/>
  <c r="Y31" i="37"/>
  <c r="M33" i="19"/>
  <c r="S9" i="36"/>
  <c r="T8" i="36"/>
  <c r="K71" i="19"/>
  <c r="E18" i="36"/>
  <c r="O9" i="37"/>
  <c r="V37" i="52"/>
  <c r="R34" i="41"/>
  <c r="R40" i="41"/>
  <c r="S41" i="41"/>
  <c r="X71" i="19"/>
  <c r="K36" i="36"/>
  <c r="H21" i="36"/>
  <c r="P13" i="39"/>
  <c r="G12" i="38"/>
  <c r="G11" i="38"/>
  <c r="C9" i="36"/>
  <c r="C8" i="36"/>
  <c r="E21" i="37"/>
  <c r="D6" i="39"/>
  <c r="D5" i="39"/>
  <c r="O6" i="39"/>
  <c r="T34" i="41"/>
  <c r="T40" i="41"/>
  <c r="K20" i="35"/>
  <c r="K24" i="35"/>
  <c r="K25" i="35"/>
  <c r="Q9" i="36"/>
  <c r="V15" i="19"/>
  <c r="N12" i="19"/>
  <c r="C18" i="48"/>
  <c r="X6" i="18"/>
  <c r="C33" i="19"/>
  <c r="C5" i="19"/>
  <c r="U5" i="19"/>
  <c r="F20" i="37"/>
  <c r="G31" i="19"/>
  <c r="E15" i="51"/>
  <c r="Y9" i="19"/>
  <c r="R71" i="19"/>
  <c r="Y71" i="19"/>
  <c r="V69" i="19"/>
  <c r="Y8" i="19"/>
  <c r="Y73" i="19"/>
  <c r="M35" i="52"/>
  <c r="T9" i="51"/>
  <c r="T7" i="51"/>
  <c r="S7" i="51"/>
  <c r="Q18" i="36"/>
  <c r="Y9" i="35"/>
  <c r="X9" i="35"/>
  <c r="F15" i="19"/>
  <c r="Y32" i="19"/>
  <c r="P93" i="19"/>
  <c r="G52" i="19"/>
  <c r="Y52" i="19"/>
  <c r="I12" i="19"/>
  <c r="M20" i="37"/>
  <c r="L93" i="19"/>
  <c r="T93" i="19"/>
  <c r="R5" i="19"/>
  <c r="U73" i="19"/>
  <c r="X73" i="19"/>
  <c r="N66" i="19"/>
  <c r="C40" i="41"/>
  <c r="C41" i="41"/>
  <c r="H12" i="19"/>
  <c r="L72" i="19"/>
  <c r="L70" i="19"/>
  <c r="R33" i="19"/>
  <c r="R31" i="19"/>
  <c r="S93" i="19"/>
  <c r="X8" i="19"/>
  <c r="X33" i="19"/>
  <c r="E41" i="41"/>
  <c r="E39" i="41"/>
  <c r="E42" i="41"/>
  <c r="E44" i="41"/>
  <c r="H41" i="41"/>
  <c r="P28" i="39"/>
  <c r="Q23" i="36"/>
  <c r="R9" i="36"/>
  <c r="V15" i="41"/>
  <c r="T70" i="19"/>
  <c r="F53" i="19"/>
  <c r="G43" i="19"/>
  <c r="X28" i="41"/>
  <c r="R79" i="19"/>
  <c r="G79" i="19"/>
  <c r="F36" i="36"/>
  <c r="F35" i="36"/>
  <c r="P36" i="36"/>
  <c r="P35" i="36"/>
  <c r="M9" i="36"/>
  <c r="O34" i="41"/>
  <c r="O40" i="41"/>
  <c r="P41" i="41"/>
  <c r="S28" i="39"/>
  <c r="D22" i="37"/>
  <c r="S73" i="19"/>
  <c r="G73" i="19"/>
  <c r="F20" i="39"/>
  <c r="F19" i="39"/>
  <c r="R6" i="39"/>
  <c r="I93" i="19"/>
  <c r="C78" i="19"/>
  <c r="O33" i="19"/>
  <c r="F33" i="19"/>
  <c r="X9" i="38"/>
  <c r="U36" i="36"/>
  <c r="X18" i="41"/>
  <c r="Y12" i="18"/>
  <c r="O67" i="19"/>
  <c r="F67" i="19"/>
  <c r="E6" i="19"/>
  <c r="G63" i="19"/>
  <c r="Q36" i="36"/>
  <c r="D52" i="36"/>
  <c r="D49" i="36"/>
  <c r="Y27" i="36"/>
  <c r="U26" i="37"/>
  <c r="Y30" i="37"/>
  <c r="Y38" i="19"/>
  <c r="H20" i="48"/>
  <c r="F19" i="36"/>
  <c r="H36" i="36"/>
  <c r="G29" i="39"/>
  <c r="G28" i="39"/>
  <c r="P9" i="36"/>
  <c r="V9" i="36"/>
  <c r="T36" i="36"/>
  <c r="T35" i="36"/>
  <c r="T41" i="36"/>
  <c r="I35" i="48"/>
  <c r="N31" i="37"/>
  <c r="Y19" i="36"/>
  <c r="O11" i="41"/>
  <c r="K24" i="36"/>
  <c r="K21" i="36"/>
  <c r="R36" i="36"/>
  <c r="D17" i="36"/>
  <c r="E82" i="19"/>
  <c r="O31" i="37"/>
  <c r="N14" i="52"/>
  <c r="P20" i="35"/>
  <c r="P24" i="35"/>
  <c r="P25" i="35"/>
  <c r="P28" i="35"/>
  <c r="E6" i="39"/>
  <c r="E5" i="39"/>
  <c r="C20" i="39"/>
  <c r="C19" i="39"/>
  <c r="M25" i="48"/>
  <c r="J13" i="35"/>
  <c r="O30" i="37"/>
  <c r="E45" i="36"/>
  <c r="E44" i="36"/>
  <c r="G10" i="38"/>
  <c r="G6" i="38"/>
  <c r="G5" i="38"/>
  <c r="E45" i="19"/>
  <c r="V26" i="37"/>
  <c r="Y26" i="37"/>
  <c r="K24" i="48"/>
  <c r="N24" i="48"/>
  <c r="Q13" i="35"/>
  <c r="D45" i="36"/>
  <c r="D44" i="36"/>
  <c r="H11" i="38"/>
  <c r="I14" i="38"/>
  <c r="L14" i="52"/>
  <c r="F59" i="19"/>
  <c r="F56" i="19"/>
  <c r="O45" i="36"/>
  <c r="O44" i="36"/>
  <c r="R20" i="39"/>
  <c r="R19" i="39"/>
  <c r="G18" i="37"/>
  <c r="G23" i="37"/>
  <c r="E23" i="35"/>
  <c r="G47" i="19"/>
  <c r="L20" i="52"/>
  <c r="V20" i="52"/>
  <c r="D11" i="38"/>
  <c r="O13" i="39"/>
  <c r="J9" i="37"/>
  <c r="L20" i="37"/>
  <c r="E40" i="19"/>
  <c r="J20" i="35"/>
  <c r="J24" i="35"/>
  <c r="J25" i="35"/>
  <c r="J32" i="35"/>
  <c r="J29" i="35"/>
  <c r="M26" i="37"/>
  <c r="G48" i="19"/>
  <c r="E13" i="35"/>
  <c r="H13" i="35"/>
  <c r="K45" i="36"/>
  <c r="K44" i="36"/>
  <c r="P32" i="36"/>
  <c r="P31" i="36"/>
  <c r="F45" i="36"/>
  <c r="F44" i="36"/>
  <c r="P6" i="38"/>
  <c r="P5" i="38"/>
  <c r="C6" i="39"/>
  <c r="C5" i="39"/>
  <c r="F13" i="39"/>
  <c r="P20" i="39"/>
  <c r="P19" i="39"/>
  <c r="V12" i="19"/>
  <c r="V99" i="19"/>
  <c r="M31" i="19"/>
  <c r="Y86" i="19"/>
  <c r="D7" i="51"/>
  <c r="C13" i="35"/>
  <c r="L31" i="39"/>
  <c r="F85" i="19"/>
  <c r="E26" i="37"/>
  <c r="C6" i="38"/>
  <c r="C5" i="38"/>
  <c r="C14" i="38"/>
  <c r="L45" i="36"/>
  <c r="L44" i="36"/>
  <c r="N45" i="36"/>
  <c r="N44" i="36"/>
  <c r="U32" i="36"/>
  <c r="U31" i="36"/>
  <c r="T20" i="39"/>
  <c r="T19" i="39"/>
  <c r="P14" i="52"/>
  <c r="T14" i="52"/>
  <c r="S14" i="38"/>
  <c r="H8" i="48"/>
  <c r="X59" i="19"/>
  <c r="Q31" i="39"/>
  <c r="F38" i="19"/>
  <c r="S74" i="19"/>
  <c r="G74" i="19"/>
  <c r="O22" i="37"/>
  <c r="M12" i="52"/>
  <c r="H32" i="36"/>
  <c r="H31" i="36"/>
  <c r="E52" i="19"/>
  <c r="F45" i="19"/>
  <c r="E18" i="35"/>
  <c r="I32" i="36"/>
  <c r="I31" i="36"/>
  <c r="H45" i="36"/>
  <c r="H44" i="36"/>
  <c r="U5" i="37"/>
  <c r="X13" i="38"/>
  <c r="Y13" i="38"/>
  <c r="X30" i="37"/>
  <c r="E20" i="39"/>
  <c r="E19" i="39"/>
  <c r="L9" i="51"/>
  <c r="L7" i="51"/>
  <c r="I26" i="37"/>
  <c r="R6" i="38"/>
  <c r="R5" i="38"/>
  <c r="Y5" i="38"/>
  <c r="H20" i="39"/>
  <c r="H19" i="39"/>
  <c r="I87" i="19"/>
  <c r="E87" i="19"/>
  <c r="E86" i="19"/>
  <c r="V20" i="39"/>
  <c r="V19" i="39"/>
  <c r="V31" i="39"/>
  <c r="S17" i="36"/>
  <c r="N5" i="37"/>
  <c r="Y8" i="28"/>
  <c r="L16" i="39"/>
  <c r="Y5" i="18"/>
  <c r="U6" i="31"/>
  <c r="D32" i="36"/>
  <c r="D31" i="36"/>
  <c r="D41" i="36"/>
  <c r="M32" i="36"/>
  <c r="M31" i="36"/>
  <c r="J26" i="37"/>
  <c r="Y10" i="38"/>
  <c r="P6" i="39"/>
  <c r="P5" i="39"/>
  <c r="K28" i="39"/>
  <c r="T21" i="52"/>
  <c r="V32" i="36"/>
  <c r="S5" i="37"/>
  <c r="C9" i="51"/>
  <c r="C7" i="51"/>
  <c r="E49" i="19"/>
  <c r="G18" i="35"/>
  <c r="T26" i="37"/>
  <c r="Y63" i="19"/>
  <c r="D81" i="19"/>
  <c r="D77" i="19"/>
  <c r="K6" i="38"/>
  <c r="K5" i="38"/>
  <c r="K14" i="38"/>
  <c r="X29" i="18"/>
  <c r="O20" i="52"/>
  <c r="T20" i="52"/>
  <c r="Y23" i="18"/>
  <c r="N9" i="37"/>
  <c r="N18" i="37"/>
  <c r="N23" i="37"/>
  <c r="R28" i="39"/>
  <c r="Y28" i="39"/>
  <c r="Q13" i="39"/>
  <c r="X19" i="36"/>
  <c r="Q33" i="37"/>
  <c r="D5" i="37"/>
  <c r="L9" i="37"/>
  <c r="L18" i="37"/>
  <c r="L23" i="37"/>
  <c r="H6" i="36"/>
  <c r="F23" i="35"/>
  <c r="T9" i="37"/>
  <c r="R20" i="35"/>
  <c r="R13" i="35"/>
  <c r="O13" i="35"/>
  <c r="I20" i="35"/>
  <c r="I24" i="35"/>
  <c r="I25" i="35"/>
  <c r="H26" i="37"/>
  <c r="X27" i="37"/>
  <c r="X38" i="19"/>
  <c r="U9" i="30"/>
  <c r="E47" i="19"/>
  <c r="C5" i="36"/>
  <c r="C14" i="36"/>
  <c r="Y54" i="19"/>
  <c r="S13" i="35"/>
  <c r="V6" i="39"/>
  <c r="K12" i="48"/>
  <c r="M12" i="48"/>
  <c r="X45" i="19"/>
  <c r="Y51" i="19"/>
  <c r="S5" i="31"/>
  <c r="M5" i="36"/>
  <c r="M17" i="36"/>
  <c r="V14" i="38"/>
  <c r="K8" i="48"/>
  <c r="E63" i="19"/>
  <c r="X48" i="19"/>
  <c r="E43" i="19"/>
  <c r="Y6" i="18"/>
  <c r="S6" i="39"/>
  <c r="H12" i="48"/>
  <c r="M14" i="38"/>
  <c r="F9" i="37"/>
  <c r="R11" i="38"/>
  <c r="R13" i="39"/>
  <c r="Y13" i="39"/>
  <c r="J28" i="39"/>
  <c r="P11" i="38"/>
  <c r="D13" i="39"/>
  <c r="M13" i="39"/>
  <c r="F5" i="37"/>
  <c r="N20" i="39"/>
  <c r="N19" i="39"/>
  <c r="N31" i="39"/>
  <c r="S9" i="37"/>
  <c r="G6" i="39"/>
  <c r="G5" i="39"/>
  <c r="G16" i="39"/>
  <c r="K12" i="52"/>
  <c r="F26" i="37"/>
  <c r="M20" i="39"/>
  <c r="M19" i="39"/>
  <c r="H94" i="19"/>
  <c r="E85" i="19"/>
  <c r="C12" i="48"/>
  <c r="N5" i="39"/>
  <c r="O70" i="19"/>
  <c r="O94" i="19"/>
  <c r="F72" i="19"/>
  <c r="O17" i="36"/>
  <c r="E42" i="19"/>
  <c r="M70" i="19"/>
  <c r="P31" i="19"/>
  <c r="G51" i="19"/>
  <c r="G42" i="19"/>
  <c r="G5" i="48"/>
  <c r="N5" i="48"/>
  <c r="Y42" i="19"/>
  <c r="Y53" i="19"/>
  <c r="G41" i="19"/>
  <c r="I31" i="37"/>
  <c r="F49" i="19"/>
  <c r="E16" i="35"/>
  <c r="F13" i="35"/>
  <c r="G19" i="35"/>
  <c r="N32" i="36"/>
  <c r="N31" i="36"/>
  <c r="D30" i="37"/>
  <c r="L6" i="38"/>
  <c r="L5" i="38"/>
  <c r="L14" i="38"/>
  <c r="M28" i="39"/>
  <c r="F16" i="35"/>
  <c r="Y29" i="18"/>
  <c r="O11" i="52"/>
  <c r="M45" i="36"/>
  <c r="M44" i="36"/>
  <c r="U13" i="35"/>
  <c r="G36" i="19"/>
  <c r="C20" i="35"/>
  <c r="C24" i="35"/>
  <c r="C25" i="35"/>
  <c r="M6" i="39"/>
  <c r="M5" i="39"/>
  <c r="V9" i="37"/>
  <c r="E38" i="19"/>
  <c r="G27" i="37"/>
  <c r="G26" i="37"/>
  <c r="F17" i="35"/>
  <c r="Y59" i="19"/>
  <c r="Q5" i="39"/>
  <c r="G57" i="19"/>
  <c r="Y85" i="19"/>
  <c r="K20" i="52"/>
  <c r="L20" i="35"/>
  <c r="L24" i="35"/>
  <c r="L25" i="35"/>
  <c r="O22" i="52"/>
  <c r="T22" i="52"/>
  <c r="D18" i="36"/>
  <c r="N6" i="36"/>
  <c r="F11" i="38"/>
  <c r="E13" i="39"/>
  <c r="X20" i="37"/>
  <c r="G82" i="19"/>
  <c r="F18" i="35"/>
  <c r="Q20" i="35"/>
  <c r="Q24" i="35"/>
  <c r="Q25" i="35"/>
  <c r="Q32" i="35"/>
  <c r="Q29" i="35"/>
  <c r="F32" i="19"/>
  <c r="Y41" i="19"/>
  <c r="K20" i="37"/>
  <c r="V21" i="52"/>
  <c r="N12" i="52"/>
  <c r="O26" i="37"/>
  <c r="Y48" i="19"/>
  <c r="X14" i="18"/>
  <c r="F44" i="19"/>
  <c r="X8" i="35"/>
  <c r="P26" i="37"/>
  <c r="D6" i="38"/>
  <c r="D5" i="38"/>
  <c r="N6" i="38"/>
  <c r="N5" i="38"/>
  <c r="N14" i="38"/>
  <c r="C8" i="48"/>
  <c r="T6" i="39"/>
  <c r="U20" i="39"/>
  <c r="U19" i="39"/>
  <c r="U31" i="39"/>
  <c r="J7" i="51"/>
  <c r="V13" i="35"/>
  <c r="G37" i="19"/>
  <c r="X87" i="19"/>
  <c r="G85" i="19"/>
  <c r="K26" i="37"/>
  <c r="F11" i="19"/>
  <c r="Y11" i="19"/>
  <c r="N31" i="19"/>
  <c r="E56" i="19"/>
  <c r="Q5" i="37"/>
  <c r="Q27" i="37"/>
  <c r="Q26" i="37"/>
  <c r="H95" i="19"/>
  <c r="V74" i="19"/>
  <c r="G46" i="19"/>
  <c r="N13" i="48"/>
  <c r="T31" i="19"/>
  <c r="X82" i="19"/>
  <c r="Y82" i="19"/>
  <c r="U6" i="38"/>
  <c r="X6" i="38"/>
  <c r="X8" i="38"/>
  <c r="X49" i="19"/>
  <c r="E39" i="19"/>
  <c r="O14" i="38"/>
  <c r="D8" i="48"/>
  <c r="Y43" i="19"/>
  <c r="G54" i="19"/>
  <c r="Y22" i="18"/>
  <c r="L22" i="52"/>
  <c r="V22" i="52"/>
  <c r="F39" i="19"/>
  <c r="F47" i="19"/>
  <c r="V17" i="52"/>
  <c r="E28" i="39"/>
  <c r="J5" i="37"/>
  <c r="Y26" i="18"/>
  <c r="T11" i="38"/>
  <c r="T14" i="38"/>
  <c r="I8" i="48"/>
  <c r="D28" i="39"/>
  <c r="D31" i="39"/>
  <c r="K19" i="36"/>
  <c r="N33" i="37"/>
  <c r="J84" i="19"/>
  <c r="M13" i="35"/>
  <c r="M20" i="35"/>
  <c r="M24" i="35"/>
  <c r="M25" i="35"/>
  <c r="C32" i="36"/>
  <c r="C31" i="36"/>
  <c r="C41" i="36"/>
  <c r="D21" i="37"/>
  <c r="S20" i="39"/>
  <c r="S19" i="39"/>
  <c r="J14" i="52"/>
  <c r="F43" i="19"/>
  <c r="Y20" i="18"/>
  <c r="Y87" i="19"/>
  <c r="P45" i="36"/>
  <c r="P44" i="36"/>
  <c r="O5" i="37"/>
  <c r="G32" i="37"/>
  <c r="E17" i="35"/>
  <c r="R13" i="32"/>
  <c r="U12" i="23"/>
  <c r="G87" i="19"/>
  <c r="G58" i="19"/>
  <c r="F46" i="19"/>
  <c r="X41" i="19"/>
  <c r="F42" i="19"/>
  <c r="Y14" i="18"/>
  <c r="T17" i="52"/>
  <c r="H5" i="37"/>
  <c r="T5" i="37"/>
  <c r="J11" i="38"/>
  <c r="J14" i="38"/>
  <c r="N13" i="39"/>
  <c r="H28" i="39"/>
  <c r="O21" i="37"/>
  <c r="N32" i="37"/>
  <c r="I21" i="37"/>
  <c r="X44" i="19"/>
  <c r="L30" i="37"/>
  <c r="F58" i="19"/>
  <c r="E50" i="19"/>
  <c r="S20" i="35"/>
  <c r="E5" i="37"/>
  <c r="E14" i="37"/>
  <c r="U5" i="30"/>
  <c r="V45" i="36"/>
  <c r="V44" i="36"/>
  <c r="R84" i="19"/>
  <c r="G40" i="19"/>
  <c r="Y40" i="19"/>
  <c r="Q72" i="19"/>
  <c r="Q70" i="19"/>
  <c r="V25" i="35"/>
  <c r="G72" i="19"/>
  <c r="S70" i="19"/>
  <c r="G70" i="19"/>
  <c r="Y57" i="19"/>
  <c r="X57" i="19"/>
  <c r="V72" i="19"/>
  <c r="Y72" i="19"/>
  <c r="V31" i="19"/>
  <c r="X32" i="19"/>
  <c r="N24" i="35"/>
  <c r="N25" i="35"/>
  <c r="F17" i="36"/>
  <c r="M18" i="37"/>
  <c r="M23" i="37"/>
  <c r="M29" i="37"/>
  <c r="O74" i="19"/>
  <c r="Y50" i="19"/>
  <c r="X6" i="35"/>
  <c r="X30" i="35"/>
  <c r="U8" i="31"/>
  <c r="X25" i="18"/>
  <c r="U72" i="19"/>
  <c r="U70" i="19"/>
  <c r="P25" i="52"/>
  <c r="H16" i="39"/>
  <c r="I95" i="19"/>
  <c r="L26" i="37"/>
  <c r="I20" i="39"/>
  <c r="I19" i="39"/>
  <c r="F86" i="19"/>
  <c r="Y9" i="18"/>
  <c r="X9" i="18"/>
  <c r="R9" i="37"/>
  <c r="Y8" i="35"/>
  <c r="O17" i="37"/>
  <c r="Y10" i="39"/>
  <c r="R45" i="36"/>
  <c r="U9" i="37"/>
  <c r="C81" i="19"/>
  <c r="D94" i="19"/>
  <c r="F33" i="37"/>
  <c r="L30" i="39"/>
  <c r="Y27" i="39"/>
  <c r="Y11" i="39"/>
  <c r="R32" i="36"/>
  <c r="U45" i="36"/>
  <c r="R5" i="37"/>
  <c r="V5" i="37"/>
  <c r="H20" i="35"/>
  <c r="P6" i="36"/>
  <c r="P9" i="37"/>
  <c r="P5" i="37"/>
  <c r="U20" i="35"/>
  <c r="C20" i="37"/>
  <c r="H9" i="37"/>
  <c r="T21" i="37"/>
  <c r="N13" i="35"/>
  <c r="G45" i="19"/>
  <c r="J20" i="37"/>
  <c r="C9" i="37"/>
  <c r="C14" i="37"/>
  <c r="T22" i="37"/>
  <c r="L5" i="37"/>
  <c r="X22" i="37"/>
  <c r="Y14" i="39"/>
  <c r="T66" i="19"/>
  <c r="L66" i="19"/>
  <c r="F18" i="48"/>
  <c r="Q99" i="19"/>
  <c r="V35" i="52"/>
  <c r="E79" i="19"/>
  <c r="J48" i="36"/>
  <c r="J56" i="36"/>
  <c r="Q95" i="19"/>
  <c r="G86" i="19"/>
  <c r="M93" i="19"/>
  <c r="N93" i="19"/>
  <c r="N95" i="19"/>
  <c r="M95" i="19"/>
  <c r="M40" i="52"/>
  <c r="G15" i="41"/>
  <c r="G21" i="41"/>
  <c r="S21" i="41"/>
  <c r="H93" i="19"/>
  <c r="D66" i="19"/>
  <c r="D93" i="19"/>
  <c r="P12" i="52"/>
  <c r="T10" i="52"/>
  <c r="V10" i="52"/>
  <c r="M35" i="36"/>
  <c r="Y22" i="39"/>
  <c r="X22" i="39"/>
  <c r="Q41" i="41"/>
  <c r="Q39" i="41"/>
  <c r="Q42" i="41"/>
  <c r="Q44" i="41"/>
  <c r="P39" i="41"/>
  <c r="P42" i="41"/>
  <c r="P44" i="41"/>
  <c r="Y26" i="39"/>
  <c r="X26" i="39"/>
  <c r="F41" i="41"/>
  <c r="F39" i="41"/>
  <c r="F42" i="41"/>
  <c r="F44" i="41"/>
  <c r="U86" i="19"/>
  <c r="Y12" i="39"/>
  <c r="X12" i="39"/>
  <c r="U41" i="41"/>
  <c r="X98" i="19"/>
  <c r="I9" i="37"/>
  <c r="Y15" i="39"/>
  <c r="X15" i="39"/>
  <c r="Y9" i="39"/>
  <c r="X9" i="39"/>
  <c r="X13" i="39"/>
  <c r="E11" i="19"/>
  <c r="K74" i="19"/>
  <c r="X28" i="39"/>
  <c r="Y8" i="39"/>
  <c r="X8" i="39"/>
  <c r="Y24" i="39"/>
  <c r="U17" i="36"/>
  <c r="R18" i="36"/>
  <c r="Y18" i="36"/>
  <c r="R5" i="36"/>
  <c r="Y25" i="39"/>
  <c r="V17" i="36"/>
  <c r="Y23" i="39"/>
  <c r="X23" i="39"/>
  <c r="I45" i="36"/>
  <c r="I44" i="36"/>
  <c r="Y21" i="39"/>
  <c r="Y30" i="39"/>
  <c r="X30" i="39"/>
  <c r="Y7" i="39"/>
  <c r="Y29" i="39"/>
  <c r="M6" i="48"/>
  <c r="N26" i="37"/>
  <c r="X10" i="39"/>
  <c r="X14" i="39"/>
  <c r="X24" i="39"/>
  <c r="V36" i="36"/>
  <c r="T23" i="36"/>
  <c r="R22" i="36"/>
  <c r="T50" i="36"/>
  <c r="Q51" i="36"/>
  <c r="X7" i="39"/>
  <c r="X11" i="39"/>
  <c r="X21" i="39"/>
  <c r="X25" i="39"/>
  <c r="X29" i="39"/>
  <c r="X27" i="39"/>
  <c r="O41" i="41"/>
  <c r="D12" i="19"/>
  <c r="F41" i="36"/>
  <c r="S12" i="19"/>
  <c r="J16" i="39"/>
  <c r="J20" i="36"/>
  <c r="C49" i="36"/>
  <c r="C48" i="36"/>
  <c r="C56" i="36"/>
  <c r="E35" i="36"/>
  <c r="E41" i="36"/>
  <c r="I31" i="39"/>
  <c r="G31" i="39"/>
  <c r="P21" i="41"/>
  <c r="G39" i="41"/>
  <c r="G42" i="41"/>
  <c r="G44" i="41"/>
  <c r="I16" i="39"/>
  <c r="L8" i="36"/>
  <c r="L14" i="36"/>
  <c r="O31" i="19"/>
  <c r="M14" i="37"/>
  <c r="D22" i="41"/>
  <c r="Y41" i="41"/>
  <c r="E8" i="36"/>
  <c r="H8" i="36"/>
  <c r="Q22" i="41"/>
  <c r="M39" i="41"/>
  <c r="M42" i="41"/>
  <c r="M44" i="41"/>
  <c r="H19" i="48"/>
  <c r="K34" i="37"/>
  <c r="X40" i="41"/>
  <c r="R70" i="19"/>
  <c r="S94" i="19"/>
  <c r="J22" i="41"/>
  <c r="J20" i="41"/>
  <c r="J23" i="41"/>
  <c r="J25" i="41"/>
  <c r="G14" i="37"/>
  <c r="G8" i="28"/>
  <c r="I20" i="36"/>
  <c r="I28" i="36"/>
  <c r="R35" i="36"/>
  <c r="E14" i="36"/>
  <c r="T39" i="41"/>
  <c r="T42" i="41"/>
  <c r="T44" i="41"/>
  <c r="Y11" i="41"/>
  <c r="O31" i="39"/>
  <c r="D14" i="38"/>
  <c r="K8" i="36"/>
  <c r="K14" i="36"/>
  <c r="N35" i="36"/>
  <c r="N41" i="36"/>
  <c r="C35" i="48"/>
  <c r="X34" i="41"/>
  <c r="D32" i="35"/>
  <c r="D29" i="35"/>
  <c r="D28" i="35"/>
  <c r="D33" i="35"/>
  <c r="C21" i="41"/>
  <c r="C20" i="41"/>
  <c r="C23" i="41"/>
  <c r="C25" i="41"/>
  <c r="K22" i="41"/>
  <c r="M41" i="52"/>
  <c r="P12" i="19"/>
  <c r="E15" i="41"/>
  <c r="J15" i="52"/>
  <c r="J18" i="52"/>
  <c r="J23" i="52"/>
  <c r="J26" i="52"/>
  <c r="F16" i="39"/>
  <c r="N21" i="41"/>
  <c r="O12" i="19"/>
  <c r="O99" i="19"/>
  <c r="F99" i="19"/>
  <c r="Q18" i="37"/>
  <c r="Q23" i="37"/>
  <c r="Q34" i="37"/>
  <c r="T28" i="35"/>
  <c r="H14" i="38"/>
  <c r="Q94" i="19"/>
  <c r="Q14" i="37"/>
  <c r="F39" i="48"/>
  <c r="E16" i="39"/>
  <c r="M12" i="19"/>
  <c r="M99" i="19"/>
  <c r="P16" i="39"/>
  <c r="E7" i="48"/>
  <c r="P41" i="36"/>
  <c r="E35" i="48"/>
  <c r="F31" i="39"/>
  <c r="E33" i="19"/>
  <c r="E31" i="19"/>
  <c r="M22" i="41"/>
  <c r="I22" i="41"/>
  <c r="I20" i="41"/>
  <c r="I23" i="41"/>
  <c r="I25" i="41"/>
  <c r="G8" i="36"/>
  <c r="G14" i="36"/>
  <c r="K21" i="41"/>
  <c r="K15" i="52"/>
  <c r="K18" i="52"/>
  <c r="J31" i="39"/>
  <c r="S35" i="36"/>
  <c r="S41" i="36"/>
  <c r="H35" i="48"/>
  <c r="U15" i="41"/>
  <c r="C19" i="48"/>
  <c r="C31" i="39"/>
  <c r="S39" i="41"/>
  <c r="S42" i="41"/>
  <c r="S44" i="41"/>
  <c r="K35" i="36"/>
  <c r="K41" i="36"/>
  <c r="L35" i="36"/>
  <c r="L41" i="36"/>
  <c r="F8" i="36"/>
  <c r="F14" i="36"/>
  <c r="E20" i="36"/>
  <c r="E28" i="36"/>
  <c r="K18" i="37"/>
  <c r="K23" i="37"/>
  <c r="T99" i="19"/>
  <c r="O12" i="52"/>
  <c r="T12" i="52"/>
  <c r="F14" i="38"/>
  <c r="O14" i="37"/>
  <c r="D39" i="48"/>
  <c r="O28" i="35"/>
  <c r="K14" i="37"/>
  <c r="D14" i="37"/>
  <c r="K16" i="39"/>
  <c r="D92" i="19"/>
  <c r="C77" i="19"/>
  <c r="U94" i="19"/>
  <c r="X84" i="19"/>
  <c r="H20" i="36"/>
  <c r="U35" i="36"/>
  <c r="U41" i="36"/>
  <c r="J35" i="48"/>
  <c r="Q35" i="36"/>
  <c r="Q41" i="36"/>
  <c r="F35" i="48"/>
  <c r="K18" i="48"/>
  <c r="Y40" i="41"/>
  <c r="V39" i="41"/>
  <c r="V42" i="41"/>
  <c r="O41" i="36"/>
  <c r="D35" i="48"/>
  <c r="Y6" i="39"/>
  <c r="S17" i="19"/>
  <c r="G17" i="19"/>
  <c r="Y34" i="41"/>
  <c r="K48" i="36"/>
  <c r="K56" i="36"/>
  <c r="F31" i="19"/>
  <c r="R8" i="36"/>
  <c r="O43" i="52"/>
  <c r="T43" i="52"/>
  <c r="T37" i="52"/>
  <c r="I8" i="36"/>
  <c r="I14" i="36"/>
  <c r="V5" i="31"/>
  <c r="D20" i="36"/>
  <c r="E29" i="37"/>
  <c r="T18" i="36"/>
  <c r="T14" i="36"/>
  <c r="I34" i="48"/>
  <c r="E14" i="38"/>
  <c r="G34" i="37"/>
  <c r="M94" i="19"/>
  <c r="C16" i="39"/>
  <c r="P14" i="38"/>
  <c r="E8" i="48"/>
  <c r="C17" i="36"/>
  <c r="C28" i="36"/>
  <c r="M34" i="37"/>
  <c r="M31" i="39"/>
  <c r="I48" i="36"/>
  <c r="I56" i="36"/>
  <c r="X20" i="39"/>
  <c r="E13" i="52"/>
  <c r="D13" i="52"/>
  <c r="Q14" i="52"/>
  <c r="S14" i="52"/>
  <c r="N15" i="52"/>
  <c r="N18" i="52"/>
  <c r="N23" i="52"/>
  <c r="N26" i="52"/>
  <c r="R31" i="39"/>
  <c r="Y31" i="39"/>
  <c r="S31" i="39"/>
  <c r="V5" i="39"/>
  <c r="V16" i="39"/>
  <c r="K7" i="48"/>
  <c r="M7" i="48"/>
  <c r="U5" i="38"/>
  <c r="U14" i="38"/>
  <c r="J8" i="48"/>
  <c r="M8" i="48"/>
  <c r="X6" i="39"/>
  <c r="L15" i="52"/>
  <c r="L18" i="52"/>
  <c r="L23" i="52"/>
  <c r="L26" i="52"/>
  <c r="G14" i="38"/>
  <c r="G9" i="28"/>
  <c r="Q14" i="38"/>
  <c r="F8" i="48"/>
  <c r="V7" i="31"/>
  <c r="U7" i="31"/>
  <c r="T31" i="39"/>
  <c r="X26" i="37"/>
  <c r="E12" i="48"/>
  <c r="K20" i="36"/>
  <c r="K28" i="36"/>
  <c r="M15" i="52"/>
  <c r="M18" i="52"/>
  <c r="M23" i="52"/>
  <c r="M26" i="52"/>
  <c r="I18" i="36"/>
  <c r="Q28" i="35"/>
  <c r="Q33" i="35"/>
  <c r="P32" i="35"/>
  <c r="P29" i="35"/>
  <c r="P33" i="35"/>
  <c r="R14" i="38"/>
  <c r="G8" i="48"/>
  <c r="N8" i="48"/>
  <c r="Y79" i="19"/>
  <c r="N99" i="19"/>
  <c r="D16" i="39"/>
  <c r="K31" i="39"/>
  <c r="U14" i="37"/>
  <c r="J39" i="48"/>
  <c r="J14" i="37"/>
  <c r="Y6" i="38"/>
  <c r="Y11" i="38"/>
  <c r="K32" i="35"/>
  <c r="K29" i="35"/>
  <c r="K28" i="35"/>
  <c r="J5" i="36"/>
  <c r="J18" i="36"/>
  <c r="R21" i="41"/>
  <c r="S22" i="41"/>
  <c r="S20" i="41"/>
  <c r="S23" i="41"/>
  <c r="S25" i="41"/>
  <c r="H38" i="48"/>
  <c r="G19" i="48"/>
  <c r="D29" i="37"/>
  <c r="D34" i="37"/>
  <c r="D18" i="37"/>
  <c r="D23" i="37"/>
  <c r="X31" i="39"/>
  <c r="X19" i="39"/>
  <c r="N94" i="19"/>
  <c r="K23" i="52"/>
  <c r="K26" i="52"/>
  <c r="Y19" i="39"/>
  <c r="J28" i="35"/>
  <c r="J33" i="35"/>
  <c r="S5" i="39"/>
  <c r="S16" i="39"/>
  <c r="H7" i="48"/>
  <c r="Q16" i="39"/>
  <c r="F7" i="48"/>
  <c r="O5" i="39"/>
  <c r="O16" i="39"/>
  <c r="D7" i="48"/>
  <c r="D12" i="48"/>
  <c r="J12" i="19"/>
  <c r="J15" i="19"/>
  <c r="J17" i="19"/>
  <c r="K15" i="19"/>
  <c r="K12" i="19"/>
  <c r="E12" i="19"/>
  <c r="D8" i="36"/>
  <c r="D14" i="36"/>
  <c r="N16" i="39"/>
  <c r="C7" i="48"/>
  <c r="M21" i="41"/>
  <c r="N22" i="41"/>
  <c r="N20" i="41"/>
  <c r="N23" i="41"/>
  <c r="N25" i="41"/>
  <c r="C38" i="48"/>
  <c r="R39" i="41"/>
  <c r="O29" i="37"/>
  <c r="O34" i="37"/>
  <c r="O18" i="37"/>
  <c r="O23" i="37"/>
  <c r="J94" i="19"/>
  <c r="J66" i="19"/>
  <c r="E31" i="39"/>
  <c r="H39" i="41"/>
  <c r="H42" i="41"/>
  <c r="H44" i="41"/>
  <c r="E5" i="19"/>
  <c r="D21" i="41"/>
  <c r="R22" i="41"/>
  <c r="Q21" i="41"/>
  <c r="Q20" i="41"/>
  <c r="Q23" i="41"/>
  <c r="Q25" i="41"/>
  <c r="F38" i="48"/>
  <c r="F19" i="48"/>
  <c r="K40" i="52"/>
  <c r="K41" i="52"/>
  <c r="L40" i="52"/>
  <c r="L41" i="52"/>
  <c r="E71" i="19"/>
  <c r="K70" i="19"/>
  <c r="L41" i="41"/>
  <c r="L39" i="41"/>
  <c r="L42" i="41"/>
  <c r="L44" i="41"/>
  <c r="K39" i="41"/>
  <c r="K42" i="41"/>
  <c r="K44" i="41"/>
  <c r="E48" i="36"/>
  <c r="E56" i="36"/>
  <c r="H48" i="36"/>
  <c r="H56" i="36"/>
  <c r="M66" i="19"/>
  <c r="D41" i="41"/>
  <c r="D39" i="41"/>
  <c r="D42" i="41"/>
  <c r="D44" i="41"/>
  <c r="C39" i="41"/>
  <c r="C42" i="41"/>
  <c r="C44" i="41"/>
  <c r="X69" i="19"/>
  <c r="V93" i="19"/>
  <c r="X93" i="19"/>
  <c r="Y69" i="19"/>
  <c r="U12" i="19"/>
  <c r="U15" i="19"/>
  <c r="U17" i="19"/>
  <c r="U22" i="41"/>
  <c r="N40" i="52"/>
  <c r="N41" i="52"/>
  <c r="T21" i="41"/>
  <c r="T20" i="41"/>
  <c r="T23" i="41"/>
  <c r="T25" i="41"/>
  <c r="I38" i="48"/>
  <c r="I19" i="48"/>
  <c r="V8" i="36"/>
  <c r="Y9" i="36"/>
  <c r="X9" i="36"/>
  <c r="M8" i="36"/>
  <c r="M14" i="36"/>
  <c r="N8" i="36"/>
  <c r="Y33" i="19"/>
  <c r="C15" i="19"/>
  <c r="C17" i="19"/>
  <c r="C12" i="19"/>
  <c r="T11" i="52"/>
  <c r="P31" i="39"/>
  <c r="Q8" i="36"/>
  <c r="Q14" i="36"/>
  <c r="F34" i="48"/>
  <c r="P8" i="36"/>
  <c r="V21" i="41"/>
  <c r="P40" i="52"/>
  <c r="X15" i="41"/>
  <c r="Y15" i="41"/>
  <c r="K19" i="48"/>
  <c r="R15" i="19"/>
  <c r="R17" i="19"/>
  <c r="R12" i="19"/>
  <c r="R5" i="39"/>
  <c r="R16" i="39"/>
  <c r="G12" i="48"/>
  <c r="N12" i="48"/>
  <c r="Y5" i="19"/>
  <c r="F14" i="37"/>
  <c r="O15" i="41"/>
  <c r="F11" i="41"/>
  <c r="H35" i="36"/>
  <c r="H41" i="36"/>
  <c r="I35" i="36"/>
  <c r="I41" i="36"/>
  <c r="G35" i="36"/>
  <c r="G41" i="36"/>
  <c r="S8" i="36"/>
  <c r="S14" i="36"/>
  <c r="H34" i="48"/>
  <c r="X5" i="19"/>
  <c r="H31" i="39"/>
  <c r="J19" i="48"/>
  <c r="O40" i="52"/>
  <c r="O39" i="41"/>
  <c r="O42" i="41"/>
  <c r="O44" i="41"/>
  <c r="V17" i="19"/>
  <c r="E34" i="37"/>
  <c r="G13" i="35"/>
  <c r="D28" i="36"/>
  <c r="M41" i="36"/>
  <c r="O66" i="19"/>
  <c r="F66" i="19"/>
  <c r="N14" i="37"/>
  <c r="C39" i="48"/>
  <c r="T95" i="19"/>
  <c r="Y20" i="39"/>
  <c r="N29" i="37"/>
  <c r="N34" i="37"/>
  <c r="Y13" i="35"/>
  <c r="S95" i="19"/>
  <c r="V14" i="52"/>
  <c r="J29" i="37"/>
  <c r="J34" i="37"/>
  <c r="J18" i="37"/>
  <c r="J23" i="37"/>
  <c r="T14" i="37"/>
  <c r="I39" i="48"/>
  <c r="K26" i="48"/>
  <c r="N26" i="48"/>
  <c r="F18" i="37"/>
  <c r="F23" i="37"/>
  <c r="F29" i="37"/>
  <c r="F34" i="37"/>
  <c r="M16" i="39"/>
  <c r="Y20" i="35"/>
  <c r="R24" i="35"/>
  <c r="S14" i="37"/>
  <c r="H39" i="48"/>
  <c r="S66" i="19"/>
  <c r="G66" i="19"/>
  <c r="T29" i="37"/>
  <c r="T34" i="37"/>
  <c r="T18" i="37"/>
  <c r="T23" i="37"/>
  <c r="L14" i="37"/>
  <c r="L29" i="37"/>
  <c r="L34" i="37"/>
  <c r="H5" i="36"/>
  <c r="H18" i="36"/>
  <c r="V31" i="36"/>
  <c r="X31" i="36"/>
  <c r="X32" i="36"/>
  <c r="Q66" i="19"/>
  <c r="S18" i="37"/>
  <c r="S23" i="37"/>
  <c r="S29" i="37"/>
  <c r="S34" i="37"/>
  <c r="T33" i="35"/>
  <c r="V29" i="37"/>
  <c r="V34" i="37"/>
  <c r="V18" i="37"/>
  <c r="V23" i="37"/>
  <c r="L28" i="35"/>
  <c r="L32" i="35"/>
  <c r="L29" i="35"/>
  <c r="I28" i="35"/>
  <c r="I32" i="35"/>
  <c r="I29" i="35"/>
  <c r="I12" i="48"/>
  <c r="T5" i="39"/>
  <c r="T16" i="39"/>
  <c r="I7" i="48"/>
  <c r="X13" i="35"/>
  <c r="X5" i="39"/>
  <c r="N18" i="36"/>
  <c r="N5" i="36"/>
  <c r="U5" i="31"/>
  <c r="D90" i="19"/>
  <c r="F20" i="35"/>
  <c r="F24" i="35"/>
  <c r="F25" i="35"/>
  <c r="F28" i="35"/>
  <c r="O33" i="35"/>
  <c r="F70" i="19"/>
  <c r="P94" i="19"/>
  <c r="R14" i="37"/>
  <c r="G39" i="48"/>
  <c r="V95" i="19"/>
  <c r="Y95" i="19"/>
  <c r="Y74" i="19"/>
  <c r="X74" i="19"/>
  <c r="J24" i="48"/>
  <c r="M24" i="48"/>
  <c r="U13" i="32"/>
  <c r="J93" i="19"/>
  <c r="E84" i="19"/>
  <c r="E93" i="19"/>
  <c r="S24" i="35"/>
  <c r="G20" i="35"/>
  <c r="C28" i="35"/>
  <c r="C32" i="35"/>
  <c r="C29" i="35"/>
  <c r="C29" i="37"/>
  <c r="C34" i="37"/>
  <c r="C18" i="37"/>
  <c r="C23" i="37"/>
  <c r="U24" i="35"/>
  <c r="X20" i="35"/>
  <c r="U44" i="36"/>
  <c r="X44" i="36"/>
  <c r="X45" i="36"/>
  <c r="U18" i="37"/>
  <c r="U29" i="37"/>
  <c r="X9" i="37"/>
  <c r="R18" i="37"/>
  <c r="Y9" i="37"/>
  <c r="R29" i="37"/>
  <c r="T94" i="19"/>
  <c r="P14" i="37"/>
  <c r="E39" i="48"/>
  <c r="R31" i="36"/>
  <c r="Y32" i="36"/>
  <c r="Y84" i="19"/>
  <c r="R93" i="19"/>
  <c r="G84" i="19"/>
  <c r="G93" i="19"/>
  <c r="P18" i="37"/>
  <c r="P23" i="37"/>
  <c r="P29" i="37"/>
  <c r="P34" i="37"/>
  <c r="R44" i="36"/>
  <c r="Y44" i="36"/>
  <c r="Y45" i="36"/>
  <c r="P18" i="36"/>
  <c r="P5" i="36"/>
  <c r="V28" i="35"/>
  <c r="V32" i="35"/>
  <c r="H24" i="35"/>
  <c r="H25" i="35"/>
  <c r="E20" i="35"/>
  <c r="E24" i="35"/>
  <c r="E25" i="35"/>
  <c r="T25" i="52"/>
  <c r="V25" i="52"/>
  <c r="M32" i="35"/>
  <c r="M29" i="35"/>
  <c r="M28" i="35"/>
  <c r="V14" i="37"/>
  <c r="X5" i="37"/>
  <c r="Y5" i="37"/>
  <c r="U66" i="19"/>
  <c r="O95" i="19"/>
  <c r="F74" i="19"/>
  <c r="G95" i="19"/>
  <c r="P95" i="19"/>
  <c r="X31" i="19"/>
  <c r="Y31" i="19"/>
  <c r="H18" i="37"/>
  <c r="H23" i="37"/>
  <c r="H14" i="37"/>
  <c r="H29" i="37"/>
  <c r="H34" i="37"/>
  <c r="N32" i="35"/>
  <c r="N29" i="35"/>
  <c r="N28" i="35"/>
  <c r="V70" i="19"/>
  <c r="V94" i="19"/>
  <c r="X72" i="19"/>
  <c r="U39" i="41"/>
  <c r="X41" i="41"/>
  <c r="R66" i="19"/>
  <c r="Y22" i="36"/>
  <c r="R17" i="36"/>
  <c r="Y17" i="36"/>
  <c r="R14" i="36"/>
  <c r="G34" i="48"/>
  <c r="Y5" i="36"/>
  <c r="V35" i="36"/>
  <c r="X36" i="36"/>
  <c r="Y36" i="36"/>
  <c r="E21" i="41"/>
  <c r="E20" i="41"/>
  <c r="E23" i="41"/>
  <c r="E25" i="41"/>
  <c r="F22" i="41"/>
  <c r="X17" i="36"/>
  <c r="X86" i="19"/>
  <c r="U95" i="19"/>
  <c r="E74" i="19"/>
  <c r="K95" i="19"/>
  <c r="L95" i="19"/>
  <c r="I29" i="37"/>
  <c r="I34" i="37"/>
  <c r="I18" i="37"/>
  <c r="I23" i="37"/>
  <c r="I14" i="37"/>
  <c r="V44" i="41"/>
  <c r="O15" i="52"/>
  <c r="O18" i="52"/>
  <c r="O23" i="52"/>
  <c r="O26" i="52"/>
  <c r="P15" i="52"/>
  <c r="V12" i="52"/>
  <c r="R94" i="19"/>
  <c r="K66" i="19"/>
  <c r="O41" i="52"/>
  <c r="J13" i="48"/>
  <c r="M13" i="48"/>
  <c r="X12" i="18"/>
  <c r="D20" i="41"/>
  <c r="D23" i="41"/>
  <c r="D25" i="41"/>
  <c r="X15" i="18"/>
  <c r="S99" i="19"/>
  <c r="G99" i="19"/>
  <c r="G12" i="19"/>
  <c r="H18" i="48"/>
  <c r="V9" i="51"/>
  <c r="O35" i="52"/>
  <c r="T35" i="52"/>
  <c r="X8" i="51"/>
  <c r="U7" i="51"/>
  <c r="X15" i="19"/>
  <c r="D48" i="36"/>
  <c r="D56" i="36"/>
  <c r="X41" i="20"/>
  <c r="Y41" i="20"/>
  <c r="M20" i="41"/>
  <c r="M23" i="41"/>
  <c r="M25" i="41"/>
  <c r="K20" i="41"/>
  <c r="K23" i="41"/>
  <c r="K25" i="41"/>
  <c r="V22" i="41"/>
  <c r="V20" i="41"/>
  <c r="V23" i="41"/>
  <c r="U21" i="41"/>
  <c r="X21" i="41"/>
  <c r="P99" i="19"/>
  <c r="E18" i="48"/>
  <c r="D18" i="48"/>
  <c r="F12" i="19"/>
  <c r="X94" i="19"/>
  <c r="X16" i="39"/>
  <c r="Y21" i="41"/>
  <c r="X5" i="38"/>
  <c r="X14" i="38"/>
  <c r="U14" i="52"/>
  <c r="Y14" i="38"/>
  <c r="X95" i="19"/>
  <c r="K33" i="35"/>
  <c r="R42" i="41"/>
  <c r="Y39" i="41"/>
  <c r="Y93" i="19"/>
  <c r="R20" i="41"/>
  <c r="R23" i="41"/>
  <c r="R25" i="41"/>
  <c r="G38" i="48"/>
  <c r="J17" i="36"/>
  <c r="J28" i="36"/>
  <c r="J14" i="36"/>
  <c r="E70" i="19"/>
  <c r="E94" i="19"/>
  <c r="K94" i="19"/>
  <c r="L94" i="19"/>
  <c r="E15" i="19"/>
  <c r="K17" i="19"/>
  <c r="E17" i="19"/>
  <c r="G7" i="48"/>
  <c r="N7" i="48"/>
  <c r="Y16" i="39"/>
  <c r="X17" i="19"/>
  <c r="Y17" i="19"/>
  <c r="G18" i="48"/>
  <c r="N18" i="48"/>
  <c r="R99" i="19"/>
  <c r="Y99" i="19"/>
  <c r="Y12" i="19"/>
  <c r="M19" i="48"/>
  <c r="N19" i="48"/>
  <c r="D19" i="48"/>
  <c r="F15" i="41"/>
  <c r="O21" i="41"/>
  <c r="O20" i="41"/>
  <c r="O23" i="41"/>
  <c r="O25" i="41"/>
  <c r="D38" i="48"/>
  <c r="P22" i="41"/>
  <c r="P20" i="41"/>
  <c r="P23" i="41"/>
  <c r="P25" i="41"/>
  <c r="E38" i="48"/>
  <c r="J18" i="48"/>
  <c r="M18" i="48"/>
  <c r="U99" i="19"/>
  <c r="X99" i="19"/>
  <c r="X12" i="19"/>
  <c r="Y8" i="36"/>
  <c r="X8" i="36"/>
  <c r="V14" i="36"/>
  <c r="Y14" i="36"/>
  <c r="Y5" i="39"/>
  <c r="T40" i="52"/>
  <c r="E19" i="52"/>
  <c r="D19" i="52"/>
  <c r="V40" i="52"/>
  <c r="P41" i="52"/>
  <c r="Y15" i="19"/>
  <c r="M26" i="48"/>
  <c r="F32" i="35"/>
  <c r="F29" i="35"/>
  <c r="F33" i="35"/>
  <c r="C33" i="35"/>
  <c r="R25" i="35"/>
  <c r="Y24" i="35"/>
  <c r="G94" i="19"/>
  <c r="H17" i="36"/>
  <c r="H28" i="36"/>
  <c r="H14" i="36"/>
  <c r="I33" i="35"/>
  <c r="L33" i="35"/>
  <c r="N17" i="36"/>
  <c r="N14" i="36"/>
  <c r="C34" i="48"/>
  <c r="Y94" i="19"/>
  <c r="Y70" i="19"/>
  <c r="S25" i="35"/>
  <c r="G24" i="35"/>
  <c r="V29" i="35"/>
  <c r="V33" i="35"/>
  <c r="K39" i="48"/>
  <c r="Y14" i="37"/>
  <c r="E15" i="52"/>
  <c r="D15" i="52"/>
  <c r="X14" i="37"/>
  <c r="M33" i="35"/>
  <c r="Y29" i="37"/>
  <c r="R34" i="37"/>
  <c r="Y34" i="37"/>
  <c r="V66" i="19"/>
  <c r="X66" i="19"/>
  <c r="X70" i="19"/>
  <c r="P14" i="36"/>
  <c r="E34" i="48"/>
  <c r="P17" i="36"/>
  <c r="U25" i="35"/>
  <c r="X24" i="35"/>
  <c r="R23" i="37"/>
  <c r="Y23" i="37"/>
  <c r="Y18" i="37"/>
  <c r="N33" i="35"/>
  <c r="E32" i="35"/>
  <c r="E29" i="35"/>
  <c r="E28" i="35"/>
  <c r="Y31" i="36"/>
  <c r="R41" i="36"/>
  <c r="G35" i="48"/>
  <c r="H28" i="35"/>
  <c r="H32" i="35"/>
  <c r="H29" i="35"/>
  <c r="X29" i="37"/>
  <c r="U34" i="37"/>
  <c r="X34" i="37"/>
  <c r="U23" i="37"/>
  <c r="X23" i="37"/>
  <c r="X18" i="37"/>
  <c r="E66" i="19"/>
  <c r="X35" i="36"/>
  <c r="Y35" i="36"/>
  <c r="V41" i="36"/>
  <c r="U42" i="41"/>
  <c r="X39" i="41"/>
  <c r="P18" i="52"/>
  <c r="E27" i="52"/>
  <c r="T15" i="52"/>
  <c r="V15" i="52"/>
  <c r="F95" i="19"/>
  <c r="E95" i="19"/>
  <c r="X9" i="51"/>
  <c r="V7" i="51"/>
  <c r="Y9" i="51"/>
  <c r="X8" i="28"/>
  <c r="X22" i="41"/>
  <c r="Y22" i="41"/>
  <c r="U20" i="41"/>
  <c r="Y20" i="41"/>
  <c r="F94" i="19"/>
  <c r="E33" i="35"/>
  <c r="R44" i="41"/>
  <c r="Y44" i="41"/>
  <c r="Y42" i="41"/>
  <c r="K34" i="48"/>
  <c r="X14" i="36"/>
  <c r="H22" i="41"/>
  <c r="H20" i="41"/>
  <c r="H23" i="41"/>
  <c r="H25" i="41"/>
  <c r="G22" i="41"/>
  <c r="G20" i="41"/>
  <c r="G23" i="41"/>
  <c r="G25" i="41"/>
  <c r="F21" i="41"/>
  <c r="F20" i="41"/>
  <c r="F23" i="41"/>
  <c r="F25" i="41"/>
  <c r="V41" i="52"/>
  <c r="T41" i="52"/>
  <c r="H33" i="35"/>
  <c r="R28" i="35"/>
  <c r="Y28" i="35"/>
  <c r="R32" i="35"/>
  <c r="Y25" i="35"/>
  <c r="S28" i="35"/>
  <c r="S32" i="35"/>
  <c r="S29" i="35"/>
  <c r="G25" i="35"/>
  <c r="Y66" i="19"/>
  <c r="N39" i="48"/>
  <c r="M39" i="48"/>
  <c r="U32" i="35"/>
  <c r="U28" i="35"/>
  <c r="X28" i="35"/>
  <c r="X25" i="35"/>
  <c r="P23" i="52"/>
  <c r="T18" i="52"/>
  <c r="V18" i="52"/>
  <c r="V25" i="41"/>
  <c r="Y23" i="41"/>
  <c r="E11" i="52"/>
  <c r="D11" i="52"/>
  <c r="U44" i="41"/>
  <c r="X44" i="41"/>
  <c r="X42" i="41"/>
  <c r="K35" i="48"/>
  <c r="Y41" i="36"/>
  <c r="X41" i="36"/>
  <c r="J14" i="48"/>
  <c r="M14" i="48"/>
  <c r="X23" i="18"/>
  <c r="Y11" i="28"/>
  <c r="X11" i="28"/>
  <c r="X7" i="51"/>
  <c r="Y7" i="51"/>
  <c r="X10" i="28"/>
  <c r="Y10" i="28"/>
  <c r="U23" i="41"/>
  <c r="X20" i="41"/>
  <c r="M34" i="48"/>
  <c r="N34" i="48"/>
  <c r="R29" i="35"/>
  <c r="Y32" i="35"/>
  <c r="G28" i="35"/>
  <c r="G32" i="35"/>
  <c r="G29" i="35"/>
  <c r="S33" i="35"/>
  <c r="U29" i="35"/>
  <c r="X32" i="35"/>
  <c r="K38" i="48"/>
  <c r="Y25" i="41"/>
  <c r="N35" i="48"/>
  <c r="M35" i="48"/>
  <c r="P26" i="52"/>
  <c r="T23" i="52"/>
  <c r="V23" i="52"/>
  <c r="J15" i="48"/>
  <c r="M15" i="48"/>
  <c r="X26" i="18"/>
  <c r="U25" i="41"/>
  <c r="X23" i="41"/>
  <c r="R33" i="35"/>
  <c r="Y33" i="35"/>
  <c r="Y29" i="35"/>
  <c r="G33" i="35"/>
  <c r="U33" i="35"/>
  <c r="X33" i="35"/>
  <c r="X29" i="35"/>
  <c r="T26" i="52"/>
  <c r="V26" i="52"/>
  <c r="E25" i="52"/>
  <c r="E26" i="52"/>
  <c r="N38" i="48"/>
  <c r="J38" i="48"/>
  <c r="M38" i="48"/>
  <c r="X25" i="41"/>
  <c r="U83" i="19"/>
  <c r="U81" i="19"/>
  <c r="U92" i="19"/>
  <c r="T83" i="19"/>
  <c r="T81" i="19"/>
  <c r="T92" i="19"/>
  <c r="S83" i="19"/>
  <c r="S81" i="19"/>
  <c r="S92" i="19"/>
  <c r="R83" i="19"/>
  <c r="R81" i="19"/>
  <c r="R92" i="19"/>
  <c r="Q83" i="19"/>
  <c r="Q81" i="19"/>
  <c r="Q92" i="19"/>
  <c r="O83" i="19"/>
  <c r="O81" i="19"/>
  <c r="O92" i="19"/>
  <c r="N83" i="19"/>
  <c r="N81" i="19"/>
  <c r="N92" i="19"/>
  <c r="M83" i="19"/>
  <c r="M81" i="19"/>
  <c r="M92" i="19"/>
  <c r="K83" i="19"/>
  <c r="K81" i="19"/>
  <c r="K92" i="19"/>
  <c r="J83" i="19"/>
  <c r="J81" i="19"/>
  <c r="J92" i="19"/>
  <c r="I83" i="19"/>
  <c r="I81" i="19"/>
  <c r="I92" i="19"/>
  <c r="T80" i="19"/>
  <c r="T78" i="19"/>
  <c r="S80" i="19"/>
  <c r="S78" i="19"/>
  <c r="R80" i="19"/>
  <c r="R78" i="19"/>
  <c r="Q80" i="19"/>
  <c r="Q78" i="19"/>
  <c r="O80" i="19"/>
  <c r="O78" i="19"/>
  <c r="N80" i="19"/>
  <c r="N78" i="19"/>
  <c r="M80" i="19"/>
  <c r="M78" i="19"/>
  <c r="K80" i="19"/>
  <c r="K78" i="19"/>
  <c r="J80" i="19"/>
  <c r="J78" i="19"/>
  <c r="I80" i="19"/>
  <c r="I78" i="19"/>
  <c r="U80" i="19"/>
  <c r="U78" i="19"/>
  <c r="G26" i="19"/>
  <c r="F26" i="19"/>
  <c r="E26" i="19"/>
  <c r="T23" i="19"/>
  <c r="I31" i="48"/>
  <c r="F20" i="19"/>
  <c r="E20" i="19"/>
  <c r="U23" i="19"/>
  <c r="J31" i="48"/>
  <c r="G40" i="48"/>
  <c r="L80" i="19"/>
  <c r="F60" i="19"/>
  <c r="T91" i="19"/>
  <c r="T77" i="19"/>
  <c r="T90" i="19"/>
  <c r="U6" i="29"/>
  <c r="T6" i="29"/>
  <c r="T9" i="29"/>
  <c r="U9" i="29"/>
  <c r="S23" i="19"/>
  <c r="G20" i="19"/>
  <c r="M91" i="19"/>
  <c r="M77" i="19"/>
  <c r="M90" i="19"/>
  <c r="H83" i="19"/>
  <c r="E61" i="19"/>
  <c r="P83" i="19"/>
  <c r="G61" i="19"/>
  <c r="X60" i="19"/>
  <c r="V80" i="19"/>
  <c r="Y60" i="19"/>
  <c r="P13" i="51"/>
  <c r="P18" i="51"/>
  <c r="P5" i="51"/>
  <c r="P10" i="51"/>
  <c r="P16" i="28"/>
  <c r="Q24" i="36"/>
  <c r="Q21" i="36"/>
  <c r="Q52" i="36"/>
  <c r="Q49" i="36"/>
  <c r="M13" i="51"/>
  <c r="M18" i="51"/>
  <c r="M5" i="51"/>
  <c r="M10" i="51"/>
  <c r="M16" i="28"/>
  <c r="E5" i="51"/>
  <c r="E10" i="51"/>
  <c r="E16" i="28"/>
  <c r="E13" i="51"/>
  <c r="E18" i="51"/>
  <c r="U5" i="51"/>
  <c r="U10" i="51"/>
  <c r="U16" i="28"/>
  <c r="U13" i="51"/>
  <c r="U18" i="51"/>
  <c r="V23" i="19"/>
  <c r="Y20" i="19"/>
  <c r="X20" i="19"/>
  <c r="N77" i="19"/>
  <c r="N90" i="19"/>
  <c r="N91" i="19"/>
  <c r="X61" i="19"/>
  <c r="V83" i="19"/>
  <c r="Y61" i="19"/>
  <c r="U6" i="30"/>
  <c r="V6" i="30"/>
  <c r="N5" i="51"/>
  <c r="N10" i="51"/>
  <c r="N16" i="28"/>
  <c r="N13" i="51"/>
  <c r="N18" i="51"/>
  <c r="O91" i="19"/>
  <c r="O77" i="19"/>
  <c r="O90" i="19"/>
  <c r="G13" i="51"/>
  <c r="G18" i="51"/>
  <c r="G5" i="51"/>
  <c r="G10" i="51"/>
  <c r="G16" i="28"/>
  <c r="F13" i="51"/>
  <c r="F18" i="51"/>
  <c r="F5" i="51"/>
  <c r="F10" i="51"/>
  <c r="F16" i="28"/>
  <c r="T5" i="51"/>
  <c r="T10" i="51"/>
  <c r="T16" i="28"/>
  <c r="T13" i="51"/>
  <c r="T18" i="51"/>
  <c r="L24" i="36"/>
  <c r="L21" i="36"/>
  <c r="L20" i="36"/>
  <c r="L28" i="36"/>
  <c r="L52" i="36"/>
  <c r="L49" i="36"/>
  <c r="L48" i="36"/>
  <c r="L56" i="36"/>
  <c r="L13" i="51"/>
  <c r="L18" i="51"/>
  <c r="L5" i="51"/>
  <c r="L10" i="51"/>
  <c r="L16" i="28"/>
  <c r="K13" i="51"/>
  <c r="K18" i="51"/>
  <c r="K5" i="51"/>
  <c r="K10" i="51"/>
  <c r="K16" i="28"/>
  <c r="Y26" i="19"/>
  <c r="X26" i="19"/>
  <c r="U91" i="19"/>
  <c r="U77" i="19"/>
  <c r="U90" i="19"/>
  <c r="P80" i="19"/>
  <c r="G60" i="19"/>
  <c r="U9" i="31"/>
  <c r="V9" i="31"/>
  <c r="D13" i="51"/>
  <c r="D18" i="51"/>
  <c r="D5" i="51"/>
  <c r="D10" i="51"/>
  <c r="D16" i="28"/>
  <c r="N52" i="36"/>
  <c r="N49" i="36"/>
  <c r="N24" i="36"/>
  <c r="N21" i="36"/>
  <c r="C5" i="51"/>
  <c r="C10" i="51"/>
  <c r="C16" i="28"/>
  <c r="C13" i="51"/>
  <c r="C18" i="51"/>
  <c r="O5" i="51"/>
  <c r="O10" i="51"/>
  <c r="O16" i="28"/>
  <c r="O13" i="51"/>
  <c r="O18" i="51"/>
  <c r="O24" i="36"/>
  <c r="O21" i="36"/>
  <c r="O52" i="36"/>
  <c r="O49" i="36"/>
  <c r="S24" i="36"/>
  <c r="S21" i="36"/>
  <c r="S52" i="36"/>
  <c r="S49" i="36"/>
  <c r="J13" i="51"/>
  <c r="J18" i="51"/>
  <c r="J5" i="51"/>
  <c r="J10" i="51"/>
  <c r="J16" i="28"/>
  <c r="I77" i="19"/>
  <c r="I90" i="19"/>
  <c r="I91" i="19"/>
  <c r="Q91" i="19"/>
  <c r="Q77" i="19"/>
  <c r="Q90" i="19"/>
  <c r="F61" i="19"/>
  <c r="L83" i="19"/>
  <c r="U52" i="36"/>
  <c r="U49" i="36"/>
  <c r="U24" i="36"/>
  <c r="U21" i="36"/>
  <c r="J77" i="19"/>
  <c r="J90" i="19"/>
  <c r="J91" i="19"/>
  <c r="R91" i="19"/>
  <c r="R77" i="19"/>
  <c r="R90" i="19"/>
  <c r="M52" i="36"/>
  <c r="M49" i="36"/>
  <c r="M24" i="36"/>
  <c r="M21" i="36"/>
  <c r="P24" i="36"/>
  <c r="P21" i="36"/>
  <c r="P52" i="36"/>
  <c r="P49" i="36"/>
  <c r="P48" i="36"/>
  <c r="P56" i="36"/>
  <c r="E37" i="48"/>
  <c r="R24" i="36"/>
  <c r="R21" i="36"/>
  <c r="R52" i="36"/>
  <c r="R49" i="36"/>
  <c r="R48" i="36"/>
  <c r="R56" i="36"/>
  <c r="G37" i="48"/>
  <c r="R13" i="51"/>
  <c r="R18" i="51"/>
  <c r="R5" i="51"/>
  <c r="I13" i="51"/>
  <c r="I18" i="51"/>
  <c r="I5" i="51"/>
  <c r="I10" i="51"/>
  <c r="I16" i="28"/>
  <c r="Q13" i="51"/>
  <c r="Q18" i="51"/>
  <c r="Q5" i="51"/>
  <c r="Q10" i="51"/>
  <c r="Q16" i="28"/>
  <c r="H5" i="51"/>
  <c r="H10" i="51"/>
  <c r="H16" i="28"/>
  <c r="H13" i="51"/>
  <c r="H18" i="51"/>
  <c r="K77" i="19"/>
  <c r="K90" i="19"/>
  <c r="K91" i="19"/>
  <c r="S91" i="19"/>
  <c r="S77" i="19"/>
  <c r="S90" i="19"/>
  <c r="H80" i="19"/>
  <c r="E60" i="19"/>
  <c r="E31" i="48"/>
  <c r="F31" i="48"/>
  <c r="E21" i="19"/>
  <c r="F27" i="19"/>
  <c r="E30" i="48"/>
  <c r="F40" i="48"/>
  <c r="C29" i="48"/>
  <c r="E29" i="48"/>
  <c r="E40" i="48"/>
  <c r="C31" i="48"/>
  <c r="J29" i="48"/>
  <c r="G27" i="19"/>
  <c r="C30" i="48"/>
  <c r="I40" i="48"/>
  <c r="G21" i="19"/>
  <c r="G30" i="48"/>
  <c r="F21" i="19"/>
  <c r="E28" i="19"/>
  <c r="E27" i="19"/>
  <c r="E22" i="19"/>
  <c r="F30" i="48"/>
  <c r="G29" i="48"/>
  <c r="F29" i="48"/>
  <c r="G31" i="48"/>
  <c r="I29" i="48"/>
  <c r="O20" i="36"/>
  <c r="O28" i="36"/>
  <c r="D36" i="48"/>
  <c r="M20" i="36"/>
  <c r="M28" i="36"/>
  <c r="M48" i="36"/>
  <c r="M56" i="36"/>
  <c r="O48" i="36"/>
  <c r="O56" i="36"/>
  <c r="D37" i="48"/>
  <c r="V7" i="30"/>
  <c r="U7" i="30"/>
  <c r="D31" i="48"/>
  <c r="F23" i="19"/>
  <c r="T24" i="36"/>
  <c r="T21" i="36"/>
  <c r="U20" i="36"/>
  <c r="U28" i="36"/>
  <c r="J36" i="48"/>
  <c r="T52" i="36"/>
  <c r="T49" i="36"/>
  <c r="T48" i="36"/>
  <c r="T56" i="36"/>
  <c r="I37" i="48"/>
  <c r="G62" i="19"/>
  <c r="S13" i="51"/>
  <c r="S18" i="51"/>
  <c r="S5" i="51"/>
  <c r="S10" i="51"/>
  <c r="S16" i="28"/>
  <c r="Q48" i="36"/>
  <c r="Q56" i="36"/>
  <c r="F37" i="48"/>
  <c r="G83" i="19"/>
  <c r="P81" i="19"/>
  <c r="G24" i="36"/>
  <c r="G21" i="36"/>
  <c r="G52" i="36"/>
  <c r="G49" i="36"/>
  <c r="U7" i="29"/>
  <c r="T7" i="29"/>
  <c r="R20" i="36"/>
  <c r="R28" i="36"/>
  <c r="G36" i="48"/>
  <c r="L34" i="52"/>
  <c r="L36" i="52"/>
  <c r="X23" i="19"/>
  <c r="K31" i="48"/>
  <c r="Y23" i="19"/>
  <c r="K34" i="52"/>
  <c r="Q20" i="36"/>
  <c r="Q28" i="36"/>
  <c r="F36" i="48"/>
  <c r="G28" i="19"/>
  <c r="H30" i="48"/>
  <c r="X62" i="19"/>
  <c r="Y62" i="19"/>
  <c r="D29" i="48"/>
  <c r="F22" i="19"/>
  <c r="O34" i="52"/>
  <c r="O36" i="52"/>
  <c r="H81" i="19"/>
  <c r="E83" i="19"/>
  <c r="V10" i="31"/>
  <c r="U10" i="31"/>
  <c r="E80" i="19"/>
  <c r="H78" i="19"/>
  <c r="P20" i="36"/>
  <c r="P28" i="36"/>
  <c r="E36" i="48"/>
  <c r="J34" i="52"/>
  <c r="P78" i="19"/>
  <c r="G80" i="19"/>
  <c r="V81" i="19"/>
  <c r="X83" i="19"/>
  <c r="Y83" i="19"/>
  <c r="T10" i="29"/>
  <c r="U10" i="29"/>
  <c r="H29" i="48"/>
  <c r="G22" i="19"/>
  <c r="F28" i="19"/>
  <c r="D30" i="48"/>
  <c r="U11" i="29"/>
  <c r="T11" i="29"/>
  <c r="L81" i="19"/>
  <c r="F83" i="19"/>
  <c r="S48" i="36"/>
  <c r="S56" i="36"/>
  <c r="H37" i="48"/>
  <c r="N20" i="36"/>
  <c r="N28" i="36"/>
  <c r="C36" i="48"/>
  <c r="E62" i="19"/>
  <c r="M34" i="52"/>
  <c r="M36" i="52"/>
  <c r="S20" i="36"/>
  <c r="S28" i="36"/>
  <c r="H36" i="48"/>
  <c r="N48" i="36"/>
  <c r="N56" i="36"/>
  <c r="C37" i="48"/>
  <c r="V78" i="19"/>
  <c r="Y80" i="19"/>
  <c r="X80" i="19"/>
  <c r="F62" i="19"/>
  <c r="F52" i="36"/>
  <c r="F49" i="36"/>
  <c r="F48" i="36"/>
  <c r="F56" i="36"/>
  <c r="F24" i="36"/>
  <c r="F21" i="36"/>
  <c r="F20" i="36"/>
  <c r="F28" i="36"/>
  <c r="G23" i="19"/>
  <c r="H31" i="48"/>
  <c r="L78" i="19"/>
  <c r="F80" i="19"/>
  <c r="I30" i="48"/>
  <c r="J30" i="48"/>
  <c r="E23" i="19"/>
  <c r="U48" i="36"/>
  <c r="U56" i="36"/>
  <c r="J37" i="48"/>
  <c r="U8" i="29"/>
  <c r="T8" i="29"/>
  <c r="L77" i="19"/>
  <c r="L91" i="19"/>
  <c r="F78" i="19"/>
  <c r="F91" i="19"/>
  <c r="V91" i="19"/>
  <c r="X78" i="19"/>
  <c r="Y78" i="19"/>
  <c r="V77" i="19"/>
  <c r="E81" i="19"/>
  <c r="E92" i="19"/>
  <c r="H92" i="19"/>
  <c r="L92" i="19"/>
  <c r="F81" i="19"/>
  <c r="F92" i="19"/>
  <c r="J36" i="52"/>
  <c r="K36" i="52"/>
  <c r="G48" i="36"/>
  <c r="G56" i="36"/>
  <c r="U11" i="31"/>
  <c r="V11" i="31"/>
  <c r="H77" i="19"/>
  <c r="H91" i="19"/>
  <c r="E78" i="19"/>
  <c r="E91" i="19"/>
  <c r="G20" i="36"/>
  <c r="G28" i="36"/>
  <c r="T20" i="36"/>
  <c r="T28" i="36"/>
  <c r="I36" i="48"/>
  <c r="N34" i="52"/>
  <c r="N36" i="52"/>
  <c r="M31" i="48"/>
  <c r="N31" i="48"/>
  <c r="G81" i="19"/>
  <c r="G92" i="19"/>
  <c r="P92" i="19"/>
  <c r="X22" i="19"/>
  <c r="Y22" i="19"/>
  <c r="K29" i="48"/>
  <c r="V8" i="30"/>
  <c r="U8" i="30"/>
  <c r="V52" i="36"/>
  <c r="X54" i="36"/>
  <c r="Y54" i="36"/>
  <c r="Y26" i="36"/>
  <c r="V24" i="36"/>
  <c r="X26" i="36"/>
  <c r="V92" i="19"/>
  <c r="X81" i="19"/>
  <c r="Y81" i="19"/>
  <c r="X27" i="19"/>
  <c r="Y27" i="19"/>
  <c r="Y21" i="19"/>
  <c r="X21" i="19"/>
  <c r="P77" i="19"/>
  <c r="P91" i="19"/>
  <c r="G78" i="19"/>
  <c r="G91" i="19"/>
  <c r="J40" i="48"/>
  <c r="Y92" i="19"/>
  <c r="X92" i="19"/>
  <c r="N29" i="48"/>
  <c r="M29" i="48"/>
  <c r="Y24" i="36"/>
  <c r="V21" i="36"/>
  <c r="X24" i="36"/>
  <c r="X91" i="19"/>
  <c r="Y91" i="19"/>
  <c r="X6" i="51"/>
  <c r="V5" i="51"/>
  <c r="Y6" i="51"/>
  <c r="X14" i="51"/>
  <c r="V13" i="51"/>
  <c r="Y14" i="51"/>
  <c r="H90" i="19"/>
  <c r="E77" i="19"/>
  <c r="E90" i="19"/>
  <c r="L90" i="19"/>
  <c r="F77" i="19"/>
  <c r="F90" i="19"/>
  <c r="X52" i="36"/>
  <c r="V49" i="36"/>
  <c r="Y52" i="36"/>
  <c r="Y28" i="19"/>
  <c r="X28" i="19"/>
  <c r="K30" i="48"/>
  <c r="G77" i="19"/>
  <c r="G90" i="19"/>
  <c r="P90" i="19"/>
  <c r="V90" i="19"/>
  <c r="Y77" i="19"/>
  <c r="X77" i="19"/>
  <c r="C40" i="48"/>
  <c r="Y13" i="51"/>
  <c r="X13" i="51"/>
  <c r="V18" i="51"/>
  <c r="P34" i="52"/>
  <c r="X21" i="36"/>
  <c r="Y21" i="36"/>
  <c r="V20" i="36"/>
  <c r="Y90" i="19"/>
  <c r="X90" i="19"/>
  <c r="Y5" i="51"/>
  <c r="X5" i="51"/>
  <c r="V10" i="51"/>
  <c r="V48" i="36"/>
  <c r="X49" i="36"/>
  <c r="Y49" i="36"/>
  <c r="M30" i="48"/>
  <c r="N30" i="48"/>
  <c r="D40" i="48"/>
  <c r="X48" i="36"/>
  <c r="Y48" i="36"/>
  <c r="V56" i="36"/>
  <c r="X20" i="36"/>
  <c r="Y20" i="36"/>
  <c r="V28" i="36"/>
  <c r="Y7" i="28"/>
  <c r="X7" i="28"/>
  <c r="V16" i="28"/>
  <c r="Y10" i="51"/>
  <c r="X10" i="51"/>
  <c r="E14" i="52"/>
  <c r="D14" i="52"/>
  <c r="V34" i="52"/>
  <c r="E18" i="52"/>
  <c r="D18" i="52"/>
  <c r="Q34" i="52"/>
  <c r="P36" i="52"/>
  <c r="T34" i="52"/>
  <c r="X18" i="51"/>
  <c r="Y18" i="51"/>
  <c r="Y6" i="28"/>
  <c r="X6" i="28"/>
  <c r="H40" i="48"/>
  <c r="Q35" i="52"/>
  <c r="Q17" i="52"/>
  <c r="S34" i="52"/>
  <c r="U34" i="52"/>
  <c r="T36" i="52"/>
  <c r="Q36" i="52"/>
  <c r="V36" i="52"/>
  <c r="X28" i="36"/>
  <c r="Y28" i="36"/>
  <c r="K36" i="48"/>
  <c r="E12" i="52"/>
  <c r="D12" i="52"/>
  <c r="X56" i="36"/>
  <c r="K37" i="48"/>
  <c r="Y56" i="36"/>
  <c r="Q40" i="52"/>
  <c r="X16" i="28"/>
  <c r="Y16" i="28"/>
  <c r="Q37" i="52"/>
  <c r="S36" i="52"/>
  <c r="U36" i="52"/>
  <c r="N37" i="48"/>
  <c r="M37" i="48"/>
  <c r="Q11" i="52"/>
  <c r="U40" i="52"/>
  <c r="S40" i="52"/>
  <c r="Q22" i="52"/>
  <c r="Q12" i="52"/>
  <c r="U17" i="52"/>
  <c r="S17" i="52"/>
  <c r="M36" i="48"/>
  <c r="N36" i="48"/>
  <c r="U35" i="52"/>
  <c r="S35" i="52"/>
  <c r="S11" i="52"/>
  <c r="U11" i="52"/>
  <c r="S12" i="52"/>
  <c r="U12" i="52"/>
  <c r="Q15" i="52"/>
  <c r="Q10" i="52"/>
  <c r="S22" i="52"/>
  <c r="U22" i="52"/>
  <c r="S37" i="52"/>
  <c r="Q43" i="52"/>
  <c r="U37" i="52"/>
  <c r="S10" i="52"/>
  <c r="U10" i="52"/>
  <c r="S15" i="52"/>
  <c r="Q21" i="52"/>
  <c r="U15" i="52"/>
  <c r="Q18" i="52"/>
  <c r="D27" i="52"/>
  <c r="U43" i="52"/>
  <c r="S43" i="52"/>
  <c r="S21" i="52"/>
  <c r="U21" i="52"/>
  <c r="Q20" i="52"/>
  <c r="U18" i="52"/>
  <c r="S18" i="52"/>
  <c r="Q23" i="52"/>
  <c r="K40" i="48"/>
  <c r="Y14" i="28"/>
  <c r="X14" i="28"/>
  <c r="M40" i="48"/>
  <c r="N40" i="48"/>
  <c r="Y15" i="28"/>
  <c r="X15" i="28"/>
  <c r="Q25" i="52"/>
  <c r="S23" i="52"/>
  <c r="U23" i="52"/>
  <c r="U20" i="52"/>
  <c r="S20" i="52"/>
  <c r="Y12" i="28"/>
  <c r="X12" i="28"/>
  <c r="Y13" i="28"/>
  <c r="X13" i="28"/>
  <c r="Q26" i="52"/>
  <c r="U25" i="52"/>
  <c r="S25" i="52"/>
  <c r="D26" i="52"/>
  <c r="S26" i="52"/>
  <c r="Q42" i="52"/>
  <c r="D25" i="52"/>
  <c r="U26" i="52"/>
  <c r="S42" i="52"/>
  <c r="U42" i="52"/>
  <c r="Q41" i="52"/>
  <c r="U41" i="52"/>
  <c r="S41" i="52"/>
</calcChain>
</file>

<file path=xl/sharedStrings.xml><?xml version="1.0" encoding="utf-8"?>
<sst xmlns="http://schemas.openxmlformats.org/spreadsheetml/2006/main" count="1375" uniqueCount="924">
  <si>
    <t>N#</t>
  </si>
  <si>
    <t>Language</t>
  </si>
  <si>
    <t>Quarters</t>
  </si>
  <si>
    <t>Trimestres</t>
  </si>
  <si>
    <t>Quarters 1</t>
  </si>
  <si>
    <t>Trimestres 1</t>
  </si>
  <si>
    <t>x</t>
  </si>
  <si>
    <t>y</t>
  </si>
  <si>
    <t>Menu - EN</t>
  </si>
  <si>
    <t>Menu - PT</t>
  </si>
  <si>
    <t>Balance Sheet (IFRS, R$ Thousands)</t>
  </si>
  <si>
    <t>Balanço Patrimonial (IFRS, R$ Mil)</t>
  </si>
  <si>
    <t>Income Statement (IFRS, R$ Thousands)</t>
  </si>
  <si>
    <t>Demonstração de Resultado (IFRS, R$ Mil)</t>
  </si>
  <si>
    <t>Credit (IFRS, R$ Thousands)</t>
  </si>
  <si>
    <t>Carteira de Crédito (IFRS, R$ Mil)</t>
  </si>
  <si>
    <t>Funding (IFRS, R$ Thousands)</t>
  </si>
  <si>
    <t>Funding (IFRS, R$ Mil)</t>
  </si>
  <si>
    <t>Fee Revenues (IFRS, R$ Thousands)</t>
  </si>
  <si>
    <t>Receitas de serviços e comissões (IFRS, R$ Mil)</t>
  </si>
  <si>
    <t>Financials KPIs</t>
  </si>
  <si>
    <t>KPIs Financeiros</t>
  </si>
  <si>
    <t>Tier I Ratio (Banco Inter S.A., R$ Thousands)</t>
  </si>
  <si>
    <t>Índice de Basiléia (Banco Inter S.A., R$ Mil)</t>
  </si>
  <si>
    <t>NIMs (R$ Thousands)</t>
  </si>
  <si>
    <t>NIMs (R$ Mil)</t>
  </si>
  <si>
    <t>Cost of Risk (R$ Thousands)</t>
  </si>
  <si>
    <t>Cost of Risk (R$ Mil)</t>
  </si>
  <si>
    <t>Asset Quality</t>
  </si>
  <si>
    <t>Monthly Cost-to-serve (R$ Thousands)</t>
  </si>
  <si>
    <t>Custo de Servir Mensal (R$ Mil)</t>
  </si>
  <si>
    <t>Monthly ARPAC (R$ Thousands)</t>
  </si>
  <si>
    <t>ARPAC Mensal (R$ Mil)</t>
  </si>
  <si>
    <t>Inter Seguros (Managerial, Million)</t>
  </si>
  <si>
    <t>Inter Seguros (Gerencial, Milhão)</t>
  </si>
  <si>
    <t>Inter Shop (Managerial, Million)</t>
  </si>
  <si>
    <t>Inter Shop (Gerencial, Milhões)</t>
  </si>
  <si>
    <t>Digital Account (Managerial, Million)</t>
  </si>
  <si>
    <t>Conta Digital (Gerencial, Milhões)</t>
  </si>
  <si>
    <t>Operational KPIs</t>
  </si>
  <si>
    <t>KPIs Operacionais</t>
  </si>
  <si>
    <t>Back to summary</t>
  </si>
  <si>
    <t>Voltar ao sumário</t>
  </si>
  <si>
    <t>Note 1: New methodology for NIMs since 1Q23. Considering derivatives.</t>
  </si>
  <si>
    <t>Nota 1: Nova metodologia para NIMs desde o 1T23. Considerando derivativos.</t>
  </si>
  <si>
    <t> Efficiency Ratio (R$ Thousands)</t>
  </si>
  <si>
    <t>Índice de Eficiência (R$ Mil)</t>
  </si>
  <si>
    <t>Inter Invest (Managerial, R$ Million)</t>
  </si>
  <si>
    <t>Inter Invest (Gerencial, R$ Milhão)</t>
  </si>
  <si>
    <t>3Q24 Historical Data</t>
  </si>
  <si>
    <t>Séries Históricas 3T24</t>
  </si>
  <si>
    <t>Highlights of the Quarter | 3Q24</t>
  </si>
  <si>
    <t>Destaques do Trimestre | 3T24</t>
  </si>
  <si>
    <t>Managerial KPIs Effects in 3Q24 Financial Statements</t>
  </si>
  <si>
    <t>Efeitos Gerenciais dos KPIs nas Demonstrações Financeiras do 3T24</t>
  </si>
  <si>
    <t>Market Data - Brazil (Millions)</t>
  </si>
  <si>
    <t>Dados de Mercado - Brasil (Milhões)</t>
  </si>
  <si>
    <t>Inter Pag (Managerial, R$ Million)</t>
  </si>
  <si>
    <t>Inter Pag (Gerencial, R$ Milhão)</t>
  </si>
  <si>
    <t>Português</t>
  </si>
  <si>
    <t>4Q19</t>
  </si>
  <si>
    <t>4T19</t>
  </si>
  <si>
    <t>Operational Data</t>
  </si>
  <si>
    <t>Dados Operacionais</t>
  </si>
  <si>
    <t>Balance Sheet</t>
  </si>
  <si>
    <t>Balanço Patrimonial</t>
  </si>
  <si>
    <t>Assets</t>
  </si>
  <si>
    <t>Ativos</t>
  </si>
  <si>
    <t>Interest income</t>
  </si>
  <si>
    <t>Receita de juros</t>
  </si>
  <si>
    <t>Loan portfolio</t>
  </si>
  <si>
    <t>Carteira de crédito</t>
  </si>
  <si>
    <t>Funding - including other interest bearing liabilities</t>
  </si>
  <si>
    <t>Funding - incluindo outros passivos que geram despesas de juros</t>
  </si>
  <si>
    <t>KPIs financeiros</t>
  </si>
  <si>
    <t>Cost of risk  (Excl. Antic. of CC Receivables)</t>
  </si>
  <si>
    <t>Cost of risk  (Excl. Antec. de Recebíveis CC)</t>
  </si>
  <si>
    <t>Cost of risk (%)</t>
  </si>
  <si>
    <t>Inter seguros</t>
  </si>
  <si>
    <t>Inter shop</t>
  </si>
  <si>
    <t>Digital account</t>
  </si>
  <si>
    <t>Conta digital</t>
  </si>
  <si>
    <t>KPIs operacionais</t>
  </si>
  <si>
    <t>Note 1: New methodology for Efficiency Ratio since 1Q23. Considering D&amp;A as expanses and excluding tax expenses from revenues.</t>
  </si>
  <si>
    <t>Note 1: Nova metodologia para Índice de Eficiência desde o 1T23. Considerando D&amp;A em despesas e excluindo despesas tributárias na receita.</t>
  </si>
  <si>
    <t>Variation %</t>
  </si>
  <si>
    <t>Variação %</t>
  </si>
  <si>
    <t>Instructions for Use:
1. Read the disclaimer bellow before using this sheet.
2. The simulation is pre-set with Q3'24 Key Performance Indicators (KPIs) in column D. You can modify the simulation by entering your desired KPI values in the green cells in Column D.
3. Once you input the new KPI values, the corresponding results will be updated in column O of the Income Statement, Balance Sheet, or both, depending on the specific KPI. The values that may alter are marked in orange.
4. Additionally, the KPI Output in column D will change dynamically based on your input, allowing you to observe the effects of different KPI values.</t>
  </si>
  <si>
    <t>Instruções de Uso:
1. Leia o disclaimer abaixo antes de utilizar esta planilha.
2. A simulação está pré-configurada com Indicadores-Chave de Desempenho (KPIs) do 3º trimestre de 2024 na coluna D. Você pode modificar a simulação inserindo os valores desejados para os KPIs nas células em verde na coluna D.
3. Uma vez que você inserir os novos valores dos KPIs, os resultados correspondentes serão automaticamente atualizados na coluna O da Demonstração de Resultados, Balanço Patrimonial ou em ambos, dependendo da KPI. Os valores que podem ser alterados estão marcados em laranja.
4. Além disso, o resultado dos KPIs na coluna D mudará dinamicamente de acordo com a sua entrada, permitindo que você observe os efeitos de diferentes valores de KPI.
Aviso Legal: Esta simulação é fornecida apenas para fins ilustrativos e não representa dados financeiros reais. As informações apresentadas são baseadas em cenários hipotéticos e suposições. Ela é destinada apenas como uma ferramenta de aprendizado e não oferece qualquer tipo de conselho de investimento, recomendações ou orientações.
Recomenda-se que os usuários tenham cautela ao interpretar os resultados e que consultem profissionais financeiros qualificados ou se refiram às regras e diretrizes oficiais fornecidas pelas autoridades reguladoras relevantes antes de tomar quaisquer decisões financeiras no mundo real.</t>
  </si>
  <si>
    <t>Source</t>
  </si>
  <si>
    <t>Fonte</t>
  </si>
  <si>
    <t>English</t>
  </si>
  <si>
    <t>4Q20</t>
  </si>
  <si>
    <t>4T20</t>
  </si>
  <si>
    <t>Others</t>
  </si>
  <si>
    <t>Outros</t>
  </si>
  <si>
    <t>Income Statement</t>
  </si>
  <si>
    <t>DRE</t>
  </si>
  <si>
    <t>Cash and cash equivalents</t>
  </si>
  <si>
    <t>Caixa e equivalentes de caixa</t>
  </si>
  <si>
    <t>Interest expenses</t>
  </si>
  <si>
    <t>Despesas de juros</t>
  </si>
  <si>
    <t>Gross loans and advances to customers</t>
  </si>
  <si>
    <t>Empréstimos e adiantamentos a clientes</t>
  </si>
  <si>
    <t>Liabilities with customers</t>
  </si>
  <si>
    <t>Passivos com clientes</t>
  </si>
  <si>
    <t xml:space="preserve">Revenues from services and commissions </t>
  </si>
  <si>
    <t>Receitas de serviços e comissões</t>
  </si>
  <si>
    <t>Tier I Ratio</t>
  </si>
  <si>
    <t>Tier I ratio (%)</t>
  </si>
  <si>
    <t>Índice de basileia (%)</t>
  </si>
  <si>
    <t>Tier 1 ratio</t>
  </si>
  <si>
    <t>Índice de basiléia</t>
  </si>
  <si>
    <t>NIM 1.0 - IEP + non-interest credit card receivables</t>
  </si>
  <si>
    <t>NIM 1.0 - carteira remunerada + recebíveis CC que não geram juros</t>
  </si>
  <si>
    <t>Anuallized impairment losses on financial assets</t>
  </si>
  <si>
    <t>Resultado de perdas esperadas anualizado</t>
  </si>
  <si>
    <t>NPL &gt; 90 days (including anticipation of credit card receivables, %)</t>
  </si>
  <si>
    <t>NPL &gt; 90 dias (incluindo antecipação de recebíveis de cartão de crédito, %)</t>
  </si>
  <si>
    <t>Cost-to-serve</t>
  </si>
  <si>
    <t>Custo de servir</t>
  </si>
  <si>
    <t>ARPAC (gross of cost of funding)</t>
  </si>
  <si>
    <t>ARPAC (bruto de custo de funding)</t>
  </si>
  <si>
    <t>Active contracts</t>
  </si>
  <si>
    <t>Contratos ativos</t>
  </si>
  <si>
    <t>Gross merchandise volume</t>
  </si>
  <si>
    <t>Volume transacionado</t>
  </si>
  <si>
    <t>Number of cards used (in thousands)</t>
  </si>
  <si>
    <t>Número de cartões utilizados (em mil)</t>
  </si>
  <si>
    <t>CAC</t>
  </si>
  <si>
    <t>Note 1: New methodology for Total cost-to-serve since 1Q23 Considering D&amp;A as expanses.</t>
  </si>
  <si>
    <t>Note 1: Nova metodologia para Custo de servir desde o 1T23. Considerando D&amp;A nas depesas e excluindo despesas tributárias.</t>
  </si>
  <si>
    <t>Efficiency ratio </t>
  </si>
  <si>
    <t>Índice de eficiência</t>
  </si>
  <si>
    <t>Inter invest</t>
  </si>
  <si>
    <t>KPIs</t>
  </si>
  <si>
    <t>KPI Inputs</t>
  </si>
  <si>
    <t>Input KPI</t>
  </si>
  <si>
    <t>Inter Pag</t>
  </si>
  <si>
    <t>1Q21</t>
  </si>
  <si>
    <t>1T21</t>
  </si>
  <si>
    <t xml:space="preserve">Credit </t>
  </si>
  <si>
    <t>Crédito</t>
  </si>
  <si>
    <t>Amounts due from financial institutions</t>
  </si>
  <si>
    <t>Empréstimos e adiantamento a instituições financeiras</t>
  </si>
  <si>
    <t>Income from securities and derivatives</t>
  </si>
  <si>
    <t>Resultado de títulos e valores mobiliários e derivativos</t>
  </si>
  <si>
    <t>Real estate</t>
  </si>
  <si>
    <t>Imobiliário</t>
  </si>
  <si>
    <t>Demand deposits</t>
  </si>
  <si>
    <t>Depósitos à vista</t>
  </si>
  <si>
    <t>Interchange</t>
  </si>
  <si>
    <t xml:space="preserve">Receitas de intercâmbio </t>
  </si>
  <si>
    <t>NIM 1.0 - IEP + Non-interest credit card receivables</t>
  </si>
  <si>
    <t>NIM 1.0 - IEP + non-interest credit card receivables (%)</t>
  </si>
  <si>
    <t>NIM 1.0 - Carteira remunerada + recebíveis CC que não geram juros (%)</t>
  </si>
  <si>
    <t>Referential equity (RE)</t>
  </si>
  <si>
    <t xml:space="preserve">Patrimônio de referência (PR) </t>
  </si>
  <si>
    <t>Annualized NII</t>
  </si>
  <si>
    <t>NII anualizado</t>
  </si>
  <si>
    <t>Impairment losses on financial assets</t>
  </si>
  <si>
    <t>Resultado de perdas esperadas</t>
  </si>
  <si>
    <t>NPL 15-90 days (including anticipation of credit card receivables, %)</t>
  </si>
  <si>
    <t>NPL 15-90 dias (incluindo antecipação de recebíveis de cartão de crédito, %)</t>
  </si>
  <si>
    <t>Monthly average of cost-to-serve</t>
  </si>
  <si>
    <t>Custo de servir médio mensal</t>
  </si>
  <si>
    <t>Monthly average of total gross revenues</t>
  </si>
  <si>
    <t>Receita bruta total mensal média</t>
  </si>
  <si>
    <t>Inter Seguros net revenues</t>
  </si>
  <si>
    <t>Receita líquida Inter Seguros</t>
  </si>
  <si>
    <t>Inter Shop net revenues</t>
  </si>
  <si>
    <t>Receita líquida Inter Shop</t>
  </si>
  <si>
    <t>Debit cards used</t>
  </si>
  <si>
    <t>Débito</t>
  </si>
  <si>
    <t>NPS</t>
  </si>
  <si>
    <t>Source: CDI Rate according to CETIP</t>
  </si>
  <si>
    <t>Fonte: Taxa do CDI de acordo com a CETIP</t>
  </si>
  <si>
    <t>Total operational expenses</t>
  </si>
  <si>
    <t>Despesas operacionais totais</t>
  </si>
  <si>
    <t>Total AUC</t>
  </si>
  <si>
    <t>AuC/AuM Total</t>
  </si>
  <si>
    <t>Unit Economics</t>
  </si>
  <si>
    <t>Banking Accounts</t>
  </si>
  <si>
    <t>Contas Bancárias</t>
  </si>
  <si>
    <t>Active Clients</t>
  </si>
  <si>
    <t>Clientes Ativos</t>
  </si>
  <si>
    <t>2Q21</t>
  </si>
  <si>
    <t>2T21</t>
  </si>
  <si>
    <t>Funding</t>
  </si>
  <si>
    <t>Compulsory deposits at Central Bank of Brazil</t>
  </si>
  <si>
    <t>Depósitos compulsórios Banco Central do Brasil</t>
  </si>
  <si>
    <t>Net interest income</t>
  </si>
  <si>
    <t>Resultado líquido de juros</t>
  </si>
  <si>
    <t>Personal</t>
  </si>
  <si>
    <t>Pessoal</t>
  </si>
  <si>
    <t>Time deposits</t>
  </si>
  <si>
    <t>Depósitos a prazo</t>
  </si>
  <si>
    <t>Comissions</t>
  </si>
  <si>
    <t xml:space="preserve">Receitas de comissões </t>
  </si>
  <si>
    <t>NIM 2.0 - IEP only</t>
  </si>
  <si>
    <t>NIM 2.0 - IEP only (%)</t>
  </si>
  <si>
    <t>NIM 2.0 - Apenas carteira remunerada (%)</t>
  </si>
  <si>
    <t>Tier I referential equity</t>
  </si>
  <si>
    <t xml:space="preserve">Patrimônio de referência nível I </t>
  </si>
  <si>
    <t>NII</t>
  </si>
  <si>
    <t>(÷) Avg of the last two periods of gross loans and advances to customers</t>
  </si>
  <si>
    <t>(÷) Média dos últimos dois períodos de empréstimos e adiantamentos a clientes</t>
  </si>
  <si>
    <t>Efficiency</t>
  </si>
  <si>
    <t>Eficiência</t>
  </si>
  <si>
    <t>Total cost-to-serve</t>
  </si>
  <si>
    <t>Custo de servir total</t>
  </si>
  <si>
    <t>Total gross revenues</t>
  </si>
  <si>
    <t>Receita bruta total</t>
  </si>
  <si>
    <t>Inter Seguros net fee revenues</t>
  </si>
  <si>
    <t>Receita líquida de serviços e comissões Inter Seguros</t>
  </si>
  <si>
    <t>Inter Shop net fee revenues</t>
  </si>
  <si>
    <t>Receita líquida de serviços e comissões Inter Shop</t>
  </si>
  <si>
    <t>Credit cards used</t>
  </si>
  <si>
    <t>Total clients (million)</t>
  </si>
  <si>
    <t>Clientes totais (milhões)</t>
  </si>
  <si>
    <t>Personnel expenses</t>
  </si>
  <si>
    <t>Despesa de pessoal</t>
  </si>
  <si>
    <t>Funding (includes deposits and other on-balance funding)</t>
  </si>
  <si>
    <t>Funding (incluindo outras operações)</t>
  </si>
  <si>
    <t>Total Clients (mm)</t>
  </si>
  <si>
    <t>Total de Clientes (mm)</t>
  </si>
  <si>
    <t>Cost of funding (%)</t>
  </si>
  <si>
    <t>Custo de funding (%)</t>
  </si>
  <si>
    <t>Individual with Banking Accounts</t>
  </si>
  <si>
    <t>CPFs com Contas Bancárias</t>
  </si>
  <si>
    <t>Estatísticas do CCS - Banco Central do Brasil</t>
  </si>
  <si>
    <t>Total TPV</t>
  </si>
  <si>
    <t>TPV Total</t>
  </si>
  <si>
    <t>3Q21</t>
  </si>
  <si>
    <t>3T21</t>
  </si>
  <si>
    <t>Fee Revenue</t>
  </si>
  <si>
    <t>Receita Líquida</t>
  </si>
  <si>
    <t>Securities</t>
  </si>
  <si>
    <t>Títulos e valores mobiliários</t>
  </si>
  <si>
    <t>SME</t>
  </si>
  <si>
    <t>Empresas</t>
  </si>
  <si>
    <t>Savings deposits</t>
  </si>
  <si>
    <t>Depósitos de poupança</t>
  </si>
  <si>
    <t>Banking</t>
  </si>
  <si>
    <t xml:space="preserve">Receitas de tarifas bancárias </t>
  </si>
  <si>
    <t>Efficiency Ratio</t>
  </si>
  <si>
    <t>Efficiency ratio (%)</t>
  </si>
  <si>
    <t>Índice de eficiência (%)</t>
  </si>
  <si>
    <t>Core capital (CC)</t>
  </si>
  <si>
    <t xml:space="preserve">Capital principal (CP) </t>
  </si>
  <si>
    <t>CAC (R$)</t>
  </si>
  <si>
    <t>Inter Seguros net interest revenues</t>
  </si>
  <si>
    <t>Receita líquida de juros Inter Seguros</t>
  </si>
  <si>
    <t>Inter Shop net interest revenues</t>
  </si>
  <si>
    <t>Receita líquida de juros Inter Shop</t>
  </si>
  <si>
    <t>Total cards used</t>
  </si>
  <si>
    <t>Número total de cartões utilizados</t>
  </si>
  <si>
    <t>Active clients (million)</t>
  </si>
  <si>
    <t>Clientes ativos (milhões)</t>
  </si>
  <si>
    <t>Administrative expenses</t>
  </si>
  <si>
    <t>Despesas administrativas</t>
  </si>
  <si>
    <t>Inter Asset AuM + Inter Securities AuM</t>
  </si>
  <si>
    <t>Active Clients (mm)</t>
  </si>
  <si>
    <t>Clientes Ativos (mm)</t>
  </si>
  <si>
    <t>NIM (%) 2.0 - IEP only</t>
  </si>
  <si>
    <t>NIM 2.0 - carteira remunerada</t>
  </si>
  <si>
    <t>Business with Banking Accounts</t>
  </si>
  <si>
    <t>CNPJs com Contas Bancárias</t>
  </si>
  <si>
    <t>Credit TPV</t>
  </si>
  <si>
    <t>TPV Crédito</t>
  </si>
  <si>
    <t>4Q21</t>
  </si>
  <si>
    <t>4T21</t>
  </si>
  <si>
    <t>Financial KPIs</t>
  </si>
  <si>
    <t>Derivative financial assets</t>
  </si>
  <si>
    <t>Instrumentos financeiros derivativos</t>
  </si>
  <si>
    <t>Expenses from services and commissions</t>
  </si>
  <si>
    <t>Despesas de serviços e comissões</t>
  </si>
  <si>
    <t>Credit cards</t>
  </si>
  <si>
    <t>Cartão de crédito</t>
  </si>
  <si>
    <t>Creditors by resources to release</t>
  </si>
  <si>
    <t>Credores por recursos a liberar</t>
  </si>
  <si>
    <t>Management (Inter DTVM &amp; Asset)</t>
  </si>
  <si>
    <t>Receita de gestão (Inter DTVM &amp; Asset)</t>
  </si>
  <si>
    <t>Cost-to-serve (R$)</t>
  </si>
  <si>
    <t>Custo de servir (R$)</t>
  </si>
  <si>
    <t>Risk weighted assets - RWA</t>
  </si>
  <si>
    <t>Ativos ponderados por risco - RWA</t>
  </si>
  <si>
    <t>Net gains / (losses) from derivatives</t>
  </si>
  <si>
    <t>Resultado de instrumentos financeiros derivativos</t>
  </si>
  <si>
    <t>Gross loans and advances to customers in the previous period</t>
  </si>
  <si>
    <t>Empréstimos e adiantamentos a clientes no período anterior</t>
  </si>
  <si>
    <t>EBITDA</t>
  </si>
  <si>
    <t>Cashback expenses</t>
  </si>
  <si>
    <t>Despesas de Cashback</t>
  </si>
  <si>
    <t>Longevity ratio (clients more than 1 year old at Inter) (%)</t>
  </si>
  <si>
    <t>Índice de longevidade (clientes com mais de um ano no inter) %</t>
  </si>
  <si>
    <t>Depreciation and amortization</t>
  </si>
  <si>
    <t>Depreciação e amortização</t>
  </si>
  <si>
    <t>Inter DTVM - management, distribution and custody</t>
  </si>
  <si>
    <t>Inter DTVM - gestão, distribuição e custódia</t>
  </si>
  <si>
    <t>Gross ARPAC (R$)</t>
  </si>
  <si>
    <t>ARPAC Bruto (R$)</t>
  </si>
  <si>
    <t>Net fee income growth (%, QoQ)</t>
  </si>
  <si>
    <t>Crescimento das receitas líquidas de serviços (%, QoQ)</t>
  </si>
  <si>
    <t>Debt TPV</t>
  </si>
  <si>
    <t>TPV Débito</t>
  </si>
  <si>
    <t>1Q22</t>
  </si>
  <si>
    <t>1T22</t>
  </si>
  <si>
    <t>Índice de Basileia</t>
  </si>
  <si>
    <t>Net loans and advances to customers</t>
  </si>
  <si>
    <t>Empréstimos e adiantamentos a clientes, líquidos de provisão</t>
  </si>
  <si>
    <t>Net result from services and commissions</t>
  </si>
  <si>
    <t>Resultado líquido de serviços e comissões</t>
  </si>
  <si>
    <t>Agribusiness</t>
  </si>
  <si>
    <t>Rural</t>
  </si>
  <si>
    <t>Securities issued</t>
  </si>
  <si>
    <t>Títulos emitidos</t>
  </si>
  <si>
    <t>Other</t>
  </si>
  <si>
    <t>ARPAC Gross of Cost of Funding</t>
  </si>
  <si>
    <t>ARPAC gross of cost of funding (R$)</t>
  </si>
  <si>
    <t>ARPAC bruto de custo de funding (R$)</t>
  </si>
  <si>
    <t>RWA for credit risk by standardized approach - RWACPAD</t>
  </si>
  <si>
    <t>RWA para risco de crédito por abordagem padronizada - RWACPAD</t>
  </si>
  <si>
    <t>(÷) Avg of the last two periods of IEP + non-interest credit card receivables</t>
  </si>
  <si>
    <t>(÷) Média dos últimos dois períodos de Carteira remunerada + recebíveis CC que não geram juros</t>
  </si>
  <si>
    <t>Cost of risk (%) (Excl. Antic. of CC Receivables)</t>
  </si>
  <si>
    <t>Cost of risk (%) (Excl. Antec. de Recebíveis CC)</t>
  </si>
  <si>
    <t>Managerial EBITDA Margin</t>
  </si>
  <si>
    <t>Margem EBITDA Gerencial</t>
  </si>
  <si>
    <t>Take rate</t>
  </si>
  <si>
    <t>Cards + PIX TPV (in million)</t>
  </si>
  <si>
    <t>Cartões + PIX TPV (em milhões)</t>
  </si>
  <si>
    <t>Activity rate (%)</t>
  </si>
  <si>
    <t>Índice de ativação (%)</t>
  </si>
  <si>
    <t>(÷) Total net revenues excluding tax expenses</t>
  </si>
  <si>
    <t>(÷) Receitais totais excluindo despesas tributárias</t>
  </si>
  <si>
    <t>Inter Invest net revenues</t>
  </si>
  <si>
    <t xml:space="preserve">Receita líquida Inter Invest </t>
  </si>
  <si>
    <t>CTS (R$)</t>
  </si>
  <si>
    <t>PIX TPV</t>
  </si>
  <si>
    <t>TPV PIX</t>
  </si>
  <si>
    <t>2Q22</t>
  </si>
  <si>
    <t>2T22</t>
  </si>
  <si>
    <t>NIMs</t>
  </si>
  <si>
    <t>Non-current assets held for sale</t>
  </si>
  <si>
    <t>Ativos não circulantes mantidos para venda</t>
  </si>
  <si>
    <t>Prepayment of receivables</t>
  </si>
  <si>
    <t>Antecipação de recebíveis de cartão de crédito</t>
  </si>
  <si>
    <t>Total funding</t>
  </si>
  <si>
    <t>Funding total</t>
  </si>
  <si>
    <t>Securities placement</t>
  </si>
  <si>
    <t xml:space="preserve">Colocação de valores mobiliários </t>
  </si>
  <si>
    <t>ARPAC Net of Cost of of Funding</t>
  </si>
  <si>
    <t>ARPAC net of cost of of funding (R$)</t>
  </si>
  <si>
    <t>ARPAC líquido de custo de funding (R$)</t>
  </si>
  <si>
    <t>RWA for market risk - RWAMPAD</t>
  </si>
  <si>
    <t>RWA para risco de mercado - RWAMPAD</t>
  </si>
  <si>
    <t>IEP + non-interest credit card receivables</t>
  </si>
  <si>
    <t>Carteira remunerada + recebíveis CC que não geram juros</t>
  </si>
  <si>
    <t>Note 1: 1Q22 managerial figure, excluding non-recurrent provision.</t>
  </si>
  <si>
    <t>Nota 2: Despesa gerencial em 1T22 excluindo provisão não recorrente.</t>
  </si>
  <si>
    <t>CAC expenses</t>
  </si>
  <si>
    <t>Despesas de CAC</t>
  </si>
  <si>
    <t>Inter Seguros net income</t>
  </si>
  <si>
    <t>Lucro líquido Inter Seguros</t>
  </si>
  <si>
    <t>Net take rate</t>
  </si>
  <si>
    <t>Debit TPV</t>
  </si>
  <si>
    <t>Headcount</t>
  </si>
  <si>
    <t>Número de funcionários</t>
  </si>
  <si>
    <t>Inter Invest net fee revenues</t>
  </si>
  <si>
    <t xml:space="preserve">Receita líquida de serviços e comissões Inter Invest </t>
  </si>
  <si>
    <t>TPV</t>
  </si>
  <si>
    <t>Anticipated TPV</t>
  </si>
  <si>
    <t>TPV Antecipado</t>
  </si>
  <si>
    <t>3Q22</t>
  </si>
  <si>
    <t>3T22</t>
  </si>
  <si>
    <t>Índice de Eficiência</t>
  </si>
  <si>
    <t>Equity accounted investees</t>
  </si>
  <si>
    <t>Investimentos</t>
  </si>
  <si>
    <t>Other revenues</t>
  </si>
  <si>
    <t>Outras receitas</t>
  </si>
  <si>
    <t>Gross loan portfolio</t>
  </si>
  <si>
    <t>Carteira de crédito bruta</t>
  </si>
  <si>
    <t>Cost of funding</t>
  </si>
  <si>
    <t>Custo de funding</t>
  </si>
  <si>
    <t>Despesas de cashback</t>
  </si>
  <si>
    <t>ROAA</t>
  </si>
  <si>
    <t>ROAA (%)</t>
  </si>
  <si>
    <t>RWA for operating risk by standard approach - RWAOPAD</t>
  </si>
  <si>
    <t>RWA para risco operacional por abordagem padronizada - RWAOPAD</t>
  </si>
  <si>
    <t>(÷) Average active clients</t>
  </si>
  <si>
    <t>(÷) Média de clientes ativos</t>
  </si>
  <si>
    <t>Active clients per employee (thousands)</t>
  </si>
  <si>
    <t>Clientes ativos por funcionário (mil)</t>
  </si>
  <si>
    <t>Inter Invest net interest revenues</t>
  </si>
  <si>
    <t xml:space="preserve">Receita líquida de juros Inter Invest </t>
  </si>
  <si>
    <t>Tax expenses as % of total revenues</t>
  </si>
  <si>
    <t>Tributos como % de receitas totais</t>
  </si>
  <si>
    <t>PIX</t>
  </si>
  <si>
    <t>Anticipated TPV (%)</t>
  </si>
  <si>
    <t>TPV Antecipado (%)</t>
  </si>
  <si>
    <t>4Q22</t>
  </si>
  <si>
    <t>4T22</t>
  </si>
  <si>
    <t>Cost-to-Serve</t>
  </si>
  <si>
    <t>Custo de Servir</t>
  </si>
  <si>
    <t>Property and equipment</t>
  </si>
  <si>
    <t>Imobilizado</t>
  </si>
  <si>
    <t>Total net revenues</t>
  </si>
  <si>
    <t>Receitas líquidas</t>
  </si>
  <si>
    <t>Empréstimos e adiantamentos a clientes, líquido de provisão</t>
  </si>
  <si>
    <t>Annualized interest expenses</t>
  </si>
  <si>
    <t>Despesa de juros anualizadas</t>
  </si>
  <si>
    <t>Inter rewards</t>
  </si>
  <si>
    <t>ROAE</t>
  </si>
  <si>
    <t>ROAE (%)</t>
  </si>
  <si>
    <t>Capital requirement</t>
  </si>
  <si>
    <t>Requerimento de capital</t>
  </si>
  <si>
    <t>Cost of risk</t>
  </si>
  <si>
    <t>Cost of funding % of CDI</t>
  </si>
  <si>
    <t>Custo de funding % do CDI</t>
  </si>
  <si>
    <t>Active clients</t>
  </si>
  <si>
    <t>Clientes ativos</t>
  </si>
  <si>
    <t>(+) Cashback expenses</t>
  </si>
  <si>
    <t>(+) Despesas de cashback</t>
  </si>
  <si>
    <t>PIX Transactions</t>
  </si>
  <si>
    <t>Transações PIX</t>
  </si>
  <si>
    <t>Sistema de Pagamentos Brasileiro (SPB) - Estatísticas do Pix - Banco Central do Brasil</t>
  </si>
  <si>
    <t>Take Rate (%)</t>
  </si>
  <si>
    <t>1Q23</t>
  </si>
  <si>
    <t>1T23</t>
  </si>
  <si>
    <t>ARPAC</t>
  </si>
  <si>
    <t>Intangible assets</t>
  </si>
  <si>
    <t>Intangível</t>
  </si>
  <si>
    <t>Other income</t>
  </si>
  <si>
    <t>Outros rendimentos</t>
  </si>
  <si>
    <t>Despesa de juros</t>
  </si>
  <si>
    <t>Minimum principal capital required for RWA</t>
  </si>
  <si>
    <t>Capital principal mínimo requerido para o RWA</t>
  </si>
  <si>
    <t>Revenues</t>
  </si>
  <si>
    <t>Receitas</t>
  </si>
  <si>
    <t>Active clients in the previous period</t>
  </si>
  <si>
    <t>Clientes ativos no período anterior</t>
  </si>
  <si>
    <t>(÷) Average of active clients</t>
  </si>
  <si>
    <t>Cards + PIX TPV</t>
  </si>
  <si>
    <t>Cartões + PIX TPV</t>
  </si>
  <si>
    <t>Gross Revenue (R$ mm)</t>
  </si>
  <si>
    <t>Receita Bruta (R$ mm)</t>
  </si>
  <si>
    <t>IEP growth (%, QoQ)</t>
  </si>
  <si>
    <t>Crescimento dos ativos rentáveis (QoQ, %)</t>
  </si>
  <si>
    <t>PIX TPV (R$)</t>
  </si>
  <si>
    <t>TPV PIX (R$)</t>
  </si>
  <si>
    <t>2Q23</t>
  </si>
  <si>
    <t>2T23</t>
  </si>
  <si>
    <t>Inter Invest</t>
  </si>
  <si>
    <t>Deferred tax assets</t>
  </si>
  <si>
    <t>Ativos fiscal diferido</t>
  </si>
  <si>
    <t>(-) Provision for expected loss</t>
  </si>
  <si>
    <t>(-) Perda esperada por redução ao valor recuperável</t>
  </si>
  <si>
    <t>(÷) Average funding</t>
  </si>
  <si>
    <t>(÷) Funding médio</t>
  </si>
  <si>
    <t>Tier I minimum reference equity required to RWA</t>
  </si>
  <si>
    <t>Patrimônio de referência nível I mínimo requerido para o RWA</t>
  </si>
  <si>
    <t>Total gross revenues (R$ million)</t>
  </si>
  <si>
    <t>Receita bruta total (R$ milhões)</t>
  </si>
  <si>
    <t>(=) Cost-to-serve (R$)</t>
  </si>
  <si>
    <t>(=) Custo de servir (R$)</t>
  </si>
  <si>
    <t>Tax expenses</t>
  </si>
  <si>
    <t>Despesas tributárias</t>
  </si>
  <si>
    <t>Net Revenues (R$ mm)</t>
  </si>
  <si>
    <t>Receita Líquida (R$ mm)</t>
  </si>
  <si>
    <t>Funding growth (%, QoQ)</t>
  </si>
  <si>
    <t>Crescimento do funding (QoQ, %)</t>
  </si>
  <si>
    <t>3Q23</t>
  </si>
  <si>
    <t>3T23</t>
  </si>
  <si>
    <t>Inter Seguros</t>
  </si>
  <si>
    <t>Other assets</t>
  </si>
  <si>
    <t>Outros ativos</t>
  </si>
  <si>
    <t>ROAA (%) - Excluding Minorities</t>
  </si>
  <si>
    <t>ROAA (%) - Excluindo Minoritários</t>
  </si>
  <si>
    <t>Minimum Reference Equity required to RWA</t>
  </si>
  <si>
    <t>Patrimônio de referência mínimo requerido para o RWA</t>
  </si>
  <si>
    <t>(=) NIM 1.0 - IEP + non-interest credit card receivables (%)</t>
  </si>
  <si>
    <t>(=) NIM 1.0 - carteira remunerada + recebíveis CC que não geram juros (%)</t>
  </si>
  <si>
    <t>Net fee revenues (R$ million)</t>
  </si>
  <si>
    <t>Receitas líquida de serviços (R$ millhões)</t>
  </si>
  <si>
    <t>Active clients in the previus period</t>
  </si>
  <si>
    <t> (=) Efficiency ratio (%)</t>
  </si>
  <si>
    <t>(=) Índice de eficiência (%)</t>
  </si>
  <si>
    <t>Pre Tax Net Income (R$ mm)</t>
  </si>
  <si>
    <t>Lucro Líquido antes de Impostos (R$ mm)</t>
  </si>
  <si>
    <t>KPI Outputs</t>
  </si>
  <si>
    <t>KPIs Output</t>
  </si>
  <si>
    <t>Cards</t>
  </si>
  <si>
    <t>4Q23</t>
  </si>
  <si>
    <t>4T23</t>
  </si>
  <si>
    <t>Inter Shop</t>
  </si>
  <si>
    <t>Total assets</t>
  </si>
  <si>
    <t>Total de ativos</t>
  </si>
  <si>
    <t>NPL &gt; 90 days</t>
  </si>
  <si>
    <t>NPL &gt; 90 dias</t>
  </si>
  <si>
    <t>Total funding in the previous period</t>
  </si>
  <si>
    <t>Funding total no período anterior</t>
  </si>
  <si>
    <t>ROAE (%) - Excluding Minorities</t>
  </si>
  <si>
    <t>ROAE (%) - Excluindo Minoritários</t>
  </si>
  <si>
    <t>Margin on capital requirements</t>
  </si>
  <si>
    <t>Margem sobre os requerimentos de capital</t>
  </si>
  <si>
    <t>Fee income ratio (%)</t>
  </si>
  <si>
    <t>Percentual de receitas líquida de serviços (%)</t>
  </si>
  <si>
    <t>(=) Gross ARPAC (R$)</t>
  </si>
  <si>
    <t>(=) ARPAC bruto (R$)</t>
  </si>
  <si>
    <t>Net Income (R$ mm)</t>
  </si>
  <si>
    <t>Lucro Líquido (R$ mm)</t>
  </si>
  <si>
    <t>ROEA (%)</t>
  </si>
  <si>
    <t>Credit Cards TPV (R$)</t>
  </si>
  <si>
    <t>TPV Cartão de Crédito (R$)</t>
  </si>
  <si>
    <t>Associação Brasileira das Empresas de Cartões de Crédito e Serviços - Sistema de Informações – Monitor Abecs</t>
  </si>
  <si>
    <t>1Q24</t>
  </si>
  <si>
    <t>1T24</t>
  </si>
  <si>
    <t>Digital Account</t>
  </si>
  <si>
    <t>Conta Digital</t>
  </si>
  <si>
    <t>Liabilities</t>
  </si>
  <si>
    <t>Passivo</t>
  </si>
  <si>
    <t xml:space="preserve">Despesas tributárias </t>
  </si>
  <si>
    <t>(=) Custo de funding (%)</t>
  </si>
  <si>
    <t>Performance fees</t>
  </si>
  <si>
    <t>Receitas de performance</t>
  </si>
  <si>
    <t>Margin on required principal capital</t>
  </si>
  <si>
    <t>Margem sobre o capital principal requerido</t>
  </si>
  <si>
    <t>NIM 2.0 - IEP</t>
  </si>
  <si>
    <t>NIM 2.0 - apenas carteira remunerada</t>
  </si>
  <si>
    <t>Gross loan portfolio in the previous period</t>
  </si>
  <si>
    <t>NII (R$ million)</t>
  </si>
  <si>
    <t>NII (R$ millhões)</t>
  </si>
  <si>
    <t>Debt Card TPV (R$)</t>
  </si>
  <si>
    <t>TPV Cartão de Débito (R$)</t>
  </si>
  <si>
    <t>2Q24</t>
  </si>
  <si>
    <t>2T24</t>
  </si>
  <si>
    <t xml:space="preserve">Liabilities with financial and similar institutions </t>
  </si>
  <si>
    <t>Passivos com instituições financeiras</t>
  </si>
  <si>
    <t>NPL &gt; 90 days (%)</t>
  </si>
  <si>
    <t>NPL &gt; 90 dias (%)</t>
  </si>
  <si>
    <t>(÷) Average daily CDI rate in the period (%)</t>
  </si>
  <si>
    <t>(÷) CDI médio diário no período (%)</t>
  </si>
  <si>
    <t>Capital gains (losses)</t>
  </si>
  <si>
    <t>Ganhos de capital</t>
  </si>
  <si>
    <t>Margin on the tier I required reference equity</t>
  </si>
  <si>
    <t>Margem sobre o patrimônio de referência nível I requerido</t>
  </si>
  <si>
    <t>ARPAC (net of cost of funding)</t>
  </si>
  <si>
    <t>ARPAC (líquido de custo de funding)</t>
  </si>
  <si>
    <t>Personnel efficiency ratio </t>
  </si>
  <si>
    <t>Índice de eficiência de pessoal</t>
  </si>
  <si>
    <t>Balance Sheet &amp; Capital</t>
  </si>
  <si>
    <t>Balanço Patriomonial e Capital</t>
  </si>
  <si>
    <t>Crescimento das receitas líquidas de serviços (%)</t>
  </si>
  <si>
    <t>3Q24</t>
  </si>
  <si>
    <t>3T24</t>
  </si>
  <si>
    <t>Cost of Risk</t>
  </si>
  <si>
    <t>Income before taxes and interests in associates</t>
  </si>
  <si>
    <t>Resultados antes dos impostos e participações em coligadas</t>
  </si>
  <si>
    <t>(=) Custo de funding % do CDI</t>
  </si>
  <si>
    <t>Foreign exchange</t>
  </si>
  <si>
    <t>Receitas com câmbio</t>
  </si>
  <si>
    <t>Core capital ratio (CC/RWA)</t>
  </si>
  <si>
    <t xml:space="preserve">Índice de capital principal (CP/RWA) </t>
  </si>
  <si>
    <t>Net ARPAC (R$)</t>
  </si>
  <si>
    <t>ARPAC Líquido (R$)</t>
  </si>
  <si>
    <t>Monthly average total revenues net of cost of funding</t>
  </si>
  <si>
    <t>Receita total mensal média líquida de custo de funding</t>
  </si>
  <si>
    <t>Gross Loan Portfolio (R$ bn)</t>
  </si>
  <si>
    <t>Carteira de Crédito Bruta (R$ bn)</t>
  </si>
  <si>
    <t>Input Values:</t>
  </si>
  <si>
    <t>Valores para input:</t>
  </si>
  <si>
    <t>Loan Portfolio (R$)</t>
  </si>
  <si>
    <t>Carteira de Crédito (R$)</t>
  </si>
  <si>
    <t>4Q24</t>
  </si>
  <si>
    <t>4T24</t>
  </si>
  <si>
    <t>Financial Statements Simulation</t>
  </si>
  <si>
    <t xml:space="preserve">Simulação de Demonstrações Financeiras </t>
  </si>
  <si>
    <t>Income from equity interests in affiliates</t>
  </si>
  <si>
    <t>Resultado de participação em coligadas</t>
  </si>
  <si>
    <t>Coverage ratio (%)</t>
  </si>
  <si>
    <t>Índice de cobertura (%)</t>
  </si>
  <si>
    <t>Other revenue</t>
  </si>
  <si>
    <t xml:space="preserve">Outras receitas </t>
  </si>
  <si>
    <t>Tier I capital ratio (tier I /RWA)</t>
  </si>
  <si>
    <t xml:space="preserve">Índice de capital nível I (nível I /RWA) </t>
  </si>
  <si>
    <t>Proftability</t>
  </si>
  <si>
    <t>Lucratividade</t>
  </si>
  <si>
    <t>Total revenues net of cost of funding</t>
  </si>
  <si>
    <t>Receita total líquida de custo de funding</t>
  </si>
  <si>
    <t>Funding (R$ bn)</t>
  </si>
  <si>
    <t>Funding (R$ bi)</t>
  </si>
  <si>
    <t>3Q24 Actual</t>
  </si>
  <si>
    <t>3T24 Realizado</t>
  </si>
  <si>
    <t>Disclaimer</t>
  </si>
  <si>
    <t>Derivative financial liabilities</t>
  </si>
  <si>
    <t>Instrumentos financeiros derivativos passivos</t>
  </si>
  <si>
    <t>Profit / (loss) before income tax</t>
  </si>
  <si>
    <t>Lucro / (prejuízo) antes da tributação sobre o lucro</t>
  </si>
  <si>
    <t>NPL  15-90 days</t>
  </si>
  <si>
    <t>NPL 15-90 dias</t>
  </si>
  <si>
    <t>Securities sold under agreements to reurchase</t>
  </si>
  <si>
    <t>Obrigações por operações compromissadas</t>
  </si>
  <si>
    <t>Revenue from goods</t>
  </si>
  <si>
    <t>Receita de mercadorias</t>
  </si>
  <si>
    <t>Basel ratio (RE/RWA)</t>
  </si>
  <si>
    <t xml:space="preserve">Índice de basiléia (PR/RWA) </t>
  </si>
  <si>
    <t>Shareholders` Equity (R$ bn)</t>
  </si>
  <si>
    <t>Patrimônio Líquido (R$ bi)</t>
  </si>
  <si>
    <t>Output</t>
  </si>
  <si>
    <t>Total Loan Portfolio</t>
  </si>
  <si>
    <t>Carteira de Crédito Total</t>
  </si>
  <si>
    <t>Glossary</t>
  </si>
  <si>
    <t>Glossário</t>
  </si>
  <si>
    <t>Borrowing and onlending</t>
  </si>
  <si>
    <t>Empréstimos e repasses</t>
  </si>
  <si>
    <t>Current income tax and social contribution</t>
  </si>
  <si>
    <t>Imposto de renda e contribuição social corrente</t>
  </si>
  <si>
    <t>NPL 15-90 days</t>
  </si>
  <si>
    <t>Interbank deposits</t>
  </si>
  <si>
    <t>Depósitos interfinanceiros</t>
  </si>
  <si>
    <t>RWA for payments services - RWASP</t>
  </si>
  <si>
    <t>RWA para serviços de pagamento - RWASP</t>
  </si>
  <si>
    <t>(÷) Avg of the last two periods of IEP</t>
  </si>
  <si>
    <t>(÷) Média dos últimos dois períodos de carteira remunerada</t>
  </si>
  <si>
    <t>Tier 1 Ratio (%)</t>
  </si>
  <si>
    <t>Índice de Basileia (%)</t>
  </si>
  <si>
    <t>Highlights</t>
  </si>
  <si>
    <t>Destaques</t>
  </si>
  <si>
    <t>Tax liabilities</t>
  </si>
  <si>
    <t>Impostos correntes</t>
  </si>
  <si>
    <t>Deferred income tax and social contribution</t>
  </si>
  <si>
    <t>Imposto de renda e contribuição social diferidos</t>
  </si>
  <si>
    <t>NPL 15-90 days (%)</t>
  </si>
  <si>
    <t>NPL 15-90 dias (%)</t>
  </si>
  <si>
    <t>IEP</t>
  </si>
  <si>
    <t>Carteira remunerada</t>
  </si>
  <si>
    <t>Managerial Income Statement (R$ Millions)</t>
  </si>
  <si>
    <t>DRE Gerencial (R$ milhões)</t>
  </si>
  <si>
    <t>Credit Cards</t>
  </si>
  <si>
    <t>Cartão de Crédito</t>
  </si>
  <si>
    <t>Income tax and social contribution</t>
  </si>
  <si>
    <t>Imposto de renda e contribuição social</t>
  </si>
  <si>
    <t>Income tax benefit</t>
  </si>
  <si>
    <t>Imposto de renda</t>
  </si>
  <si>
    <t>Fee revenues</t>
  </si>
  <si>
    <t>Receitas de serviços</t>
  </si>
  <si>
    <t>Profit / (loss) for the period</t>
  </si>
  <si>
    <t>Lucro/ (prejuízo) líquido</t>
  </si>
  <si>
    <t>Volume KPIs</t>
  </si>
  <si>
    <t>KPIs de Volume</t>
  </si>
  <si>
    <t>Interest income + income from securites and derivatives</t>
  </si>
  <si>
    <t>Receita de juros + receita de títulos e valores mobiliários e derivativos</t>
  </si>
  <si>
    <t>QoQ Variation</t>
  </si>
  <si>
    <t>Variação QoQ</t>
  </si>
  <si>
    <t>Other tax liabilities</t>
  </si>
  <si>
    <t>Outros passivos fiscais</t>
  </si>
  <si>
    <t>Credit card loan portfolio</t>
  </si>
  <si>
    <t>Carteira de cartão de crédito</t>
  </si>
  <si>
    <t>Interest bearing liabilities with financial institutions</t>
  </si>
  <si>
    <t>Passivos com instituições financeiras que geram despesas juros</t>
  </si>
  <si>
    <t>Cards + PIX TPV (R$ bn)</t>
  </si>
  <si>
    <t>TPV de Cartões + PIX (R$ bi)</t>
  </si>
  <si>
    <t>Real Estate</t>
  </si>
  <si>
    <t>YoY Variation</t>
  </si>
  <si>
    <t>Variação YoY</t>
  </si>
  <si>
    <t>Provisions</t>
  </si>
  <si>
    <t>Provisões</t>
  </si>
  <si>
    <t>Net result of losses</t>
  </si>
  <si>
    <t>Resultado líquido de perdas</t>
  </si>
  <si>
    <t>Revolving + overdue</t>
  </si>
  <si>
    <t>Rotativo + créditos Vencidos</t>
  </si>
  <si>
    <t>Net loans and advances to customers excluding non int. CC Receivables</t>
  </si>
  <si>
    <t>Empréstimos e adiantamentos a clientes, excl. recebiveis de CC que não geram juros</t>
  </si>
  <si>
    <t> (=) Personnel efficiency ratio (%)</t>
  </si>
  <si>
    <t>(=) Índice de eficiência de pessoal (%)</t>
  </si>
  <si>
    <t>GMV Inter Shop (R$ mm)</t>
  </si>
  <si>
    <t>Receita líquida de juros</t>
  </si>
  <si>
    <t>Business</t>
  </si>
  <si>
    <t>Deferred tax liabilities</t>
  </si>
  <si>
    <t>Passivos fiscais diferidos</t>
  </si>
  <si>
    <t>Total de receitas</t>
  </si>
  <si>
    <t>Revolving (1 to 30 days)</t>
  </si>
  <si>
    <t>Rotativo (1 a 30 dias)</t>
  </si>
  <si>
    <t>Net fee revenues</t>
  </si>
  <si>
    <t>Receitas líquida de serviços</t>
  </si>
  <si>
    <t>AUC  (R$ bn)</t>
  </si>
  <si>
    <t>AUC (R$ bi)</t>
  </si>
  <si>
    <t>Market Data</t>
  </si>
  <si>
    <t>Dados de Mercado</t>
  </si>
  <si>
    <t>Other liabilities</t>
  </si>
  <si>
    <t>Outros passivos</t>
  </si>
  <si>
    <t>Overdue &gt; 31 days</t>
  </si>
  <si>
    <t>Vencidos &gt; 31 dias</t>
  </si>
  <si>
    <t>Term deposits</t>
  </si>
  <si>
    <t>(-) Non int. CC receivables</t>
  </si>
  <si>
    <t>(-) Recebiveis de CC que não geram juros</t>
  </si>
  <si>
    <t>Administrative efficiency ratio </t>
  </si>
  <si>
    <t>Índice de eficiência administrativo</t>
  </si>
  <si>
    <t>Net fee revenue + other revenues</t>
  </si>
  <si>
    <t>Receita líquida de serviços + outras receitas</t>
  </si>
  <si>
    <t>Total liabilities</t>
  </si>
  <si>
    <t>Total do passivo</t>
  </si>
  <si>
    <t>Installments with interest</t>
  </si>
  <si>
    <t>Parcelado com juros</t>
  </si>
  <si>
    <t>Open market capture</t>
  </si>
  <si>
    <t>Captação de mercado aberto</t>
  </si>
  <si>
    <t>Fee income ratio</t>
  </si>
  <si>
    <t xml:space="preserve">Percentual de receitas líquida de serviços </t>
  </si>
  <si>
    <t>Equity</t>
  </si>
  <si>
    <t>Patrimônio líquido</t>
  </si>
  <si>
    <t>Profit attributable to:</t>
  </si>
  <si>
    <t>Lucro atribuível a:</t>
  </si>
  <si>
    <t>Transactor</t>
  </si>
  <si>
    <t>À vista</t>
  </si>
  <si>
    <t>Financial instituicions deposits</t>
  </si>
  <si>
    <t xml:space="preserve">Receitas líquida de serviços </t>
  </si>
  <si>
    <t>(=) NIM 2.0 - IEP (%)</t>
  </si>
  <si>
    <t>(=) NIM 2.0 - apenas carteira remunerada (%)</t>
  </si>
  <si>
    <t>Note 1: Excluding transactions made outside the SPI</t>
  </si>
  <si>
    <t>Nota 1: Excluindo transações feitas fora do SPI</t>
  </si>
  <si>
    <t>Equity attributable to owners of the Company</t>
  </si>
  <si>
    <t>Patrimônio líquido dos acionistas controladores</t>
  </si>
  <si>
    <t>Owners of the Company</t>
  </si>
  <si>
    <t>Acionistas controladores</t>
  </si>
  <si>
    <t>Total credit card loan portfolio</t>
  </si>
  <si>
    <t>Carteira de cartão de crédito total</t>
  </si>
  <si>
    <t>Saving</t>
  </si>
  <si>
    <t>(÷) Total net revenues</t>
  </si>
  <si>
    <t>(÷) Receira líquidas totais</t>
  </si>
  <si>
    <t>(=) Net ARPAC (R$)</t>
  </si>
  <si>
    <t>(=) ARPAC líquido (R$)</t>
  </si>
  <si>
    <t>NPL 15- 90 dias</t>
  </si>
  <si>
    <t>Note 2: Including both debit and prepaid cards</t>
  </si>
  <si>
    <t>Nota 2: Including cartão de débito e cartão pré-pago</t>
  </si>
  <si>
    <t>Share capital</t>
  </si>
  <si>
    <t>Capital social</t>
  </si>
  <si>
    <t>Non-controlling shareholders</t>
  </si>
  <si>
    <t>Acionistas não controladores</t>
  </si>
  <si>
    <t>Risk-Adjusted NIM 1.0 - IEP + non-interest credit card receivables</t>
  </si>
  <si>
    <t>NIM 1.0 Ajustado pela Provisão - carteira remunerada + recebíveis CC que não geram juros</t>
  </si>
  <si>
    <t>Coverage Ratio (%)</t>
  </si>
  <si>
    <t>Índice de Cobertura</t>
  </si>
  <si>
    <t>Reserves</t>
  </si>
  <si>
    <t>Reservas</t>
  </si>
  <si>
    <t>Annualized NII after impairment losses on financial assets</t>
  </si>
  <si>
    <t>NII anualizado excluindo o resultado de perdas esperadas</t>
  </si>
  <si>
    <t>(+) Inter rewards</t>
  </si>
  <si>
    <t>Other comprehensive income</t>
  </si>
  <si>
    <t>Outros resultados abrangentes</t>
  </si>
  <si>
    <t>Loans and advances to customers</t>
  </si>
  <si>
    <t>Funding - excluding other interest bearing liabilities</t>
  </si>
  <si>
    <t>Funding - excludindo outros passivos que geram despesas de juros</t>
  </si>
  <si>
    <t>NII after impairment losses on financial assets</t>
  </si>
  <si>
    <t>NII excluindo o resultado de perdas esperadas</t>
  </si>
  <si>
    <t>Performance KPIs</t>
  </si>
  <si>
    <t>KPIs de Performance</t>
  </si>
  <si>
    <t>Operational expenses</t>
  </si>
  <si>
    <t>Despesas operacionais</t>
  </si>
  <si>
    <t>Treasury shares</t>
  </si>
  <si>
    <t>Ações em tesouraria</t>
  </si>
  <si>
    <t>Cost of funding - excluding other interest bearing liabilities</t>
  </si>
  <si>
    <t>Custo de funding - excludindo outros passivos que geram despesas de juros</t>
  </si>
  <si>
    <t>NIM 1.0 (%)</t>
  </si>
  <si>
    <t>Non-controlling interest</t>
  </si>
  <si>
    <t>Participações de acionistas não controladores</t>
  </si>
  <si>
    <t>(=) All-in cost of funding % of CDI</t>
  </si>
  <si>
    <t>(=) Fee income ratio (%)</t>
  </si>
  <si>
    <t>(=) Receitas líquida de serviços (%)</t>
  </si>
  <si>
    <t>(=) Risk-Adjusted NIM 1.0 - IEP + non-interest credit card receivables (%)</t>
  </si>
  <si>
    <t>(=) Risk-Adjusted NIM 1.0 - carteira remunerada + recebíveis CC que não geram juros (%)</t>
  </si>
  <si>
    <t> (=) Administrative efficiency ratio (%)</t>
  </si>
  <si>
    <t>(=) Índice de eficiência administrativo (%)</t>
  </si>
  <si>
    <t>NIM 2.0 - IEP Only (%)</t>
  </si>
  <si>
    <t>NIM 2.0 - Carteira remunerada</t>
  </si>
  <si>
    <t>Other expenses</t>
  </si>
  <si>
    <t>Outras despesas</t>
  </si>
  <si>
    <t>Total equity</t>
  </si>
  <si>
    <t>Total do patrimônio líquido</t>
  </si>
  <si>
    <t>(=) All-in cost of funding (%)</t>
  </si>
  <si>
    <t>Risk Adjusted NIM 2.0 - IEP</t>
  </si>
  <si>
    <t>NIM 2.0 Ajustado pela Provisão - apenas carteira remunerada</t>
  </si>
  <si>
    <t>All-in Cost of Funding (% of CDI)</t>
  </si>
  <si>
    <t>Custo de Funding (% do CDI)</t>
  </si>
  <si>
    <t>Liabilities + equity</t>
  </si>
  <si>
    <t>Passivos + patrimônio líquido</t>
  </si>
  <si>
    <t>All-in cost of funding</t>
  </si>
  <si>
    <t>(=) Risk-adjusted NIM 2.0 - IEP (%)</t>
  </si>
  <si>
    <t>(=) NIM 2.0 ajustado pela provisão - apenas carteira remunerada (%)</t>
  </si>
  <si>
    <t>Administrative expenses + D&amp;A</t>
  </si>
  <si>
    <t>Despesas administrativas + D&amp;A</t>
  </si>
  <si>
    <t>Efficiency Ratio (%)</t>
  </si>
  <si>
    <t>Índice de Eficiência (%)</t>
  </si>
  <si>
    <t>Total liabilities and total equity</t>
  </si>
  <si>
    <t>Total do passivo e patrimônio líquido</t>
  </si>
  <si>
    <t>Investments</t>
  </si>
  <si>
    <t>ROE (%)</t>
  </si>
  <si>
    <t>Banking and credit operations</t>
  </si>
  <si>
    <t>Tarifas bancárias e operações de crédito</t>
  </si>
  <si>
    <t>Risk-Adjusted NIM 1.0 (%)</t>
  </si>
  <si>
    <t>NIM 1.0 (%) - Ajustada pela Provisão</t>
  </si>
  <si>
    <t>Lucro / (prejuízo) do período</t>
  </si>
  <si>
    <t>Income from cash and cash equivalents in foreign currency</t>
  </si>
  <si>
    <t>Rendas e disponibilidades em moeda estrangeira</t>
  </si>
  <si>
    <t>Commission and brokerage fees</t>
  </si>
  <si>
    <t>Tarifas de comissão e coretagem</t>
  </si>
  <si>
    <t>Risk-Adjusted NIM 2.0 (%)</t>
  </si>
  <si>
    <t>NIM 2.0 (%) - Ajustada pela Provisão</t>
  </si>
  <si>
    <t xml:space="preserve">Others </t>
  </si>
  <si>
    <t>Managerial Balance Sheet (R$ Billions)</t>
  </si>
  <si>
    <t>Balanço Patrimonial Gerencial (R$ bilhões)</t>
  </si>
  <si>
    <t>Interest earning portfolio (IEP)</t>
  </si>
  <si>
    <t>Ativos rentáveis</t>
  </si>
  <si>
    <t>Antecipação de recebíveis</t>
  </si>
  <si>
    <t>Non-transactor</t>
  </si>
  <si>
    <t>Não à vista</t>
  </si>
  <si>
    <t>Total de passivos</t>
  </si>
  <si>
    <t>Financial institutions deposits</t>
  </si>
  <si>
    <t>Variação</t>
  </si>
  <si>
    <t>Savings</t>
  </si>
  <si>
    <t>Δ QoQS</t>
  </si>
  <si>
    <t>Δ QoQ Actual</t>
  </si>
  <si>
    <t>Δ QoQ Realizado</t>
  </si>
  <si>
    <t>Income from securities</t>
  </si>
  <si>
    <t>Resultado de títulos e valores mobiliários</t>
  </si>
  <si>
    <t>ΔYoYS</t>
  </si>
  <si>
    <t>Fair value throught other comprehensive income</t>
  </si>
  <si>
    <t>Valor justo por meio de outros resultados abrangentes</t>
  </si>
  <si>
    <t>ΔYoY Actual</t>
  </si>
  <si>
    <t>ΔYoY Realizado</t>
  </si>
  <si>
    <t>Fair value through proft or loss</t>
  </si>
  <si>
    <t>Valor justo por meio do resultado</t>
  </si>
  <si>
    <t>Amortized cost</t>
  </si>
  <si>
    <t>Custo amortizado</t>
  </si>
  <si>
    <t>Disclaimer:
Please note that this simulation is for illustrative purposes only, does not represent actual financial data and the results may not accurately reflect real-world outcomes. The information provided is based on hypothetical scenarios and assumptions. The simulation is intended as a learning tool and does not provide any investment advice, recommendations, or guidance.
Users are advised to exercise caution when interpreting the results and are encouraged to consult with qualified financial professionals.</t>
  </si>
  <si>
    <t>Esta simulação é apenas para fins ilustrativo, não representa dados financeiros reais e os resultados podem não refletir precisamente os resultados do mundo real. As informações fornecidas baseiam-se em cenários hipotéticos e suposições. A simulação destina-se como uma ferramenta didática e não oferece nenhum conselho de investimento, recomendações ou orientações.
Recomenda-se que os usuários tenham cuidado ao interpretar os resultados e que busquem aconselhamento de profissionais financeiros qualificados</t>
  </si>
  <si>
    <t>Income from derivatives</t>
  </si>
  <si>
    <t>Resultado de derivativos</t>
  </si>
  <si>
    <t>Future contracts dolar</t>
  </si>
  <si>
    <t>Futuro dólar</t>
  </si>
  <si>
    <t>Fixed-term contracts</t>
  </si>
  <si>
    <t>À termo</t>
  </si>
  <si>
    <t>Futures contrats and swaps</t>
  </si>
  <si>
    <t>Futuro e swap</t>
  </si>
  <si>
    <t>Gross loans and advances to customers growth (%)</t>
  </si>
  <si>
    <t>Crescimento de empréstimos e adiantamentos a clientes (%)</t>
  </si>
  <si>
    <t>Hedge accounting real estate loans</t>
  </si>
  <si>
    <t>Hedge accounting de crédito imobiliário</t>
  </si>
  <si>
    <t>Hedge accounting from personal loans</t>
  </si>
  <si>
    <t>Hedge accounting de crédito pessoal</t>
  </si>
  <si>
    <t>Other results</t>
  </si>
  <si>
    <t>Outros resultados</t>
  </si>
  <si>
    <t>Loan interest income including hedge accounting results</t>
  </si>
  <si>
    <t>Resultado da carteira de crédito incluindo resultados de hedge accounting</t>
  </si>
  <si>
    <t>Real estate net of hedge accounting</t>
  </si>
  <si>
    <t>Imobiliário líquido resultado de hedge accounting</t>
  </si>
  <si>
    <t>(+) Hedge accounting from real estate loans</t>
  </si>
  <si>
    <t>(+) Resultado de hedge accounting de crédito imobiliário</t>
  </si>
  <si>
    <t>Personal net of hedge accounting</t>
  </si>
  <si>
    <t>Pessoal líquido resultado de hedge accounting</t>
  </si>
  <si>
    <t>(+) Hedge accounting from personal loans</t>
  </si>
  <si>
    <t>(+) Resultado de hedge accounting de crédito pessoal</t>
  </si>
  <si>
    <t>Implied rates</t>
  </si>
  <si>
    <t>Taxa implícita</t>
  </si>
  <si>
    <t>All-in rate (%)</t>
  </si>
  <si>
    <t>Taxa de juros consolidada (%)</t>
  </si>
  <si>
    <t>Real estate net of hedge accounting (%)</t>
  </si>
  <si>
    <t>Imobiliário líquido resultado de hedge accounting (%)</t>
  </si>
  <si>
    <t>Personal net of hedge accounting (%)</t>
  </si>
  <si>
    <t>Pessoal líquido resultado de hedge accounting (%)</t>
  </si>
  <si>
    <t>SME (%)</t>
  </si>
  <si>
    <t>Empresas (%)</t>
  </si>
  <si>
    <t>Credit cards (%)</t>
  </si>
  <si>
    <t>Cartão de crédito (%)</t>
  </si>
  <si>
    <t>Agribusiness (%)</t>
  </si>
  <si>
    <t>Rural (%)</t>
  </si>
  <si>
    <t>Prepayment of receivables (%)</t>
  </si>
  <si>
    <t>Antecipação de recebíveis de cartão de crédito (%)</t>
  </si>
  <si>
    <t>Interest earning credit portfolio</t>
  </si>
  <si>
    <t>Carteira de crédito que gera juros</t>
  </si>
  <si>
    <t>Interest earning credit card portfolio</t>
  </si>
  <si>
    <t>Carteira de cartão de crédito que gera juros</t>
  </si>
  <si>
    <t>(-) Transactor</t>
  </si>
  <si>
    <t>(-) À vista</t>
  </si>
  <si>
    <t>Renegotiated Portfolio</t>
  </si>
  <si>
    <t>Carteira Renegociada</t>
  </si>
  <si>
    <t>Renegotiated portfolio</t>
  </si>
  <si>
    <t>Carteira renegociada</t>
  </si>
  <si>
    <t>Renegotiated portfolio (% of total gross loan portfolio)</t>
  </si>
  <si>
    <t>Carteira renegociada (% da carteira de crédito bruta)</t>
  </si>
  <si>
    <t>Coverage Ratio</t>
  </si>
  <si>
    <t>(÷) Total provision</t>
  </si>
  <si>
    <t>(÷) Provisão total</t>
  </si>
  <si>
    <t>Provision for expected loss</t>
  </si>
  <si>
    <t>Perda esperada por redução ao valor recuperável</t>
  </si>
  <si>
    <t>Provision for expected credit losses on loan commitments</t>
  </si>
  <si>
    <t>Provisões sobre compromissos de empréstimos</t>
  </si>
  <si>
    <t>Choose Language /Escolha o Idioma:</t>
  </si>
  <si>
    <t>1.</t>
  </si>
  <si>
    <t>2.</t>
  </si>
  <si>
    <t>3.</t>
  </si>
  <si>
    <t>4.</t>
  </si>
  <si>
    <t>5.</t>
  </si>
  <si>
    <t>6.</t>
  </si>
  <si>
    <t>7.</t>
  </si>
  <si>
    <t>7.1.</t>
  </si>
  <si>
    <t>7.2.</t>
  </si>
  <si>
    <t>7.3.</t>
  </si>
  <si>
    <t>7.4.</t>
  </si>
  <si>
    <t>7.5.</t>
  </si>
  <si>
    <t>7.6.</t>
  </si>
  <si>
    <t>-</t>
  </si>
  <si>
    <t>7,147,341
Margin on the Tier I Required Reference Equity 5,719,735 6</t>
  </si>
  <si>
    <t xml:space="preserve"> </t>
  </si>
  <si>
    <t>Debit TPV 1</t>
  </si>
  <si>
    <t>=Names!BT20</t>
  </si>
  <si>
    <t>Banco Central do Brasil - SGS (20539)</t>
  </si>
  <si>
    <t>Banco Central do Brasil - SGS - Total Real Estate Loans  / Crédito Imobiliário Total (20600 e 20612)</t>
  </si>
  <si>
    <t>Banco Central do Brasil - SGS - Individual and Business / Pessoa Física  e Pessoa Jurídica (20564, 20590)</t>
  </si>
  <si>
    <t>Banco Central do Brasil - SGS - Total Personal Loans / Crédito pessoal total (20580)</t>
  </si>
  <si>
    <t>Banco Central do Brasil - SGS - Total non-financial corporations, excluding cards / Pessoas jurídicas total, excluindo cartões (20543, 20600)</t>
  </si>
  <si>
    <t>Note: 3Q24 net fee revenue reflects the reclassification of provisions for canceled sales, moving these amounts from administrative expenses to expenses for services and commissions in 2024.</t>
  </si>
  <si>
    <t>Nota: A receita líquida de taxas do 3T24 reflete a reclassificação das provisões para vendas canceladas, movendo esses valores de despesas administrativas para despesas com serviços e comissões em 2024.</t>
  </si>
  <si>
    <t>78.8%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</si>
</sst>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00_);_(* \(#,##0.00\);_(* &quot;-&quot;??_);_(@_)"/>
    <numFmt numFmtId="165" formatCode="_-* #,##0_-;\-* #,##0_-;_-* &quot;-&quot;??_-;_-@_-"/>
    <numFmt numFmtId="166" formatCode="#,###;\(#,###\)"/>
    <numFmt numFmtId="167" formatCode="#,##0_ ;\-#,##0\ "/>
    <numFmt numFmtId="168" formatCode="0.0%"/>
    <numFmt numFmtId="169" formatCode="#,###.0;\(#,###.0\)"/>
    <numFmt numFmtId="170" formatCode="_-* #,##0.0_-;\-* #,##0.0_-;_-* &quot;-&quot;??_-;_-@_-"/>
    <numFmt numFmtId="171" formatCode="\ _(* #,##0_);_(* \(#,##0\);_(* &quot;-&quot;_);_(@_)"/>
    <numFmt numFmtId="172" formatCode="_(* #,##0_);_(* \(#,##0\);_(* &quot;-&quot;??_);_(@_)"/>
    <numFmt numFmtId="173" formatCode="0.000"/>
    <numFmt numFmtId="174" formatCode="0.0"/>
    <numFmt numFmtId="175" formatCode="_(* #,##0.0_);_(* \(#,##0.0\);_(* &quot;-&quot;??_);_(@_)"/>
    <numFmt numFmtId="176" formatCode="#,##0.0_ ;\-#,##0.0\ "/>
    <numFmt numFmtId="177" formatCode="#,##0.0;\(#,##0.0\)"/>
    <numFmt numFmtId="178" formatCode="\+\ 0%;\ \-\ 0\ %"/>
    <numFmt numFmtId="179" formatCode="\+\ #,##0%;\ \-\ #,##0%"/>
    <numFmt numFmtId="180" formatCode="#,##0.0%"/>
    <numFmt numFmtId="181" formatCode="#,##0%"/>
    <numFmt numFmtId="182" formatCode="\+\ 0.0\ &quot;p.p.&quot;;\ \-\ 0.0\ &quot;p.p.&quot;"/>
    <numFmt numFmtId="183" formatCode="\+0.0%;\ \-0.0%"/>
    <numFmt numFmtId="184" formatCode="0.00000000000000%"/>
    <numFmt numFmtId="185" formatCode="\+\ 0.0\ &quot;p.p.&quot;;\-\ 0.0\ &quot;p.p.&quot;"/>
    <numFmt numFmtId="186" formatCode="0.000000000000000%"/>
  </numFmts>
  <fonts count="58">
    <font>
      <sz val="11"/>
      <color theme="1"/>
      <name val="Calibri"/>
      <family val="2"/>
      <scheme val="minor"/>
    </font>
    <font>
      <sz val="11"/>
      <color theme="1"/>
      <name val="Calibri"/>
      <family val="2"/>
      <scheme val="minor"/>
    </font>
    <font>
      <sz val="10"/>
      <name val="Arial"/>
      <family val="2"/>
    </font>
    <font>
      <sz val="9"/>
      <color theme="1"/>
      <name val="Calibri Light"/>
      <family val="2"/>
    </font>
    <font>
      <sz val="10"/>
      <color theme="1"/>
      <name val="Calibri"/>
      <family val="2"/>
    </font>
    <font>
      <b/>
      <sz val="12"/>
      <color theme="9"/>
      <name val="Gotham"/>
      <family val="3"/>
    </font>
    <font>
      <sz val="8"/>
      <name val="Calibri"/>
      <family val="2"/>
      <scheme val="minor"/>
    </font>
    <font>
      <u/>
      <sz val="11"/>
      <color theme="10"/>
      <name val="Calibri"/>
      <family val="2"/>
      <scheme val="minor"/>
    </font>
    <font>
      <u/>
      <sz val="11"/>
      <color theme="1"/>
      <name val="Calibri"/>
      <family val="2"/>
      <scheme val="minor"/>
    </font>
    <font>
      <sz val="11"/>
      <color theme="1"/>
      <name val="Calibri"/>
      <family val="2"/>
    </font>
    <font>
      <sz val="16"/>
      <color theme="1"/>
      <name val="Calibri"/>
      <family val="2"/>
    </font>
    <font>
      <b/>
      <sz val="16"/>
      <color theme="1"/>
      <name val="Calibri"/>
      <family val="2"/>
    </font>
    <font>
      <sz val="18"/>
      <color theme="1"/>
      <name val="Calibri"/>
      <family val="2"/>
    </font>
    <font>
      <sz val="18"/>
      <color theme="0"/>
      <name val="Calibri"/>
      <family val="2"/>
    </font>
    <font>
      <b/>
      <sz val="18"/>
      <color theme="0"/>
      <name val="Calibri"/>
      <family val="2"/>
    </font>
    <font>
      <b/>
      <i/>
      <sz val="14"/>
      <color theme="0"/>
      <name val="Calibri"/>
      <family val="2"/>
    </font>
    <font>
      <b/>
      <sz val="14"/>
      <color theme="1"/>
      <name val="Calibri"/>
      <family val="2"/>
    </font>
    <font>
      <b/>
      <sz val="36"/>
      <color rgb="FFFF8700"/>
      <name val="Calibri"/>
      <family val="2"/>
    </font>
    <font>
      <b/>
      <i/>
      <sz val="14"/>
      <color theme="1"/>
      <name val="Calibri"/>
      <family val="2"/>
    </font>
    <font>
      <b/>
      <sz val="24"/>
      <color theme="1"/>
      <name val="Calibri"/>
      <family val="2"/>
    </font>
    <font>
      <b/>
      <sz val="16"/>
      <color rgb="FFFF8700"/>
      <name val="Calibri"/>
      <family val="2"/>
    </font>
    <font>
      <b/>
      <sz val="11"/>
      <color theme="1"/>
      <name val="Calibri"/>
      <family val="2"/>
    </font>
    <font>
      <b/>
      <sz val="11"/>
      <color theme="0"/>
      <name val="Calibri"/>
      <family val="2"/>
    </font>
    <font>
      <b/>
      <u/>
      <sz val="11"/>
      <color theme="0"/>
      <name val="Calibri"/>
      <family val="2"/>
    </font>
    <font>
      <b/>
      <i/>
      <u/>
      <sz val="11"/>
      <color theme="0"/>
      <name val="Calibri"/>
      <family val="2"/>
    </font>
    <font>
      <sz val="11"/>
      <name val="Calibri"/>
      <family val="2"/>
    </font>
    <font>
      <b/>
      <sz val="11"/>
      <name val="Calibri"/>
      <family val="2"/>
    </font>
    <font>
      <i/>
      <sz val="11"/>
      <name val="Calibri"/>
      <family val="2"/>
    </font>
    <font>
      <sz val="11"/>
      <color theme="0"/>
      <name val="Calibri"/>
      <family val="2"/>
    </font>
    <font>
      <sz val="11"/>
      <color rgb="FFFF0000"/>
      <name val="Calibri"/>
      <family val="2"/>
    </font>
    <font>
      <i/>
      <sz val="11"/>
      <color theme="1"/>
      <name val="Calibri"/>
      <family val="2"/>
    </font>
    <font>
      <sz val="14"/>
      <color theme="1"/>
      <name val="Calibri"/>
      <family val="2"/>
    </font>
    <font>
      <b/>
      <sz val="12"/>
      <color theme="1"/>
      <name val="Calibri"/>
      <family val="2"/>
    </font>
    <font>
      <sz val="12"/>
      <color theme="1"/>
      <name val="Calibri"/>
      <family val="2"/>
    </font>
    <font>
      <b/>
      <sz val="12"/>
      <color rgb="FFFE7800"/>
      <name val="Calibri"/>
      <family val="2"/>
    </font>
    <font>
      <b/>
      <sz val="12"/>
      <color theme="0" tint="-0.499984740745262"/>
      <name val="Calibri"/>
      <family val="2"/>
    </font>
    <font>
      <b/>
      <sz val="12"/>
      <color rgb="FF808080"/>
      <name val="Calibri"/>
      <family val="2"/>
    </font>
    <font>
      <b/>
      <i/>
      <sz val="12"/>
      <color rgb="FF808080"/>
      <name val="Calibri"/>
      <family val="2"/>
    </font>
    <font>
      <b/>
      <u/>
      <sz val="12"/>
      <color theme="1"/>
      <name val="Calibri"/>
      <family val="2"/>
    </font>
    <font>
      <b/>
      <i/>
      <sz val="10"/>
      <color rgb="FF808080"/>
      <name val="Calibri"/>
      <family val="2"/>
    </font>
    <font>
      <b/>
      <sz val="11"/>
      <color theme="1"/>
      <name val="Calibri"/>
      <family val="2"/>
      <scheme val="minor"/>
    </font>
    <font>
      <sz val="11"/>
      <color rgb="FF000000"/>
      <name val="Calibri"/>
      <family val="2"/>
      <scheme val="minor"/>
    </font>
    <font>
      <b/>
      <sz val="9"/>
      <color theme="0" tint="-0.499984740745262"/>
      <name val="Calibri"/>
      <family val="2"/>
    </font>
    <font>
      <b/>
      <sz val="10"/>
      <color theme="0"/>
      <name val="Calibri"/>
      <family val="2"/>
    </font>
    <font>
      <b/>
      <sz val="10"/>
      <color theme="1"/>
      <name val="Calibri"/>
      <family val="2"/>
    </font>
    <font>
      <sz val="10"/>
      <name val="Calibri"/>
      <family val="2"/>
    </font>
    <font>
      <b/>
      <sz val="8"/>
      <color theme="1"/>
      <name val="Calibri"/>
      <family val="2"/>
    </font>
    <font>
      <b/>
      <i/>
      <sz val="12"/>
      <color theme="0" tint="-0.499984740745262"/>
      <name val="Calibri"/>
      <family val="2"/>
    </font>
    <font>
      <b/>
      <sz val="12"/>
      <color rgb="FFEB7100"/>
      <name val="Calibri"/>
      <family val="2"/>
    </font>
    <font>
      <b/>
      <i/>
      <sz val="12"/>
      <color rgb="FFEB7100"/>
      <name val="Calibri"/>
      <family val="2"/>
    </font>
    <font>
      <b/>
      <sz val="20"/>
      <color rgb="FFEB7100"/>
      <name val="Calibri"/>
      <family val="2"/>
    </font>
    <font>
      <b/>
      <sz val="14"/>
      <color rgb="FFEB7100"/>
      <name val="Calibri"/>
      <family val="2"/>
    </font>
    <font>
      <sz val="11"/>
      <name val="Calibri"/>
      <family val="2"/>
      <scheme val="minor"/>
    </font>
    <font>
      <b/>
      <i/>
      <sz val="11"/>
      <name val="Calibri"/>
      <family val="2"/>
    </font>
    <font>
      <sz val="14"/>
      <color rgb="FF72350C"/>
      <name val="Calibri"/>
      <family val="2"/>
    </font>
    <font>
      <u/>
      <sz val="11"/>
      <color theme="1"/>
      <name val="Calibri (Body)"/>
    </font>
    <font>
      <sz val="11"/>
      <color theme="1"/>
      <name val="Calibri (Body)"/>
    </font>
    <font>
      <i/>
      <sz val="11"/>
      <color theme="1"/>
      <name val="Calibri (Body)"/>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4D6"/>
        <bgColor indexed="64"/>
      </patternFill>
    </fill>
    <fill>
      <patternFill patternType="solid">
        <fgColor rgb="FFFFE9D0"/>
        <bgColor indexed="64"/>
      </patternFill>
    </fill>
  </fills>
  <borders count="20">
    <border>
      <left/>
      <right/>
      <top/>
      <bottom/>
      <diagonal/>
    </border>
    <border>
      <left/>
      <right/>
      <top/>
      <bottom style="thin">
        <color rgb="FFFF8700"/>
      </bottom>
      <diagonal/>
    </border>
    <border>
      <left/>
      <right/>
      <top/>
      <bottom style="medium">
        <color rgb="FFF65E01"/>
      </bottom>
      <diagonal/>
    </border>
    <border>
      <left/>
      <right/>
      <top style="thin">
        <color rgb="FFFB7800"/>
      </top>
      <bottom/>
      <diagonal/>
    </border>
    <border>
      <left/>
      <right/>
      <top style="thin">
        <color rgb="FFFF8700"/>
      </top>
      <bottom/>
      <diagonal/>
    </border>
    <border>
      <left/>
      <right/>
      <top/>
      <bottom style="thin">
        <color rgb="FFFE7800"/>
      </bottom>
      <diagonal/>
    </border>
    <border>
      <left/>
      <right/>
      <top style="thin">
        <color rgb="FFFE7800"/>
      </top>
      <bottom/>
      <diagonal/>
    </border>
    <border>
      <left/>
      <right/>
      <top/>
      <bottom style="thin">
        <color auto="1"/>
      </bottom>
      <diagonal/>
    </border>
    <border>
      <left/>
      <right/>
      <top/>
      <bottom style="thin">
        <color rgb="FFEB7100"/>
      </bottom>
      <diagonal/>
    </border>
    <border>
      <left/>
      <right/>
      <top style="thin">
        <color rgb="FFEB7100"/>
      </top>
      <bottom/>
      <diagonal/>
    </border>
    <border>
      <left/>
      <right/>
      <top style="thin">
        <color rgb="FFEC7100"/>
      </top>
      <bottom/>
      <diagonal/>
    </border>
    <border>
      <left style="thin">
        <color rgb="FF72350C"/>
      </left>
      <right style="thin">
        <color rgb="FF72350C"/>
      </right>
      <top style="thin">
        <color rgb="FF72350C"/>
      </top>
      <bottom style="thin">
        <color rgb="FF72350C"/>
      </bottom>
      <diagonal/>
    </border>
    <border>
      <left style="medium">
        <color rgb="FFEC7100"/>
      </left>
      <right/>
      <top style="medium">
        <color rgb="FFEC7100"/>
      </top>
      <bottom/>
      <diagonal/>
    </border>
    <border>
      <left/>
      <right/>
      <top style="medium">
        <color rgb="FFEC7100"/>
      </top>
      <bottom/>
      <diagonal/>
    </border>
    <border>
      <left/>
      <right style="medium">
        <color rgb="FFEC7100"/>
      </right>
      <top style="medium">
        <color rgb="FFEC7100"/>
      </top>
      <bottom/>
      <diagonal/>
    </border>
    <border>
      <left style="medium">
        <color rgb="FFEC7100"/>
      </left>
      <right/>
      <top/>
      <bottom/>
      <diagonal/>
    </border>
    <border>
      <left/>
      <right style="medium">
        <color rgb="FFEC7100"/>
      </right>
      <top/>
      <bottom/>
      <diagonal/>
    </border>
    <border>
      <left style="medium">
        <color rgb="FFEC7100"/>
      </left>
      <right/>
      <top/>
      <bottom style="medium">
        <color rgb="FFEC7100"/>
      </bottom>
      <diagonal/>
    </border>
    <border>
      <left/>
      <right/>
      <top/>
      <bottom style="medium">
        <color rgb="FFEC7100"/>
      </bottom>
      <diagonal/>
    </border>
    <border>
      <left/>
      <right style="medium">
        <color rgb="FFEC7100"/>
      </right>
      <top/>
      <bottom style="medium">
        <color rgb="FFEC7100"/>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3" fillId="0" borderId="0"/>
    <xf numFmtId="0" fontId="4" fillId="0" borderId="0"/>
    <xf numFmtId="164" fontId="4" fillId="0" borderId="0" applyFont="0" applyFill="0" applyBorder="0" applyAlignment="0" applyProtection="0"/>
    <xf numFmtId="164" fontId="2" fillId="0" borderId="0" applyFont="0" applyFill="0" applyBorder="0" applyAlignment="0" applyProtection="0"/>
    <xf numFmtId="0" fontId="5" fillId="0" borderId="2" applyFont="0" applyFill="0" applyAlignment="0">
      <alignment vertical="center"/>
    </xf>
    <xf numFmtId="0" fontId="4" fillId="0" borderId="0"/>
    <xf numFmtId="0" fontId="1" fillId="0" borderId="0"/>
    <xf numFmtId="0" fontId="7" fillId="0" borderId="0" applyNumberFormat="0" applyFill="0" applyBorder="0" applyAlignment="0" applyProtection="0"/>
  </cellStyleXfs>
  <cellXfs count="695">
    <xf numFmtId="0" fontId="0" fillId="0" borderId="0" xfId="0"/>
    <xf numFmtId="0" fontId="2" fillId="0" borderId="0" xfId="0" applyFont="1" applyAlignment="1">
      <alignment vertical="center"/>
    </xf>
    <xf numFmtId="0" fontId="0" fillId="0" borderId="0" xfId="0" applyProtection="1">
      <protection hidden="1"/>
    </xf>
    <xf numFmtId="165" fontId="26" fillId="0" borderId="0" xfId="1" applyNumberFormat="1" applyFont="1" applyFill="1" applyBorder="1" applyAlignment="1" applyProtection="1">
      <alignment horizontal="left" vertical="center" wrapText="1"/>
      <protection locked="0" hidden="1"/>
    </xf>
    <xf numFmtId="165" fontId="9" fillId="0" borderId="0" xfId="1" applyNumberFormat="1" applyFont="1" applyFill="1" applyBorder="1" applyAlignment="1" applyProtection="1">
      <alignment vertical="center" wrapText="1"/>
      <protection locked="0" hidden="1"/>
    </xf>
    <xf numFmtId="165" fontId="26" fillId="0" borderId="1" xfId="1" applyNumberFormat="1" applyFont="1" applyFill="1" applyBorder="1" applyAlignment="1" applyProtection="1">
      <alignment horizontal="left" vertical="center" wrapText="1"/>
      <protection locked="0" hidden="1"/>
    </xf>
    <xf numFmtId="165" fontId="26" fillId="0" borderId="4" xfId="1" applyNumberFormat="1" applyFont="1" applyFill="1" applyBorder="1" applyAlignment="1" applyProtection="1">
      <alignment horizontal="left" vertical="center" wrapText="1"/>
      <protection locked="0" hidden="1"/>
    </xf>
    <xf numFmtId="165" fontId="26" fillId="0" borderId="1" xfId="1" applyNumberFormat="1" applyFont="1" applyFill="1" applyBorder="1" applyAlignment="1" applyProtection="1">
      <alignment vertical="center" wrapText="1"/>
      <protection locked="0" hidden="1"/>
    </xf>
    <xf numFmtId="0" fontId="9" fillId="3" borderId="0" xfId="0" applyFont="1" applyFill="1" applyProtection="1">
      <protection locked="0" hidden="1"/>
    </xf>
    <xf numFmtId="0" fontId="21" fillId="0" borderId="0" xfId="0" applyFont="1" applyAlignment="1" applyProtection="1">
      <alignment vertical="center"/>
      <protection locked="0" hidden="1"/>
    </xf>
    <xf numFmtId="0" fontId="22" fillId="0" borderId="0" xfId="0" applyFont="1" applyAlignment="1" applyProtection="1">
      <alignment vertical="center"/>
      <protection locked="0" hidden="1"/>
    </xf>
    <xf numFmtId="165" fontId="22" fillId="0" borderId="0" xfId="1" applyNumberFormat="1" applyFont="1" applyFill="1" applyBorder="1" applyAlignment="1" applyProtection="1">
      <alignment horizontal="right" vertical="center"/>
      <protection locked="0" hidden="1"/>
    </xf>
    <xf numFmtId="0" fontId="23" fillId="0" borderId="0" xfId="11" applyFont="1" applyFill="1" applyBorder="1" applyAlignment="1" applyProtection="1">
      <alignment horizontal="left" vertical="center"/>
      <protection locked="0" hidden="1"/>
    </xf>
    <xf numFmtId="0" fontId="24" fillId="0" borderId="0" xfId="0" applyFont="1" applyAlignment="1" applyProtection="1">
      <alignment vertical="center"/>
      <protection locked="0" hidden="1"/>
    </xf>
    <xf numFmtId="0" fontId="21" fillId="0" borderId="0" xfId="0" applyFont="1" applyAlignment="1" applyProtection="1">
      <alignment horizontal="left" vertical="center"/>
      <protection locked="0" hidden="1"/>
    </xf>
    <xf numFmtId="0" fontId="9" fillId="0" borderId="0" xfId="0" applyFont="1" applyAlignment="1" applyProtection="1">
      <alignment vertical="center"/>
      <protection locked="0" hidden="1"/>
    </xf>
    <xf numFmtId="0" fontId="25" fillId="0" borderId="0" xfId="0" applyFont="1" applyAlignment="1" applyProtection="1">
      <alignment horizontal="left" vertical="center" indent="1"/>
      <protection locked="0" hidden="1"/>
    </xf>
    <xf numFmtId="0" fontId="27" fillId="0" borderId="0" xfId="0" applyFont="1" applyAlignment="1" applyProtection="1">
      <alignment horizontal="left" vertical="center" indent="4"/>
      <protection locked="0" hidden="1"/>
    </xf>
    <xf numFmtId="0" fontId="9" fillId="0" borderId="0" xfId="0" applyFont="1" applyAlignment="1" applyProtection="1">
      <alignment horizontal="left" vertical="center"/>
      <protection locked="0" hidden="1"/>
    </xf>
    <xf numFmtId="0" fontId="34" fillId="0" borderId="0" xfId="0" applyFont="1" applyAlignment="1" applyProtection="1">
      <alignment horizontal="left" vertical="center"/>
      <protection locked="0" hidden="1"/>
    </xf>
    <xf numFmtId="1" fontId="35" fillId="0" borderId="0" xfId="1" applyNumberFormat="1" applyFont="1" applyFill="1" applyBorder="1" applyAlignment="1" applyProtection="1">
      <alignment horizontal="center" vertical="center"/>
      <protection locked="0" hidden="1"/>
    </xf>
    <xf numFmtId="165" fontId="35" fillId="0" borderId="0" xfId="1" applyNumberFormat="1" applyFont="1" applyFill="1" applyBorder="1" applyAlignment="1" applyProtection="1">
      <alignment horizontal="center" vertical="center"/>
      <protection locked="0" hidden="1"/>
    </xf>
    <xf numFmtId="0" fontId="25" fillId="3" borderId="0" xfId="0" applyFont="1" applyFill="1" applyAlignment="1" applyProtection="1">
      <alignment horizontal="left" vertical="center" indent="1"/>
      <protection locked="0" hidden="1"/>
    </xf>
    <xf numFmtId="0" fontId="27" fillId="3" borderId="0" xfId="0" applyFont="1" applyFill="1" applyAlignment="1" applyProtection="1">
      <alignment horizontal="left" vertical="center" indent="4"/>
      <protection locked="0" hidden="1"/>
    </xf>
    <xf numFmtId="165" fontId="26" fillId="3" borderId="0" xfId="1" applyNumberFormat="1" applyFont="1" applyFill="1" applyBorder="1" applyAlignment="1" applyProtection="1">
      <alignment horizontal="left" vertical="center" wrapText="1"/>
      <protection locked="0" hidden="1"/>
    </xf>
    <xf numFmtId="0" fontId="9" fillId="0" borderId="0" xfId="0" applyFont="1" applyProtection="1">
      <protection locked="0" hidden="1"/>
    </xf>
    <xf numFmtId="0" fontId="21" fillId="0" borderId="0" xfId="0" applyFont="1" applyProtection="1">
      <protection locked="0" hidden="1"/>
    </xf>
    <xf numFmtId="0" fontId="9" fillId="0" borderId="0" xfId="0" applyFont="1" applyAlignment="1" applyProtection="1">
      <alignment horizontal="left" indent="1"/>
      <protection locked="0" hidden="1"/>
    </xf>
    <xf numFmtId="175" fontId="32" fillId="0" borderId="0" xfId="1" applyNumberFormat="1" applyFont="1" applyFill="1" applyBorder="1" applyAlignment="1" applyProtection="1">
      <alignment horizontal="right" vertical="center"/>
      <protection locked="0" hidden="1"/>
    </xf>
    <xf numFmtId="175" fontId="33" fillId="0" borderId="0" xfId="1" applyNumberFormat="1" applyFont="1" applyFill="1" applyBorder="1" applyAlignment="1" applyProtection="1">
      <alignment horizontal="right" vertical="center"/>
      <protection locked="0" hidden="1"/>
    </xf>
    <xf numFmtId="168" fontId="33" fillId="0" borderId="0" xfId="2" applyNumberFormat="1" applyFont="1" applyFill="1" applyBorder="1" applyAlignment="1" applyProtection="1">
      <alignment horizontal="center" vertical="center" wrapText="1"/>
      <protection locked="0" hidden="1"/>
    </xf>
    <xf numFmtId="0" fontId="21" fillId="3" borderId="0" xfId="0" applyFont="1" applyFill="1" applyAlignment="1" applyProtection="1">
      <alignment vertical="center"/>
      <protection locked="0" hidden="1"/>
    </xf>
    <xf numFmtId="175" fontId="32" fillId="0" borderId="6" xfId="1" applyNumberFormat="1" applyFont="1" applyFill="1" applyBorder="1" applyAlignment="1" applyProtection="1">
      <alignment horizontal="right" vertical="center"/>
      <protection locked="0" hidden="1"/>
    </xf>
    <xf numFmtId="172" fontId="32" fillId="3" borderId="0" xfId="1" applyNumberFormat="1" applyFont="1" applyFill="1" applyBorder="1" applyAlignment="1" applyProtection="1">
      <alignment horizontal="right" vertical="center"/>
      <protection locked="0" hidden="1"/>
    </xf>
    <xf numFmtId="175" fontId="32" fillId="3" borderId="6" xfId="1" applyNumberFormat="1" applyFont="1" applyFill="1" applyBorder="1" applyAlignment="1" applyProtection="1">
      <alignment horizontal="right" vertical="center"/>
      <protection locked="0" hidden="1"/>
    </xf>
    <xf numFmtId="175" fontId="16" fillId="5" borderId="6" xfId="1" applyNumberFormat="1" applyFont="1" applyFill="1" applyBorder="1" applyAlignment="1" applyProtection="1">
      <alignment horizontal="right" vertical="center"/>
      <protection locked="0" hidden="1"/>
    </xf>
    <xf numFmtId="175" fontId="16" fillId="5" borderId="0" xfId="1" applyNumberFormat="1" applyFont="1" applyFill="1" applyBorder="1" applyAlignment="1" applyProtection="1">
      <alignment horizontal="right" vertical="center"/>
      <protection locked="0" hidden="1"/>
    </xf>
    <xf numFmtId="0" fontId="32" fillId="0" borderId="6" xfId="0" applyFont="1" applyBorder="1" applyAlignment="1" applyProtection="1">
      <alignment horizontal="left" vertical="center"/>
      <protection locked="0" hidden="1"/>
    </xf>
    <xf numFmtId="0" fontId="32" fillId="3" borderId="6" xfId="0" applyFont="1" applyFill="1" applyBorder="1" applyAlignment="1" applyProtection="1">
      <alignment horizontal="left" vertical="center"/>
      <protection locked="0" hidden="1"/>
    </xf>
    <xf numFmtId="0" fontId="33" fillId="3" borderId="0" xfId="0" applyFont="1" applyFill="1" applyAlignment="1" applyProtection="1">
      <alignment vertical="center"/>
      <protection locked="0" hidden="1"/>
    </xf>
    <xf numFmtId="0" fontId="31" fillId="3" borderId="0" xfId="0" applyFont="1" applyFill="1" applyAlignment="1" applyProtection="1">
      <alignment vertical="center"/>
      <protection locked="0" hidden="1"/>
    </xf>
    <xf numFmtId="0" fontId="33" fillId="3" borderId="0" xfId="0" applyFont="1" applyFill="1" applyAlignment="1" applyProtection="1">
      <alignment horizontal="center" vertical="center"/>
      <protection locked="0" hidden="1"/>
    </xf>
    <xf numFmtId="43" fontId="33" fillId="3" borderId="0" xfId="0" applyNumberFormat="1" applyFont="1" applyFill="1" applyAlignment="1" applyProtection="1">
      <alignment vertical="center"/>
      <protection locked="0" hidden="1"/>
    </xf>
    <xf numFmtId="0" fontId="33" fillId="3" borderId="0" xfId="0" applyFont="1" applyFill="1" applyAlignment="1" applyProtection="1">
      <alignment horizontal="center" vertical="center" wrapText="1"/>
      <protection locked="0" hidden="1"/>
    </xf>
    <xf numFmtId="0" fontId="38" fillId="3" borderId="0" xfId="0" applyFont="1" applyFill="1" applyAlignment="1" applyProtection="1">
      <alignment vertical="center"/>
      <protection locked="0" hidden="1"/>
    </xf>
    <xf numFmtId="0" fontId="32" fillId="3" borderId="0" xfId="0" applyFont="1" applyFill="1" applyAlignment="1" applyProtection="1">
      <alignment horizontal="center" vertical="center"/>
      <protection locked="0" hidden="1"/>
    </xf>
    <xf numFmtId="168" fontId="9" fillId="0" borderId="0" xfId="2" applyNumberFormat="1" applyFont="1" applyFill="1" applyBorder="1" applyAlignment="1" applyProtection="1">
      <alignment horizontal="center" vertical="center"/>
      <protection locked="0" hidden="1"/>
    </xf>
    <xf numFmtId="168" fontId="32" fillId="5" borderId="0" xfId="2" applyNumberFormat="1" applyFont="1" applyFill="1" applyBorder="1" applyAlignment="1" applyProtection="1">
      <alignment horizontal="center" vertical="center" wrapText="1"/>
      <protection locked="0" hidden="1"/>
    </xf>
    <xf numFmtId="9" fontId="33" fillId="3" borderId="0" xfId="2" applyFont="1" applyFill="1" applyBorder="1" applyAlignment="1" applyProtection="1">
      <alignment vertical="center"/>
      <protection locked="0" hidden="1"/>
    </xf>
    <xf numFmtId="0" fontId="22" fillId="0" borderId="0" xfId="0" applyFont="1" applyAlignment="1" applyProtection="1">
      <alignment horizontal="left" vertical="center"/>
      <protection locked="0" hidden="1"/>
    </xf>
    <xf numFmtId="0" fontId="9" fillId="0" borderId="0" xfId="0" applyFont="1" applyAlignment="1" applyProtection="1">
      <alignment horizontal="right"/>
      <protection locked="0" hidden="1"/>
    </xf>
    <xf numFmtId="0" fontId="25" fillId="0" borderId="0" xfId="0" applyFont="1" applyAlignment="1" applyProtection="1">
      <alignment horizontal="left" vertical="center" indent="3"/>
      <protection locked="0" hidden="1"/>
    </xf>
    <xf numFmtId="0" fontId="26" fillId="0" borderId="0" xfId="0" applyFont="1" applyAlignment="1" applyProtection="1">
      <alignment vertical="center"/>
      <protection locked="0" hidden="1"/>
    </xf>
    <xf numFmtId="0" fontId="25" fillId="0" borderId="0" xfId="0" applyFont="1" applyAlignment="1" applyProtection="1">
      <alignment horizontal="left" indent="1"/>
      <protection locked="0" hidden="1"/>
    </xf>
    <xf numFmtId="0" fontId="26" fillId="3" borderId="0" xfId="0" applyFont="1" applyFill="1" applyAlignment="1" applyProtection="1">
      <alignment vertical="center"/>
      <protection locked="0" hidden="1"/>
    </xf>
    <xf numFmtId="0" fontId="25" fillId="3" borderId="0" xfId="0" applyFont="1" applyFill="1" applyAlignment="1" applyProtection="1">
      <alignment horizontal="left" indent="1"/>
      <protection locked="0" hidden="1"/>
    </xf>
    <xf numFmtId="0" fontId="27" fillId="0" borderId="0" xfId="0" applyFont="1" applyAlignment="1" applyProtection="1">
      <alignment horizontal="left" indent="3"/>
      <protection locked="0" hidden="1"/>
    </xf>
    <xf numFmtId="0" fontId="27" fillId="0" borderId="0" xfId="0" applyFont="1" applyAlignment="1" applyProtection="1">
      <alignment horizontal="left" indent="4"/>
      <protection locked="0" hidden="1"/>
    </xf>
    <xf numFmtId="0" fontId="25" fillId="0" borderId="0" xfId="0" applyFont="1" applyAlignment="1" applyProtection="1">
      <alignment horizontal="left" vertical="center" wrapText="1" indent="1"/>
      <protection locked="0" hidden="1"/>
    </xf>
    <xf numFmtId="0" fontId="27" fillId="0" borderId="0" xfId="0" applyFont="1" applyAlignment="1" applyProtection="1">
      <alignment horizontal="left" vertical="center" indent="5"/>
      <protection locked="0" hidden="1"/>
    </xf>
    <xf numFmtId="165" fontId="34" fillId="0" borderId="0" xfId="1" applyNumberFormat="1" applyFont="1" applyFill="1" applyBorder="1" applyAlignment="1" applyProtection="1">
      <alignment horizontal="center" vertical="center"/>
      <protection locked="0" hidden="1"/>
    </xf>
    <xf numFmtId="0" fontId="27" fillId="3" borderId="0" xfId="0" applyFont="1" applyFill="1" applyAlignment="1" applyProtection="1">
      <alignment horizontal="left" indent="3"/>
      <protection locked="0" hidden="1"/>
    </xf>
    <xf numFmtId="0" fontId="27" fillId="3" borderId="0" xfId="0" applyFont="1" applyFill="1" applyAlignment="1" applyProtection="1">
      <alignment horizontal="left" indent="4"/>
      <protection locked="0" hidden="1"/>
    </xf>
    <xf numFmtId="0" fontId="25" fillId="3" borderId="0" xfId="0" applyFont="1" applyFill="1" applyAlignment="1" applyProtection="1">
      <alignment horizontal="left" vertical="center" wrapText="1" indent="1"/>
      <protection locked="0" hidden="1"/>
    </xf>
    <xf numFmtId="0" fontId="25" fillId="0" borderId="0" xfId="0" applyFont="1" applyAlignment="1" applyProtection="1">
      <alignment horizontal="left" wrapText="1"/>
      <protection locked="0" hidden="1"/>
    </xf>
    <xf numFmtId="0" fontId="30" fillId="0" borderId="0" xfId="0" applyFont="1" applyAlignment="1" applyProtection="1">
      <alignment horizontal="left" vertical="center" wrapText="1" indent="5"/>
      <protection locked="0" hidden="1"/>
    </xf>
    <xf numFmtId="0" fontId="9" fillId="0" borderId="0" xfId="0" applyFont="1" applyAlignment="1" applyProtection="1">
      <alignment horizontal="left" vertical="center" wrapText="1" indent="1"/>
      <protection locked="0" hidden="1"/>
    </xf>
    <xf numFmtId="0" fontId="30" fillId="0" borderId="0" xfId="0" applyFont="1" applyAlignment="1" applyProtection="1">
      <alignment horizontal="left" vertical="center" wrapText="1" indent="4"/>
      <protection locked="0" hidden="1"/>
    </xf>
    <xf numFmtId="0" fontId="30" fillId="0" borderId="0" xfId="0" applyFont="1" applyAlignment="1" applyProtection="1">
      <alignment horizontal="left" indent="5"/>
      <protection locked="0" hidden="1"/>
    </xf>
    <xf numFmtId="0" fontId="30" fillId="0" borderId="0" xfId="0" applyFont="1" applyAlignment="1" applyProtection="1">
      <alignment horizontal="left" indent="7"/>
      <protection locked="0" hidden="1"/>
    </xf>
    <xf numFmtId="0" fontId="30" fillId="3" borderId="0" xfId="0" applyFont="1" applyFill="1" applyAlignment="1" applyProtection="1">
      <alignment horizontal="left" vertical="center" wrapText="1" indent="5"/>
      <protection locked="0" hidden="1"/>
    </xf>
    <xf numFmtId="0" fontId="30" fillId="3" borderId="0" xfId="0" applyFont="1" applyFill="1" applyAlignment="1" applyProtection="1">
      <alignment horizontal="left" vertical="center" wrapText="1" indent="4"/>
      <protection locked="0" hidden="1"/>
    </xf>
    <xf numFmtId="0" fontId="9" fillId="3" borderId="0" xfId="0" applyFont="1" applyFill="1" applyAlignment="1" applyProtection="1">
      <alignment horizontal="left" vertical="center" wrapText="1" indent="1"/>
      <protection locked="0" hidden="1"/>
    </xf>
    <xf numFmtId="0" fontId="30" fillId="3" borderId="0" xfId="0" applyFont="1" applyFill="1" applyAlignment="1" applyProtection="1">
      <alignment horizontal="left" indent="7"/>
      <protection locked="0" hidden="1"/>
    </xf>
    <xf numFmtId="0" fontId="9" fillId="0" borderId="0" xfId="0" applyFont="1" applyAlignment="1" applyProtection="1">
      <alignment horizontal="left" vertical="center" wrapText="1"/>
      <protection locked="0" hidden="1"/>
    </xf>
    <xf numFmtId="0" fontId="26" fillId="0" borderId="0" xfId="0" applyFont="1" applyAlignment="1" applyProtection="1">
      <alignment horizontal="left" indent="1"/>
      <protection locked="0" hidden="1"/>
    </xf>
    <xf numFmtId="0" fontId="25" fillId="0" borderId="0" xfId="0" applyFont="1" applyAlignment="1" applyProtection="1">
      <alignment horizontal="left" indent="4"/>
      <protection locked="0" hidden="1"/>
    </xf>
    <xf numFmtId="0" fontId="21" fillId="0" borderId="0" xfId="0" applyFont="1" applyAlignment="1" applyProtection="1">
      <alignment horizontal="left" vertical="center" wrapText="1" indent="2"/>
      <protection locked="0" hidden="1"/>
    </xf>
    <xf numFmtId="165" fontId="25" fillId="3" borderId="0" xfId="1" applyNumberFormat="1" applyFont="1" applyFill="1" applyBorder="1" applyAlignment="1" applyProtection="1">
      <alignment horizontal="left" vertical="center" wrapText="1"/>
      <protection locked="0" hidden="1"/>
    </xf>
    <xf numFmtId="0" fontId="30" fillId="0" borderId="0" xfId="0" applyFont="1" applyAlignment="1" applyProtection="1">
      <alignment horizontal="left" indent="4"/>
      <protection locked="0" hidden="1"/>
    </xf>
    <xf numFmtId="0" fontId="27" fillId="3" borderId="0" xfId="0" applyFont="1" applyFill="1" applyAlignment="1" applyProtection="1">
      <alignment horizontal="left" vertical="center" wrapText="1" indent="3"/>
      <protection locked="0" hidden="1"/>
    </xf>
    <xf numFmtId="0" fontId="27" fillId="0" borderId="0" xfId="0" applyFont="1" applyAlignment="1" applyProtection="1">
      <alignment horizontal="left" vertical="center" wrapText="1" indent="3"/>
      <protection locked="0" hidden="1"/>
    </xf>
    <xf numFmtId="0" fontId="9" fillId="3" borderId="0" xfId="0" applyFont="1" applyFill="1" applyAlignment="1" applyProtection="1">
      <alignment horizontal="left" indent="1"/>
      <protection locked="0" hidden="1"/>
    </xf>
    <xf numFmtId="0" fontId="30" fillId="3" borderId="0" xfId="0" applyFont="1" applyFill="1" applyAlignment="1" applyProtection="1">
      <alignment horizontal="left" indent="4"/>
      <protection locked="0" hidden="1"/>
    </xf>
    <xf numFmtId="165" fontId="26" fillId="4" borderId="4" xfId="1" applyNumberFormat="1" applyFont="1" applyFill="1" applyBorder="1" applyAlignment="1" applyProtection="1">
      <alignment horizontal="left" vertical="center" wrapText="1"/>
      <protection locked="0" hidden="1"/>
    </xf>
    <xf numFmtId="0" fontId="27" fillId="4" borderId="0" xfId="0" applyFont="1" applyFill="1" applyAlignment="1" applyProtection="1">
      <alignment horizontal="left" indent="4"/>
      <protection locked="0" hidden="1"/>
    </xf>
    <xf numFmtId="165" fontId="25" fillId="4" borderId="0" xfId="1" applyNumberFormat="1" applyFont="1" applyFill="1" applyBorder="1" applyAlignment="1" applyProtection="1">
      <alignment horizontal="left" vertical="center" wrapText="1"/>
      <protection locked="0" hidden="1"/>
    </xf>
    <xf numFmtId="0" fontId="30" fillId="4" borderId="0" xfId="0" applyFont="1" applyFill="1" applyAlignment="1" applyProtection="1">
      <alignment horizontal="left" vertical="center" wrapText="1" indent="5"/>
      <protection locked="0" hidden="1"/>
    </xf>
    <xf numFmtId="0" fontId="9" fillId="4" borderId="0" xfId="0" applyFont="1" applyFill="1" applyAlignment="1" applyProtection="1">
      <alignment horizontal="left" vertical="center" wrapText="1"/>
      <protection locked="0" hidden="1"/>
    </xf>
    <xf numFmtId="175" fontId="33" fillId="0" borderId="6" xfId="1" applyNumberFormat="1" applyFont="1" applyFill="1" applyBorder="1" applyAlignment="1" applyProtection="1">
      <alignment horizontal="right" vertical="center"/>
      <protection locked="0" hidden="1"/>
    </xf>
    <xf numFmtId="9" fontId="33" fillId="3" borderId="0" xfId="2" applyFont="1" applyFill="1" applyAlignment="1" applyProtection="1">
      <alignment vertical="center"/>
      <protection locked="0" hidden="1"/>
    </xf>
    <xf numFmtId="175" fontId="31" fillId="7" borderId="0" xfId="1" applyNumberFormat="1" applyFont="1" applyFill="1" applyBorder="1" applyAlignment="1" applyProtection="1">
      <alignment horizontal="right" vertical="center"/>
      <protection locked="0" hidden="1"/>
    </xf>
    <xf numFmtId="175" fontId="16" fillId="7" borderId="6" xfId="1" applyNumberFormat="1" applyFont="1" applyFill="1" applyBorder="1" applyAlignment="1" applyProtection="1">
      <alignment horizontal="right" vertical="center"/>
      <protection locked="0" hidden="1"/>
    </xf>
    <xf numFmtId="175" fontId="33" fillId="4" borderId="0" xfId="1" applyNumberFormat="1" applyFont="1" applyFill="1" applyBorder="1" applyAlignment="1" applyProtection="1">
      <alignment horizontal="right" vertical="center"/>
      <protection locked="0" hidden="1"/>
    </xf>
    <xf numFmtId="0" fontId="17" fillId="3" borderId="0" xfId="0" applyFont="1" applyFill="1" applyAlignment="1" applyProtection="1">
      <alignment vertical="center"/>
      <protection locked="0" hidden="1"/>
    </xf>
    <xf numFmtId="0" fontId="17" fillId="3" borderId="0" xfId="0" applyFont="1" applyFill="1" applyProtection="1">
      <protection locked="0" hidden="1"/>
    </xf>
    <xf numFmtId="0" fontId="17" fillId="3" borderId="0" xfId="0" applyFont="1" applyFill="1" applyAlignment="1" applyProtection="1">
      <alignment horizontal="center" vertical="center"/>
      <protection locked="0" hidden="1"/>
    </xf>
    <xf numFmtId="0" fontId="9" fillId="3" borderId="0" xfId="0" applyFont="1" applyFill="1" applyAlignment="1" applyProtection="1">
      <alignment horizontal="center"/>
      <protection locked="0" hidden="1"/>
    </xf>
    <xf numFmtId="0" fontId="39" fillId="0" borderId="7" xfId="0" applyFont="1" applyBorder="1" applyAlignment="1" applyProtection="1">
      <alignment horizontal="center" vertical="center" wrapText="1"/>
      <protection locked="0" hidden="1"/>
    </xf>
    <xf numFmtId="168" fontId="32" fillId="3" borderId="0" xfId="2" applyNumberFormat="1" applyFont="1" applyFill="1" applyBorder="1" applyAlignment="1" applyProtection="1">
      <alignment horizontal="center" vertical="center"/>
      <protection locked="0" hidden="1"/>
    </xf>
    <xf numFmtId="168" fontId="32" fillId="6" borderId="0" xfId="2" applyNumberFormat="1" applyFont="1" applyFill="1" applyBorder="1" applyAlignment="1" applyProtection="1">
      <alignment horizontal="center" vertical="center"/>
      <protection locked="0" hidden="1"/>
    </xf>
    <xf numFmtId="179" fontId="32" fillId="0" borderId="6" xfId="1" applyNumberFormat="1" applyFont="1" applyFill="1" applyBorder="1" applyAlignment="1" applyProtection="1">
      <alignment horizontal="right" vertical="center"/>
      <protection locked="0" hidden="1"/>
    </xf>
    <xf numFmtId="179" fontId="32" fillId="3" borderId="6" xfId="1" applyNumberFormat="1" applyFont="1" applyFill="1" applyBorder="1" applyAlignment="1" applyProtection="1">
      <alignment horizontal="right" vertical="center"/>
      <protection locked="0" hidden="1"/>
    </xf>
    <xf numFmtId="168" fontId="21" fillId="3" borderId="0" xfId="2" applyNumberFormat="1" applyFont="1" applyFill="1" applyBorder="1" applyAlignment="1" applyProtection="1">
      <alignment horizontal="center" vertical="center"/>
      <protection locked="0" hidden="1"/>
    </xf>
    <xf numFmtId="179" fontId="32" fillId="0" borderId="0" xfId="1" applyNumberFormat="1" applyFont="1" applyFill="1" applyBorder="1" applyAlignment="1" applyProtection="1">
      <alignment horizontal="right" vertical="center"/>
      <protection locked="0" hidden="1"/>
    </xf>
    <xf numFmtId="179" fontId="33" fillId="4" borderId="0" xfId="1" applyNumberFormat="1" applyFont="1" applyFill="1" applyBorder="1" applyAlignment="1" applyProtection="1">
      <alignment horizontal="right" vertical="center"/>
      <protection locked="0" hidden="1"/>
    </xf>
    <xf numFmtId="179" fontId="33" fillId="0" borderId="0" xfId="1" applyNumberFormat="1" applyFont="1" applyFill="1" applyBorder="1" applyAlignment="1" applyProtection="1">
      <alignment horizontal="right" vertical="center"/>
      <protection locked="0" hidden="1"/>
    </xf>
    <xf numFmtId="179" fontId="33" fillId="0" borderId="6" xfId="1" applyNumberFormat="1" applyFont="1" applyFill="1" applyBorder="1" applyAlignment="1" applyProtection="1">
      <alignment horizontal="right" vertical="center"/>
      <protection locked="0" hidden="1"/>
    </xf>
    <xf numFmtId="0" fontId="27" fillId="3" borderId="0" xfId="0" applyFont="1" applyFill="1" applyAlignment="1" applyProtection="1">
      <alignment horizontal="left" vertical="center" indent="7"/>
      <protection locked="0" hidden="1"/>
    </xf>
    <xf numFmtId="0" fontId="27" fillId="3" borderId="0" xfId="0" applyFont="1" applyFill="1" applyAlignment="1" applyProtection="1">
      <alignment horizontal="left" vertical="center" indent="3"/>
      <protection locked="0" hidden="1"/>
    </xf>
    <xf numFmtId="165" fontId="9" fillId="3" borderId="0" xfId="1" applyNumberFormat="1" applyFont="1" applyFill="1" applyBorder="1" applyAlignment="1" applyProtection="1">
      <alignment horizontal="left" vertical="center" wrapText="1" indent="1"/>
      <protection locked="0" hidden="1"/>
    </xf>
    <xf numFmtId="165" fontId="9" fillId="0" borderId="0" xfId="1" applyNumberFormat="1" applyFont="1" applyFill="1" applyBorder="1" applyAlignment="1" applyProtection="1">
      <alignment horizontal="left" vertical="center" wrapText="1" indent="1"/>
      <protection locked="0" hidden="1"/>
    </xf>
    <xf numFmtId="165" fontId="30" fillId="3" borderId="0" xfId="1" applyNumberFormat="1" applyFont="1" applyFill="1" applyBorder="1" applyAlignment="1" applyProtection="1">
      <alignment horizontal="left" vertical="center" wrapText="1" indent="4"/>
      <protection locked="0" hidden="1"/>
    </xf>
    <xf numFmtId="165" fontId="30" fillId="0" borderId="0" xfId="1" applyNumberFormat="1" applyFont="1" applyFill="1" applyBorder="1" applyAlignment="1" applyProtection="1">
      <alignment horizontal="left" vertical="center" wrapText="1" indent="4"/>
      <protection locked="0" hidden="1"/>
    </xf>
    <xf numFmtId="0" fontId="9" fillId="4" borderId="0" xfId="0" applyFont="1" applyFill="1" applyAlignment="1" applyProtection="1">
      <alignment horizontal="left" vertical="center" wrapText="1" indent="1"/>
      <protection locked="0" hidden="1"/>
    </xf>
    <xf numFmtId="0" fontId="30" fillId="4" borderId="0" xfId="0" applyFont="1" applyFill="1" applyAlignment="1" applyProtection="1">
      <alignment horizontal="left" vertical="center" wrapText="1" indent="4"/>
      <protection locked="0" hidden="1"/>
    </xf>
    <xf numFmtId="1" fontId="42" fillId="0" borderId="0" xfId="1" applyNumberFormat="1" applyFont="1" applyFill="1" applyBorder="1" applyAlignment="1" applyProtection="1">
      <alignment horizontal="center" vertical="center"/>
      <protection locked="0" hidden="1"/>
    </xf>
    <xf numFmtId="165" fontId="21" fillId="0" borderId="0" xfId="1" applyNumberFormat="1" applyFont="1" applyFill="1" applyBorder="1" applyAlignment="1" applyProtection="1">
      <alignment horizontal="left" vertical="center" wrapText="1"/>
      <protection locked="0" hidden="1"/>
    </xf>
    <xf numFmtId="0" fontId="4" fillId="0" borderId="0" xfId="0" applyFont="1" applyProtection="1">
      <protection locked="0" hidden="1"/>
    </xf>
    <xf numFmtId="0" fontId="43" fillId="0" borderId="0" xfId="0" applyFont="1" applyAlignment="1" applyProtection="1">
      <alignment horizontal="left" vertical="center"/>
      <protection locked="0" hidden="1"/>
    </xf>
    <xf numFmtId="0" fontId="45" fillId="0" borderId="0" xfId="0" applyFont="1" applyAlignment="1" applyProtection="1">
      <alignment horizontal="left" indent="1"/>
      <protection locked="0" hidden="1"/>
    </xf>
    <xf numFmtId="165" fontId="4" fillId="0" borderId="0" xfId="1" applyNumberFormat="1" applyFont="1" applyFill="1" applyBorder="1" applyAlignment="1" applyProtection="1">
      <alignment vertical="center" wrapText="1"/>
      <protection locked="0" hidden="1"/>
    </xf>
    <xf numFmtId="0" fontId="46" fillId="0" borderId="0" xfId="0" applyFont="1" applyAlignment="1" applyProtection="1">
      <alignment horizontal="left" vertical="center"/>
      <protection locked="0" hidden="1"/>
    </xf>
    <xf numFmtId="0" fontId="9" fillId="0" borderId="0" xfId="0" applyFont="1" applyAlignment="1" applyProtection="1">
      <alignment horizontal="left" vertical="center" indent="1"/>
      <protection locked="0" hidden="1"/>
    </xf>
    <xf numFmtId="0" fontId="25" fillId="0" borderId="0" xfId="0" applyFont="1" applyAlignment="1" applyProtection="1">
      <alignment horizontal="left" vertical="center" indent="5"/>
      <protection locked="0" hidden="1"/>
    </xf>
    <xf numFmtId="165" fontId="27" fillId="4" borderId="0" xfId="1" applyNumberFormat="1" applyFont="1" applyFill="1" applyBorder="1" applyAlignment="1" applyProtection="1">
      <alignment horizontal="left" vertical="center" wrapText="1" indent="4"/>
      <protection locked="0" hidden="1"/>
    </xf>
    <xf numFmtId="0" fontId="27" fillId="0" borderId="0" xfId="0" applyFont="1" applyAlignment="1" applyProtection="1">
      <alignment horizontal="left" vertical="center" indent="2"/>
      <protection locked="0" hidden="1"/>
    </xf>
    <xf numFmtId="0" fontId="25" fillId="0" borderId="0" xfId="0" applyFont="1" applyAlignment="1" applyProtection="1">
      <alignment horizontal="left" vertical="center" indent="2"/>
      <protection locked="0" hidden="1"/>
    </xf>
    <xf numFmtId="0" fontId="21" fillId="3" borderId="0" xfId="0" applyFont="1" applyFill="1" applyProtection="1">
      <protection locked="0" hidden="1"/>
    </xf>
    <xf numFmtId="0" fontId="27" fillId="3" borderId="0" xfId="0" applyFont="1" applyFill="1" applyAlignment="1" applyProtection="1">
      <alignment horizontal="left" vertical="center" indent="2"/>
      <protection locked="0" hidden="1"/>
    </xf>
    <xf numFmtId="0" fontId="25" fillId="3" borderId="0" xfId="0" applyFont="1" applyFill="1" applyAlignment="1" applyProtection="1">
      <alignment horizontal="left" vertical="center" indent="2"/>
      <protection locked="0" hidden="1"/>
    </xf>
    <xf numFmtId="0" fontId="27" fillId="3" borderId="0" xfId="0" applyFont="1" applyFill="1" applyAlignment="1" applyProtection="1">
      <alignment horizontal="left" vertical="center" indent="9"/>
      <protection locked="0" hidden="1"/>
    </xf>
    <xf numFmtId="0" fontId="27" fillId="3" borderId="0" xfId="0" applyFont="1" applyFill="1" applyAlignment="1" applyProtection="1">
      <alignment horizontal="left" vertical="center" indent="5"/>
      <protection locked="0" hidden="1"/>
    </xf>
    <xf numFmtId="1" fontId="47" fillId="0" borderId="0" xfId="1" applyNumberFormat="1" applyFont="1" applyFill="1" applyBorder="1" applyAlignment="1" applyProtection="1">
      <alignment horizontal="center" vertical="center"/>
      <protection locked="0" hidden="1"/>
    </xf>
    <xf numFmtId="1" fontId="47" fillId="0" borderId="0" xfId="1" applyNumberFormat="1" applyFont="1" applyAlignment="1" applyProtection="1">
      <alignment horizontal="center" vertical="center"/>
      <protection locked="0" hidden="1"/>
    </xf>
    <xf numFmtId="0" fontId="9" fillId="0" borderId="0" xfId="0" applyFont="1" applyProtection="1">
      <protection locked="0"/>
    </xf>
    <xf numFmtId="0" fontId="9" fillId="0" borderId="0" xfId="0" applyFont="1" applyAlignment="1" applyProtection="1">
      <alignment horizontal="right"/>
      <protection locked="0"/>
    </xf>
    <xf numFmtId="1" fontId="35" fillId="0" borderId="0" xfId="1" applyNumberFormat="1" applyFont="1" applyFill="1" applyBorder="1" applyAlignment="1" applyProtection="1">
      <alignment horizontal="center" vertical="center"/>
      <protection locked="0"/>
    </xf>
    <xf numFmtId="165" fontId="35" fillId="0" borderId="0" xfId="1" applyNumberFormat="1" applyFont="1" applyFill="1" applyBorder="1" applyAlignment="1" applyProtection="1">
      <alignment horizontal="center" vertical="center"/>
      <protection locked="0"/>
    </xf>
    <xf numFmtId="165" fontId="34" fillId="0" borderId="5" xfId="1" applyNumberFormat="1" applyFont="1" applyFill="1" applyBorder="1" applyAlignment="1" applyProtection="1">
      <alignment horizontal="center" vertical="center"/>
      <protection locked="0"/>
    </xf>
    <xf numFmtId="165" fontId="34" fillId="0" borderId="0" xfId="1" applyNumberFormat="1" applyFont="1" applyFill="1" applyBorder="1" applyAlignment="1" applyProtection="1">
      <alignment horizontal="center" vertical="center"/>
      <protection locked="0"/>
    </xf>
    <xf numFmtId="165" fontId="22" fillId="0" borderId="0" xfId="1" applyNumberFormat="1"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3" fillId="0" borderId="0" xfId="11" applyFont="1" applyFill="1" applyBorder="1" applyAlignment="1" applyProtection="1">
      <alignment horizontal="left" vertical="center"/>
      <protection locked="0"/>
    </xf>
    <xf numFmtId="0" fontId="24" fillId="0" borderId="0" xfId="0" applyFont="1" applyAlignment="1" applyProtection="1">
      <alignment vertical="center"/>
      <protection locked="0"/>
    </xf>
    <xf numFmtId="0" fontId="21" fillId="0" borderId="0" xfId="0" applyFont="1" applyAlignment="1" applyProtection="1">
      <alignment horizontal="left" vertical="center"/>
      <protection locked="0"/>
    </xf>
    <xf numFmtId="1" fontId="21" fillId="0" borderId="0" xfId="1" applyNumberFormat="1" applyFont="1" applyFill="1" applyBorder="1" applyAlignment="1" applyProtection="1">
      <alignment horizontal="right" vertical="center"/>
      <protection locked="0"/>
    </xf>
    <xf numFmtId="165" fontId="21" fillId="0" borderId="0" xfId="1" applyNumberFormat="1" applyFont="1" applyFill="1" applyBorder="1" applyAlignment="1" applyProtection="1">
      <alignment horizontal="right" vertical="center"/>
      <protection locked="0"/>
    </xf>
    <xf numFmtId="165" fontId="26" fillId="0" borderId="1" xfId="1" applyNumberFormat="1" applyFont="1" applyFill="1" applyBorder="1" applyAlignment="1" applyProtection="1">
      <alignment vertical="center" wrapText="1"/>
      <protection locked="0"/>
    </xf>
    <xf numFmtId="170" fontId="9" fillId="0" borderId="0" xfId="1" applyNumberFormat="1" applyFont="1" applyFill="1" applyBorder="1" applyAlignment="1" applyProtection="1">
      <alignment horizontal="right" vertical="center" wrapText="1"/>
      <protection locked="0"/>
    </xf>
    <xf numFmtId="165" fontId="9" fillId="0" borderId="0" xfId="1" applyNumberFormat="1" applyFont="1" applyFill="1" applyBorder="1" applyAlignment="1" applyProtection="1">
      <alignment horizontal="right" vertical="center" wrapText="1"/>
      <protection locked="0"/>
    </xf>
    <xf numFmtId="174" fontId="9" fillId="3" borderId="0" xfId="0" applyNumberFormat="1" applyFont="1" applyFill="1" applyAlignment="1" applyProtection="1">
      <alignment horizontal="right"/>
      <protection locked="0"/>
    </xf>
    <xf numFmtId="174" fontId="9" fillId="0" borderId="0" xfId="0" applyNumberFormat="1" applyFont="1" applyAlignment="1" applyProtection="1">
      <alignment horizontal="right"/>
      <protection locked="0"/>
    </xf>
    <xf numFmtId="43" fontId="9" fillId="0" borderId="0" xfId="0" applyNumberFormat="1" applyFont="1" applyProtection="1">
      <protection locked="0"/>
    </xf>
    <xf numFmtId="170" fontId="9" fillId="0" borderId="0" xfId="1" applyNumberFormat="1" applyFont="1" applyFill="1" applyBorder="1" applyAlignment="1" applyProtection="1">
      <alignment horizontal="right" wrapText="1"/>
      <protection locked="0"/>
    </xf>
    <xf numFmtId="9" fontId="9" fillId="3" borderId="0" xfId="2" applyFont="1" applyFill="1" applyBorder="1" applyAlignment="1" applyProtection="1">
      <alignment horizontal="right" wrapText="1"/>
      <protection locked="0"/>
    </xf>
    <xf numFmtId="9" fontId="9" fillId="0" borderId="0" xfId="2" applyFont="1" applyFill="1" applyBorder="1" applyAlignment="1" applyProtection="1">
      <alignment horizontal="right" wrapText="1"/>
      <protection locked="0"/>
    </xf>
    <xf numFmtId="168" fontId="9" fillId="0" borderId="0" xfId="2" applyNumberFormat="1" applyFont="1" applyFill="1" applyBorder="1" applyAlignment="1" applyProtection="1">
      <alignment horizontal="right" wrapText="1"/>
      <protection locked="0"/>
    </xf>
    <xf numFmtId="165" fontId="9" fillId="3" borderId="0" xfId="1" applyNumberFormat="1" applyFont="1" applyFill="1" applyBorder="1" applyAlignment="1" applyProtection="1">
      <alignment horizontal="right" vertical="center" wrapText="1"/>
      <protection locked="0"/>
    </xf>
    <xf numFmtId="174" fontId="9" fillId="0" borderId="0" xfId="2" applyNumberFormat="1" applyFont="1" applyFill="1" applyBorder="1" applyAlignment="1" applyProtection="1">
      <alignment horizontal="right" wrapText="1"/>
      <protection locked="0"/>
    </xf>
    <xf numFmtId="0" fontId="9" fillId="0" borderId="0" xfId="0" applyFont="1" applyAlignment="1" applyProtection="1">
      <alignment horizontal="left" vertical="center" wrapText="1" indent="2"/>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indent="1"/>
      <protection locked="0"/>
    </xf>
    <xf numFmtId="184" fontId="9" fillId="0" borderId="0" xfId="0" applyNumberFormat="1" applyFont="1" applyAlignment="1" applyProtection="1">
      <alignment horizontal="right"/>
      <protection locked="0"/>
    </xf>
    <xf numFmtId="165" fontId="9" fillId="0" borderId="0" xfId="0" applyNumberFormat="1" applyFont="1" applyAlignment="1" applyProtection="1">
      <alignment horizontal="right"/>
      <protection locked="0"/>
    </xf>
    <xf numFmtId="165" fontId="26" fillId="0" borderId="0" xfId="1" applyNumberFormat="1" applyFont="1" applyFill="1" applyBorder="1" applyAlignment="1" applyProtection="1">
      <alignment horizontal="left" vertical="center" wrapText="1" indent="1"/>
      <protection locked="0"/>
    </xf>
    <xf numFmtId="0" fontId="25" fillId="0" borderId="0" xfId="0" applyFont="1" applyAlignment="1" applyProtection="1">
      <alignment horizontal="left"/>
      <protection locked="0"/>
    </xf>
    <xf numFmtId="166" fontId="25" fillId="3" borderId="0" xfId="1" applyNumberFormat="1" applyFont="1" applyFill="1" applyBorder="1" applyAlignment="1" applyProtection="1">
      <alignment horizontal="right" vertical="center"/>
      <protection locked="0"/>
    </xf>
    <xf numFmtId="0" fontId="9" fillId="0" borderId="0" xfId="0" applyFont="1" applyAlignment="1" applyProtection="1">
      <alignment horizontal="left"/>
      <protection locked="0"/>
    </xf>
    <xf numFmtId="166" fontId="25" fillId="0" borderId="0" xfId="1" applyNumberFormat="1" applyFont="1" applyFill="1" applyBorder="1" applyAlignment="1" applyProtection="1">
      <alignment horizontal="right" vertical="center"/>
      <protection locked="0"/>
    </xf>
    <xf numFmtId="165" fontId="26" fillId="0" borderId="0" xfId="1" applyNumberFormat="1" applyFont="1" applyFill="1" applyBorder="1" applyAlignment="1" applyProtection="1">
      <alignment horizontal="left" vertical="center" wrapText="1"/>
      <protection locked="0"/>
    </xf>
    <xf numFmtId="167" fontId="26" fillId="0" borderId="0" xfId="1" applyNumberFormat="1" applyFont="1" applyFill="1" applyBorder="1" applyAlignment="1" applyProtection="1">
      <alignment horizontal="right" vertical="center" wrapText="1"/>
      <protection locked="0"/>
    </xf>
    <xf numFmtId="0" fontId="27" fillId="0" borderId="0" xfId="0" applyFont="1" applyAlignment="1" applyProtection="1">
      <alignment horizontal="left" vertical="center" wrapText="1" indent="3"/>
      <protection locked="0"/>
    </xf>
    <xf numFmtId="166" fontId="9" fillId="0" borderId="0" xfId="0" applyNumberFormat="1" applyFont="1" applyAlignment="1" applyProtection="1">
      <alignment horizontal="left"/>
      <protection locked="0"/>
    </xf>
    <xf numFmtId="172" fontId="25" fillId="0" borderId="0" xfId="1" applyNumberFormat="1" applyFont="1" applyFill="1" applyAlignment="1" applyProtection="1">
      <alignment horizontal="right" vertical="center"/>
      <protection locked="0"/>
    </xf>
    <xf numFmtId="173" fontId="9" fillId="0" borderId="0" xfId="0" applyNumberFormat="1" applyFont="1" applyProtection="1">
      <protection locked="0"/>
    </xf>
    <xf numFmtId="0" fontId="28" fillId="0" borderId="0" xfId="0" applyFont="1" applyProtection="1">
      <protection locked="0"/>
    </xf>
    <xf numFmtId="0" fontId="28" fillId="0" borderId="0" xfId="0" applyFont="1" applyAlignment="1" applyProtection="1">
      <alignment horizontal="right"/>
      <protection locked="0"/>
    </xf>
    <xf numFmtId="1" fontId="22" fillId="0" borderId="0" xfId="1" applyNumberFormat="1" applyFont="1" applyFill="1" applyBorder="1" applyAlignment="1" applyProtection="1">
      <alignment horizontal="right" vertical="center"/>
      <protection locked="0"/>
    </xf>
    <xf numFmtId="169" fontId="9" fillId="0" borderId="0" xfId="1" applyNumberFormat="1" applyFont="1" applyFill="1" applyBorder="1" applyAlignment="1" applyProtection="1">
      <alignment horizontal="right" vertical="center"/>
      <protection locked="0"/>
    </xf>
    <xf numFmtId="169" fontId="9" fillId="3" borderId="0" xfId="1" applyNumberFormat="1" applyFont="1" applyFill="1" applyBorder="1" applyAlignment="1" applyProtection="1">
      <alignment horizontal="right" vertical="center"/>
      <protection locked="0"/>
    </xf>
    <xf numFmtId="168" fontId="9" fillId="0" borderId="0" xfId="2" applyNumberFormat="1" applyFont="1" applyFill="1" applyAlignment="1" applyProtection="1">
      <alignment horizontal="right"/>
      <protection locked="0"/>
    </xf>
    <xf numFmtId="168" fontId="9" fillId="3" borderId="0" xfId="2" applyNumberFormat="1" applyFont="1" applyFill="1" applyAlignment="1" applyProtection="1">
      <alignment horizontal="right"/>
      <protection locked="0"/>
    </xf>
    <xf numFmtId="1" fontId="9" fillId="0" borderId="0" xfId="0" applyNumberFormat="1" applyFont="1" applyProtection="1">
      <protection locked="0"/>
    </xf>
    <xf numFmtId="175" fontId="9" fillId="0" borderId="0" xfId="1" applyNumberFormat="1" applyFont="1" applyFill="1" applyProtection="1">
      <protection locked="0"/>
    </xf>
    <xf numFmtId="9" fontId="9" fillId="0" borderId="0" xfId="2" applyFont="1" applyFill="1" applyProtection="1">
      <protection locked="0"/>
    </xf>
    <xf numFmtId="168" fontId="9" fillId="0" borderId="0" xfId="2" applyNumberFormat="1" applyFont="1" applyFill="1" applyProtection="1">
      <protection locked="0"/>
    </xf>
    <xf numFmtId="0" fontId="9" fillId="0" borderId="0" xfId="0" applyFont="1" applyAlignment="1" applyProtection="1">
      <alignment vertical="center"/>
      <protection locked="0"/>
    </xf>
    <xf numFmtId="177" fontId="9" fillId="3" borderId="0" xfId="1" applyNumberFormat="1" applyFont="1" applyFill="1" applyBorder="1" applyAlignment="1" applyProtection="1">
      <alignment horizontal="right" vertical="center"/>
      <protection locked="0"/>
    </xf>
    <xf numFmtId="169" fontId="30" fillId="3" borderId="0" xfId="1" applyNumberFormat="1" applyFont="1" applyFill="1" applyBorder="1" applyAlignment="1" applyProtection="1">
      <alignment horizontal="right" vertical="center"/>
      <protection locked="0"/>
    </xf>
    <xf numFmtId="169" fontId="30" fillId="0" borderId="0" xfId="1" applyNumberFormat="1" applyFont="1" applyFill="1" applyBorder="1" applyAlignment="1" applyProtection="1">
      <alignment horizontal="right" vertical="center"/>
      <protection locked="0"/>
    </xf>
    <xf numFmtId="174" fontId="9" fillId="0" borderId="0" xfId="1" applyNumberFormat="1" applyFont="1" applyFill="1" applyBorder="1" applyAlignment="1" applyProtection="1">
      <alignment horizontal="right" vertical="center"/>
      <protection locked="0"/>
    </xf>
    <xf numFmtId="168" fontId="9" fillId="3" borderId="0" xfId="2" applyNumberFormat="1" applyFont="1" applyFill="1" applyBorder="1" applyAlignment="1" applyProtection="1">
      <alignment horizontal="right" vertical="center"/>
      <protection locked="0"/>
    </xf>
    <xf numFmtId="0" fontId="21" fillId="0" borderId="0" xfId="0" applyFont="1" applyProtection="1">
      <protection locked="0"/>
    </xf>
    <xf numFmtId="0" fontId="30" fillId="0" borderId="0" xfId="0" applyFont="1" applyProtection="1">
      <protection locked="0"/>
    </xf>
    <xf numFmtId="3" fontId="9" fillId="0" borderId="0" xfId="0" applyNumberFormat="1" applyFont="1" applyProtection="1">
      <protection locked="0"/>
    </xf>
    <xf numFmtId="167" fontId="25" fillId="3" borderId="0" xfId="1" applyNumberFormat="1" applyFont="1" applyFill="1" applyBorder="1" applyAlignment="1" applyProtection="1">
      <alignment horizontal="right" vertical="center" wrapText="1"/>
      <protection locked="0"/>
    </xf>
    <xf numFmtId="168" fontId="9" fillId="0" borderId="0" xfId="2" applyNumberFormat="1" applyFont="1" applyFill="1" applyBorder="1" applyAlignment="1" applyProtection="1">
      <alignment horizontal="left"/>
      <protection locked="0"/>
    </xf>
    <xf numFmtId="176" fontId="25" fillId="3" borderId="0" xfId="1" applyNumberFormat="1" applyFont="1" applyFill="1" applyBorder="1" applyAlignment="1" applyProtection="1">
      <alignment vertical="center" wrapText="1"/>
      <protection locked="0"/>
    </xf>
    <xf numFmtId="176" fontId="25" fillId="0" borderId="0" xfId="1" applyNumberFormat="1" applyFont="1" applyFill="1" applyBorder="1" applyAlignment="1" applyProtection="1">
      <alignment vertical="center"/>
      <protection locked="0"/>
    </xf>
    <xf numFmtId="176" fontId="25" fillId="3" borderId="0" xfId="1" applyNumberFormat="1" applyFont="1" applyFill="1" applyBorder="1" applyAlignment="1" applyProtection="1">
      <alignment vertical="center"/>
      <protection locked="0"/>
    </xf>
    <xf numFmtId="168" fontId="9" fillId="0" borderId="0" xfId="2" applyNumberFormat="1" applyFont="1" applyFill="1" applyBorder="1" applyAlignment="1" applyProtection="1">
      <alignment horizontal="left" vertical="center"/>
      <protection locked="0"/>
    </xf>
    <xf numFmtId="166" fontId="9" fillId="0" borderId="0" xfId="1"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protection locked="0"/>
    </xf>
    <xf numFmtId="166" fontId="9" fillId="0" borderId="0" xfId="1" applyNumberFormat="1" applyFont="1" applyFill="1" applyBorder="1" applyAlignment="1" applyProtection="1">
      <alignment horizontal="left" vertical="center"/>
      <protection locked="0"/>
    </xf>
    <xf numFmtId="168" fontId="26" fillId="0" borderId="1" xfId="2" applyNumberFormat="1" applyFont="1" applyFill="1" applyBorder="1" applyAlignment="1" applyProtection="1">
      <alignment horizontal="right"/>
      <protection locked="0"/>
    </xf>
    <xf numFmtId="172" fontId="25" fillId="3" borderId="0" xfId="1" applyNumberFormat="1" applyFont="1" applyFill="1" applyBorder="1" applyAlignment="1" applyProtection="1">
      <alignment horizontal="right"/>
      <protection locked="0"/>
    </xf>
    <xf numFmtId="172" fontId="9" fillId="0" borderId="0" xfId="1" applyNumberFormat="1" applyFont="1" applyFill="1" applyBorder="1" applyAlignment="1" applyProtection="1">
      <alignment horizontal="right"/>
      <protection locked="0"/>
    </xf>
    <xf numFmtId="172" fontId="9" fillId="3" borderId="0" xfId="1" applyNumberFormat="1" applyFont="1" applyFill="1" applyBorder="1" applyAlignment="1" applyProtection="1">
      <alignment horizontal="right"/>
      <protection locked="0"/>
    </xf>
    <xf numFmtId="0" fontId="9" fillId="3" borderId="0" xfId="0" applyFont="1" applyFill="1" applyProtection="1">
      <protection locked="0"/>
    </xf>
    <xf numFmtId="0" fontId="9" fillId="3" borderId="0" xfId="0" applyFont="1" applyFill="1" applyAlignment="1" applyProtection="1">
      <alignment horizontal="right"/>
      <protection locked="0"/>
    </xf>
    <xf numFmtId="172" fontId="25" fillId="0" borderId="0" xfId="1" applyNumberFormat="1" applyFont="1" applyFill="1" applyBorder="1" applyAlignment="1" applyProtection="1">
      <alignment horizontal="right"/>
      <protection locked="0"/>
    </xf>
    <xf numFmtId="174" fontId="21" fillId="0" borderId="3" xfId="2" applyNumberFormat="1" applyFont="1" applyFill="1" applyBorder="1" applyAlignment="1" applyProtection="1">
      <alignment horizontal="right"/>
      <protection locked="0"/>
    </xf>
    <xf numFmtId="174" fontId="21" fillId="3" borderId="3" xfId="2" applyNumberFormat="1" applyFont="1" applyFill="1" applyBorder="1" applyAlignment="1" applyProtection="1">
      <alignment horizontal="right"/>
      <protection locked="0"/>
    </xf>
    <xf numFmtId="168" fontId="26" fillId="0" borderId="0" xfId="2" applyNumberFormat="1" applyFont="1" applyFill="1" applyBorder="1" applyAlignment="1" applyProtection="1">
      <alignment horizontal="right"/>
      <protection locked="0"/>
    </xf>
    <xf numFmtId="172" fontId="26" fillId="0" borderId="0" xfId="1" applyNumberFormat="1" applyFont="1" applyFill="1" applyBorder="1" applyAlignment="1" applyProtection="1">
      <alignment horizontal="right"/>
      <protection locked="0"/>
    </xf>
    <xf numFmtId="172" fontId="21" fillId="0" borderId="0" xfId="1" applyNumberFormat="1" applyFont="1" applyFill="1" applyBorder="1" applyAlignment="1" applyProtection="1">
      <alignment horizontal="right"/>
      <protection locked="0"/>
    </xf>
    <xf numFmtId="168" fontId="9" fillId="0" borderId="0" xfId="0" applyNumberFormat="1" applyFont="1" applyProtection="1">
      <protection locked="0"/>
    </xf>
    <xf numFmtId="0" fontId="9" fillId="4" borderId="0" xfId="0" applyFont="1" applyFill="1" applyAlignment="1" applyProtection="1">
      <alignment horizontal="right"/>
      <protection locked="0"/>
    </xf>
    <xf numFmtId="172" fontId="25" fillId="4" borderId="0" xfId="1" applyNumberFormat="1" applyFont="1" applyFill="1" applyBorder="1" applyAlignment="1" applyProtection="1">
      <alignment horizontal="right"/>
      <protection locked="0"/>
    </xf>
    <xf numFmtId="172" fontId="25" fillId="0" borderId="0" xfId="1" applyNumberFormat="1" applyFont="1" applyFill="1" applyAlignment="1" applyProtection="1">
      <alignment horizontal="right"/>
      <protection locked="0"/>
    </xf>
    <xf numFmtId="172" fontId="25" fillId="4" borderId="0" xfId="1" applyNumberFormat="1" applyFont="1" applyFill="1" applyAlignment="1" applyProtection="1">
      <alignment horizontal="right"/>
      <protection locked="0"/>
    </xf>
    <xf numFmtId="172" fontId="9" fillId="0" borderId="0" xfId="0" applyNumberFormat="1" applyFont="1" applyProtection="1">
      <protection locked="0"/>
    </xf>
    <xf numFmtId="172" fontId="9" fillId="4" borderId="0" xfId="0" applyNumberFormat="1" applyFont="1" applyFill="1" applyProtection="1">
      <protection locked="0"/>
    </xf>
    <xf numFmtId="0" fontId="9" fillId="0" borderId="0" xfId="0" quotePrefix="1" applyFont="1" applyAlignment="1" applyProtection="1">
      <alignment horizontal="right"/>
      <protection locked="0"/>
    </xf>
    <xf numFmtId="172" fontId="9" fillId="3" borderId="0" xfId="1" applyNumberFormat="1" applyFont="1" applyFill="1" applyAlignment="1" applyProtection="1">
      <alignment horizontal="right"/>
      <protection locked="0"/>
    </xf>
    <xf numFmtId="172" fontId="9" fillId="0" borderId="0" xfId="1" applyNumberFormat="1" applyFont="1" applyFill="1" applyAlignment="1" applyProtection="1">
      <alignment horizontal="right"/>
      <protection locked="0"/>
    </xf>
    <xf numFmtId="172" fontId="9" fillId="3" borderId="0" xfId="0" applyNumberFormat="1" applyFont="1" applyFill="1" applyAlignment="1" applyProtection="1">
      <alignment horizontal="right"/>
      <protection locked="0"/>
    </xf>
    <xf numFmtId="172" fontId="9" fillId="0" borderId="0" xfId="0" applyNumberFormat="1" applyFont="1" applyAlignment="1" applyProtection="1">
      <alignment horizontal="right"/>
      <protection locked="0"/>
    </xf>
    <xf numFmtId="165" fontId="9" fillId="0" borderId="0" xfId="1" applyNumberFormat="1" applyFont="1" applyFill="1" applyAlignment="1" applyProtection="1">
      <alignment horizontal="right"/>
      <protection locked="0"/>
    </xf>
    <xf numFmtId="0" fontId="4" fillId="0" borderId="0" xfId="0" applyFont="1" applyProtection="1">
      <protection locked="0"/>
    </xf>
    <xf numFmtId="0" fontId="4" fillId="0" borderId="0" xfId="0" applyFont="1" applyAlignment="1" applyProtection="1">
      <alignment horizontal="right"/>
      <protection locked="0"/>
    </xf>
    <xf numFmtId="1" fontId="43" fillId="0" borderId="0" xfId="1" applyNumberFormat="1" applyFont="1" applyFill="1" applyBorder="1" applyAlignment="1" applyProtection="1">
      <alignment horizontal="right" vertical="center"/>
      <protection locked="0"/>
    </xf>
    <xf numFmtId="165" fontId="44" fillId="0" borderId="0" xfId="1" applyNumberFormat="1" applyFont="1" applyFill="1" applyBorder="1" applyAlignment="1" applyProtection="1">
      <alignment horizontal="right" vertical="center"/>
      <protection locked="0"/>
    </xf>
    <xf numFmtId="0" fontId="45" fillId="0" borderId="0" xfId="0" applyFont="1" applyAlignment="1" applyProtection="1">
      <alignment horizontal="left"/>
      <protection locked="0"/>
    </xf>
    <xf numFmtId="0" fontId="4" fillId="0" borderId="0" xfId="0" applyFont="1" applyAlignment="1" applyProtection="1">
      <alignment horizontal="left"/>
      <protection locked="0"/>
    </xf>
    <xf numFmtId="164" fontId="33" fillId="0" borderId="0" xfId="1" applyFont="1" applyFill="1" applyAlignment="1" applyProtection="1">
      <alignment horizontal="left" vertical="center" indent="1"/>
      <protection locked="0"/>
    </xf>
    <xf numFmtId="172" fontId="25" fillId="3" borderId="0" xfId="1" applyNumberFormat="1" applyFont="1" applyFill="1" applyBorder="1" applyAlignment="1" applyProtection="1">
      <alignment horizontal="right" wrapText="1"/>
      <protection locked="0"/>
    </xf>
    <xf numFmtId="172" fontId="25" fillId="0" borderId="0" xfId="1" applyNumberFormat="1" applyFont="1" applyFill="1" applyBorder="1" applyAlignment="1" applyProtection="1">
      <alignment horizontal="right" wrapText="1"/>
      <protection locked="0"/>
    </xf>
    <xf numFmtId="168" fontId="25" fillId="3" borderId="0" xfId="2" applyNumberFormat="1" applyFont="1" applyFill="1" applyBorder="1" applyAlignment="1" applyProtection="1">
      <alignment horizontal="right"/>
      <protection locked="0"/>
    </xf>
    <xf numFmtId="168" fontId="25" fillId="0" borderId="0" xfId="2" applyNumberFormat="1" applyFont="1" applyFill="1" applyBorder="1" applyAlignment="1" applyProtection="1">
      <alignment horizontal="right"/>
      <protection locked="0"/>
    </xf>
    <xf numFmtId="172" fontId="45" fillId="0" borderId="0" xfId="1" applyNumberFormat="1" applyFont="1" applyFill="1" applyBorder="1" applyAlignment="1" applyProtection="1">
      <alignment horizontal="right"/>
      <protection locked="0"/>
    </xf>
    <xf numFmtId="168" fontId="45" fillId="0" borderId="0" xfId="2" applyNumberFormat="1" applyFont="1" applyFill="1" applyBorder="1" applyAlignment="1" applyProtection="1">
      <alignment horizontal="right"/>
      <protection locked="0"/>
    </xf>
    <xf numFmtId="168" fontId="9" fillId="3" borderId="0" xfId="2" applyNumberFormat="1" applyFont="1" applyFill="1" applyBorder="1" applyAlignment="1" applyProtection="1">
      <alignment horizontal="right" vertical="center" wrapText="1"/>
      <protection locked="0"/>
    </xf>
    <xf numFmtId="168" fontId="9" fillId="0" borderId="0" xfId="2" applyNumberFormat="1" applyFont="1" applyFill="1" applyBorder="1" applyAlignment="1" applyProtection="1">
      <alignment horizontal="right" vertical="center" wrapText="1"/>
      <protection locked="0"/>
    </xf>
    <xf numFmtId="0" fontId="29" fillId="0" borderId="0" xfId="0" applyFont="1" applyProtection="1">
      <protection locked="0"/>
    </xf>
    <xf numFmtId="174" fontId="9" fillId="3" borderId="0" xfId="2" applyNumberFormat="1" applyFont="1" applyFill="1" applyBorder="1" applyAlignment="1" applyProtection="1">
      <alignment horizontal="right" vertical="center" wrapText="1"/>
      <protection locked="0"/>
    </xf>
    <xf numFmtId="174" fontId="9" fillId="0" borderId="0" xfId="2" applyNumberFormat="1" applyFont="1" applyFill="1" applyBorder="1" applyAlignment="1" applyProtection="1">
      <alignment horizontal="right" vertical="center" wrapText="1"/>
      <protection locked="0"/>
    </xf>
    <xf numFmtId="168" fontId="9" fillId="0" borderId="0" xfId="2" applyNumberFormat="1" applyFont="1" applyAlignment="1" applyProtection="1">
      <alignment horizontal="right"/>
      <protection locked="0"/>
    </xf>
    <xf numFmtId="0" fontId="25" fillId="0" borderId="0" xfId="0" applyFont="1" applyProtection="1">
      <protection locked="0"/>
    </xf>
    <xf numFmtId="172" fontId="25" fillId="0" borderId="0" xfId="1" applyNumberFormat="1" applyFont="1" applyFill="1" applyBorder="1" applyProtection="1">
      <protection locked="0"/>
    </xf>
    <xf numFmtId="0" fontId="25" fillId="0" borderId="0" xfId="0" applyFont="1" applyAlignment="1" applyProtection="1">
      <alignment horizontal="left" vertical="center" indent="3"/>
      <protection locked="0"/>
    </xf>
    <xf numFmtId="172" fontId="25" fillId="3" borderId="0" xfId="1" applyNumberFormat="1" applyFont="1" applyFill="1" applyBorder="1" applyAlignment="1" applyProtection="1">
      <alignment horizontal="right" vertical="center"/>
      <protection locked="0"/>
    </xf>
    <xf numFmtId="172" fontId="25" fillId="0" borderId="0" xfId="1" applyNumberFormat="1" applyFont="1" applyFill="1" applyBorder="1" applyAlignment="1" applyProtection="1">
      <alignment horizontal="right" vertical="center"/>
      <protection locked="0"/>
    </xf>
    <xf numFmtId="172" fontId="9" fillId="3" borderId="0" xfId="0" applyNumberFormat="1" applyFont="1" applyFill="1" applyProtection="1">
      <protection locked="0"/>
    </xf>
    <xf numFmtId="0" fontId="29" fillId="0" borderId="0" xfId="0" applyFont="1" applyAlignment="1" applyProtection="1">
      <alignment horizontal="left"/>
      <protection locked="0"/>
    </xf>
    <xf numFmtId="9" fontId="9" fillId="0" borderId="0" xfId="0" applyNumberFormat="1" applyFont="1" applyProtection="1">
      <protection locked="0"/>
    </xf>
    <xf numFmtId="164" fontId="9" fillId="0" borderId="0" xfId="0" applyNumberFormat="1" applyFont="1" applyProtection="1">
      <protection locked="0"/>
    </xf>
    <xf numFmtId="172" fontId="25" fillId="0" borderId="0" xfId="1" applyNumberFormat="1" applyFont="1" applyFill="1" applyBorder="1" applyAlignment="1" applyProtection="1">
      <alignment horizontal="center" vertical="center" wrapText="1"/>
      <protection locked="0"/>
    </xf>
    <xf numFmtId="172" fontId="25" fillId="3" borderId="0" xfId="1" applyNumberFormat="1" applyFont="1" applyFill="1" applyBorder="1" applyAlignment="1" applyProtection="1">
      <alignment horizontal="center" vertical="center" wrapText="1"/>
      <protection locked="0"/>
    </xf>
    <xf numFmtId="168" fontId="25" fillId="0" borderId="0" xfId="2" applyNumberFormat="1" applyFont="1" applyFill="1" applyBorder="1" applyAlignment="1" applyProtection="1">
      <alignment horizontal="right" vertical="center"/>
      <protection locked="0"/>
    </xf>
    <xf numFmtId="165" fontId="26" fillId="3" borderId="0" xfId="1" applyNumberFormat="1" applyFont="1" applyFill="1" applyBorder="1" applyAlignment="1" applyProtection="1">
      <alignment horizontal="left" vertical="center" wrapText="1"/>
      <protection locked="0"/>
    </xf>
    <xf numFmtId="0" fontId="26" fillId="0" borderId="0" xfId="0" applyFont="1" applyProtection="1">
      <protection locked="0"/>
    </xf>
    <xf numFmtId="168" fontId="25" fillId="3" borderId="0" xfId="2" applyNumberFormat="1" applyFont="1" applyFill="1" applyBorder="1" applyAlignment="1" applyProtection="1">
      <alignment horizontal="right" vertical="center"/>
      <protection locked="0"/>
    </xf>
    <xf numFmtId="172" fontId="9" fillId="0" borderId="0" xfId="1" applyNumberFormat="1" applyFont="1" applyFill="1" applyBorder="1" applyProtection="1">
      <protection locked="0"/>
    </xf>
    <xf numFmtId="172" fontId="26" fillId="0" borderId="0" xfId="1" applyNumberFormat="1" applyFont="1" applyFill="1" applyBorder="1" applyAlignment="1" applyProtection="1">
      <alignment horizontal="right" vertical="center"/>
      <protection locked="0"/>
    </xf>
    <xf numFmtId="9" fontId="25" fillId="0" borderId="0" xfId="2" applyFont="1" applyFill="1" applyBorder="1" applyAlignment="1" applyProtection="1">
      <alignment horizontal="right" vertical="center"/>
      <protection locked="0"/>
    </xf>
    <xf numFmtId="172" fontId="25" fillId="3" borderId="0" xfId="0" applyNumberFormat="1" applyFont="1" applyFill="1" applyAlignment="1" applyProtection="1">
      <alignment horizontal="right" vertical="center" wrapText="1"/>
      <protection locked="0"/>
    </xf>
    <xf numFmtId="168" fontId="9" fillId="0" borderId="0" xfId="2" applyNumberFormat="1" applyFont="1" applyProtection="1">
      <protection locked="0"/>
    </xf>
    <xf numFmtId="172" fontId="9" fillId="3" borderId="0" xfId="1" applyNumberFormat="1" applyFont="1" applyFill="1" applyBorder="1" applyProtection="1">
      <protection locked="0"/>
    </xf>
    <xf numFmtId="172" fontId="9" fillId="0" borderId="0" xfId="1" applyNumberFormat="1" applyFont="1" applyFill="1" applyBorder="1" applyAlignment="1" applyProtection="1">
      <alignment horizontal="center"/>
      <protection locked="0"/>
    </xf>
    <xf numFmtId="172" fontId="9" fillId="3" borderId="0" xfId="1" applyNumberFormat="1" applyFont="1" applyFill="1" applyBorder="1" applyAlignment="1" applyProtection="1">
      <alignment horizontal="center"/>
      <protection locked="0"/>
    </xf>
    <xf numFmtId="0" fontId="21" fillId="3" borderId="0" xfId="0" applyFont="1" applyFill="1" applyProtection="1">
      <protection locked="0"/>
    </xf>
    <xf numFmtId="9" fontId="9" fillId="0" borderId="0" xfId="2" applyFont="1" applyProtection="1">
      <protection locked="0"/>
    </xf>
    <xf numFmtId="168" fontId="9" fillId="3" borderId="0" xfId="2" applyNumberFormat="1" applyFont="1" applyFill="1" applyProtection="1">
      <protection locked="0"/>
    </xf>
    <xf numFmtId="172" fontId="25" fillId="3" borderId="0" xfId="1" applyNumberFormat="1" applyFont="1" applyFill="1" applyAlignment="1" applyProtection="1">
      <alignment horizontal="right"/>
      <protection locked="0"/>
    </xf>
    <xf numFmtId="0" fontId="25" fillId="0" borderId="0" xfId="0" applyFont="1" applyAlignment="1" applyProtection="1">
      <alignment vertical="center"/>
      <protection locked="0"/>
    </xf>
    <xf numFmtId="172" fontId="26" fillId="3" borderId="0" xfId="1" applyNumberFormat="1" applyFont="1" applyFill="1" applyBorder="1" applyAlignment="1" applyProtection="1">
      <alignment horizontal="right" vertical="center"/>
      <protection locked="0"/>
    </xf>
    <xf numFmtId="172" fontId="25" fillId="3" borderId="0" xfId="1" applyNumberFormat="1" applyFont="1" applyFill="1" applyAlignment="1" applyProtection="1">
      <alignment horizontal="right" vertical="center"/>
      <protection locked="0"/>
    </xf>
    <xf numFmtId="171" fontId="9" fillId="0" borderId="0" xfId="0" applyNumberFormat="1" applyFont="1" applyProtection="1">
      <protection locked="0"/>
    </xf>
    <xf numFmtId="0" fontId="21" fillId="0" borderId="0" xfId="0" applyFont="1" applyAlignment="1" applyProtection="1">
      <alignment vertical="center"/>
      <protection locked="0"/>
    </xf>
    <xf numFmtId="0" fontId="21" fillId="0" borderId="0" xfId="0" applyFont="1" applyAlignment="1" applyProtection="1">
      <alignment horizontal="right" vertical="center"/>
      <protection locked="0"/>
    </xf>
    <xf numFmtId="0" fontId="26" fillId="0" borderId="0" xfId="0" applyFont="1" applyAlignment="1" applyProtection="1">
      <alignment horizontal="right" vertical="center"/>
      <protection locked="0"/>
    </xf>
    <xf numFmtId="172" fontId="26" fillId="0" borderId="0" xfId="0" applyNumberFormat="1" applyFont="1" applyAlignment="1" applyProtection="1">
      <alignment horizontal="right" vertical="center"/>
      <protection locked="0"/>
    </xf>
    <xf numFmtId="172" fontId="25" fillId="3" borderId="0" xfId="1" applyNumberFormat="1" applyFont="1" applyFill="1" applyBorder="1" applyAlignment="1" applyProtection="1">
      <alignment vertical="center"/>
      <protection locked="0"/>
    </xf>
    <xf numFmtId="172" fontId="25" fillId="0" borderId="0" xfId="1" applyNumberFormat="1" applyFont="1" applyFill="1" applyBorder="1" applyAlignment="1" applyProtection="1">
      <alignment vertical="center"/>
      <protection locked="0"/>
    </xf>
    <xf numFmtId="0" fontId="25" fillId="0" borderId="0" xfId="0" applyFont="1" applyAlignment="1" applyProtection="1">
      <alignment horizontal="left" vertical="center"/>
      <protection locked="0"/>
    </xf>
    <xf numFmtId="164" fontId="9" fillId="0" borderId="0" xfId="2" applyNumberFormat="1" applyFont="1" applyFill="1" applyBorder="1" applyAlignment="1" applyProtection="1">
      <alignment vertical="center"/>
      <protection locked="0"/>
    </xf>
    <xf numFmtId="172" fontId="21" fillId="0" borderId="0" xfId="1" applyNumberFormat="1" applyFont="1" applyFill="1" applyBorder="1" applyAlignment="1" applyProtection="1">
      <alignment vertical="center"/>
      <protection locked="0"/>
    </xf>
    <xf numFmtId="172" fontId="21" fillId="0" borderId="0" xfId="1" applyNumberFormat="1" applyFont="1" applyFill="1" applyBorder="1" applyAlignment="1" applyProtection="1">
      <alignment horizontal="right" vertical="center"/>
      <protection locked="0"/>
    </xf>
    <xf numFmtId="166" fontId="21" fillId="0" borderId="0" xfId="1" applyNumberFormat="1" applyFont="1" applyFill="1" applyBorder="1" applyAlignment="1" applyProtection="1">
      <alignment horizontal="right" vertical="center"/>
      <protection locked="0"/>
    </xf>
    <xf numFmtId="172"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175" fontId="25" fillId="3" borderId="0" xfId="1" applyNumberFormat="1" applyFont="1" applyFill="1" applyBorder="1" applyAlignment="1" applyProtection="1">
      <alignment vertical="center"/>
      <protection locked="0"/>
    </xf>
    <xf numFmtId="183" fontId="25" fillId="3" borderId="0" xfId="2" applyNumberFormat="1" applyFont="1" applyFill="1" applyBorder="1" applyAlignment="1" applyProtection="1">
      <alignment vertical="center"/>
      <protection locked="0"/>
    </xf>
    <xf numFmtId="175" fontId="25" fillId="0" borderId="0" xfId="1" applyNumberFormat="1" applyFont="1" applyFill="1" applyBorder="1" applyAlignment="1" applyProtection="1">
      <alignment vertical="center"/>
      <protection locked="0"/>
    </xf>
    <xf numFmtId="183" fontId="25" fillId="0" borderId="0" xfId="2" applyNumberFormat="1" applyFont="1" applyFill="1" applyBorder="1" applyAlignment="1" applyProtection="1">
      <alignment vertical="center"/>
      <protection locked="0"/>
    </xf>
    <xf numFmtId="180" fontId="25" fillId="0" borderId="0" xfId="2" applyNumberFormat="1" applyFont="1" applyFill="1" applyBorder="1" applyAlignment="1" applyProtection="1">
      <alignment vertical="center"/>
      <protection locked="0"/>
    </xf>
    <xf numFmtId="183" fontId="25" fillId="3" borderId="0" xfId="2" applyNumberFormat="1" applyFont="1" applyFill="1" applyBorder="1" applyAlignment="1" applyProtection="1">
      <alignment horizontal="right" vertical="center"/>
      <protection locked="0"/>
    </xf>
    <xf numFmtId="172" fontId="9" fillId="0" borderId="0" xfId="1" applyNumberFormat="1" applyFont="1" applyFill="1" applyBorder="1" applyAlignment="1" applyProtection="1">
      <alignment horizontal="right" vertical="center"/>
      <protection locked="0"/>
    </xf>
    <xf numFmtId="183" fontId="9" fillId="0" borderId="0" xfId="2" applyNumberFormat="1" applyFont="1" applyFill="1" applyBorder="1" applyAlignment="1" applyProtection="1">
      <alignment horizontal="right" vertical="center"/>
      <protection locked="0"/>
    </xf>
    <xf numFmtId="181" fontId="25" fillId="0" borderId="0" xfId="2" applyNumberFormat="1" applyFont="1" applyFill="1" applyBorder="1" applyAlignment="1" applyProtection="1">
      <alignment vertical="center"/>
      <protection locked="0"/>
    </xf>
    <xf numFmtId="181" fontId="25" fillId="0" borderId="0" xfId="2" applyNumberFormat="1" applyFont="1" applyFill="1" applyBorder="1" applyAlignment="1" applyProtection="1">
      <alignment horizontal="right" vertical="center"/>
      <protection locked="0"/>
    </xf>
    <xf numFmtId="183" fontId="25" fillId="0" borderId="0" xfId="2" applyNumberFormat="1" applyFont="1" applyFill="1" applyBorder="1" applyAlignment="1" applyProtection="1">
      <alignment horizontal="right" vertical="center"/>
      <protection locked="0"/>
    </xf>
    <xf numFmtId="168" fontId="25" fillId="3" borderId="0" xfId="2" applyNumberFormat="1" applyFont="1" applyFill="1" applyBorder="1" applyAlignment="1" applyProtection="1">
      <alignment vertical="center"/>
      <protection locked="0"/>
    </xf>
    <xf numFmtId="182" fontId="25" fillId="3" borderId="0" xfId="2" applyNumberFormat="1" applyFont="1" applyFill="1" applyBorder="1" applyAlignment="1" applyProtection="1">
      <alignment vertical="center"/>
      <protection locked="0"/>
    </xf>
    <xf numFmtId="182" fontId="25" fillId="3" borderId="0" xfId="2" applyNumberFormat="1" applyFont="1" applyFill="1" applyBorder="1" applyAlignment="1" applyProtection="1">
      <alignment horizontal="right" vertical="center"/>
      <protection locked="0"/>
    </xf>
    <xf numFmtId="180" fontId="25" fillId="0" borderId="0" xfId="2" applyNumberFormat="1" applyFont="1" applyFill="1" applyBorder="1" applyAlignment="1" applyProtection="1">
      <alignment horizontal="right" vertical="center"/>
      <protection locked="0"/>
    </xf>
    <xf numFmtId="175" fontId="9" fillId="0" borderId="0" xfId="1" applyNumberFormat="1" applyFont="1" applyFill="1" applyBorder="1" applyAlignment="1" applyProtection="1">
      <alignment horizontal="right" vertical="center"/>
      <protection locked="0"/>
    </xf>
    <xf numFmtId="180" fontId="25" fillId="3" borderId="0" xfId="2" applyNumberFormat="1" applyFont="1" applyFill="1" applyBorder="1" applyAlignment="1" applyProtection="1">
      <alignment horizontal="right" vertical="center"/>
      <protection locked="0"/>
    </xf>
    <xf numFmtId="168" fontId="25" fillId="0" borderId="0" xfId="2" applyNumberFormat="1" applyFont="1" applyFill="1" applyBorder="1" applyAlignment="1" applyProtection="1">
      <alignment vertical="center"/>
      <protection locked="0"/>
    </xf>
    <xf numFmtId="182" fontId="25" fillId="0" borderId="0" xfId="2" applyNumberFormat="1" applyFont="1" applyFill="1" applyBorder="1" applyAlignment="1" applyProtection="1">
      <alignment vertical="center"/>
      <protection locked="0"/>
    </xf>
    <xf numFmtId="182" fontId="25" fillId="0" borderId="0" xfId="2" applyNumberFormat="1" applyFont="1" applyFill="1" applyBorder="1" applyAlignment="1" applyProtection="1">
      <alignment horizontal="right" vertical="center"/>
      <protection locked="0"/>
    </xf>
    <xf numFmtId="168" fontId="9" fillId="0" borderId="0" xfId="2" applyNumberFormat="1" applyFont="1" applyFill="1" applyBorder="1" applyAlignment="1" applyProtection="1">
      <alignment horizontal="right" vertical="center"/>
      <protection locked="0"/>
    </xf>
    <xf numFmtId="172" fontId="26" fillId="3" borderId="0" xfId="1" applyNumberFormat="1" applyFont="1" applyFill="1" applyBorder="1" applyAlignment="1" applyProtection="1">
      <alignment horizontal="right"/>
      <protection locked="0"/>
    </xf>
    <xf numFmtId="0" fontId="26" fillId="0" borderId="0" xfId="0" applyFont="1" applyAlignment="1" applyProtection="1">
      <alignment horizontal="left" vertical="center"/>
      <protection locked="0"/>
    </xf>
    <xf numFmtId="168" fontId="26" fillId="4" borderId="0" xfId="2" applyNumberFormat="1" applyFont="1" applyFill="1" applyBorder="1" applyAlignment="1" applyProtection="1">
      <alignment horizontal="right"/>
      <protection locked="0"/>
    </xf>
    <xf numFmtId="165" fontId="26" fillId="0" borderId="0" xfId="1" applyNumberFormat="1" applyFont="1" applyFill="1" applyBorder="1" applyAlignment="1" applyProtection="1">
      <alignment vertical="center" wrapText="1"/>
      <protection locked="0"/>
    </xf>
    <xf numFmtId="167" fontId="26" fillId="3" borderId="0" xfId="1" applyNumberFormat="1" applyFont="1" applyFill="1" applyBorder="1" applyAlignment="1" applyProtection="1">
      <alignment horizontal="right" vertical="center" wrapText="1"/>
      <protection locked="0"/>
    </xf>
    <xf numFmtId="0" fontId="48" fillId="0" borderId="0" xfId="0" applyFont="1" applyAlignment="1" applyProtection="1">
      <alignment horizontal="left" vertical="center"/>
      <protection locked="0" hidden="1"/>
    </xf>
    <xf numFmtId="165" fontId="48" fillId="0" borderId="5" xfId="1" applyNumberFormat="1" applyFont="1" applyFill="1" applyBorder="1" applyAlignment="1" applyProtection="1">
      <alignment horizontal="center" vertical="center"/>
      <protection locked="0" hidden="1"/>
    </xf>
    <xf numFmtId="165" fontId="48" fillId="0" borderId="8" xfId="1" applyNumberFormat="1" applyFont="1" applyFill="1" applyBorder="1" applyAlignment="1" applyProtection="1">
      <alignment horizontal="center" vertical="center"/>
      <protection locked="0" hidden="1"/>
    </xf>
    <xf numFmtId="0" fontId="26" fillId="0" borderId="0" xfId="0" applyFont="1" applyAlignment="1" applyProtection="1">
      <alignment horizontal="left" vertical="center"/>
      <protection locked="0" hidden="1"/>
    </xf>
    <xf numFmtId="0" fontId="25" fillId="3" borderId="9" xfId="0" applyFont="1" applyFill="1" applyBorder="1" applyAlignment="1" applyProtection="1">
      <alignment horizontal="left" vertical="center" indent="1"/>
      <protection locked="0" hidden="1"/>
    </xf>
    <xf numFmtId="175" fontId="25" fillId="3" borderId="9" xfId="1" applyNumberFormat="1" applyFont="1" applyFill="1" applyBorder="1" applyAlignment="1" applyProtection="1">
      <alignment vertical="center"/>
      <protection locked="0"/>
    </xf>
    <xf numFmtId="183" fontId="25" fillId="3" borderId="9" xfId="2" applyNumberFormat="1" applyFont="1" applyFill="1" applyBorder="1" applyAlignment="1" applyProtection="1">
      <alignment vertical="center"/>
      <protection locked="0"/>
    </xf>
    <xf numFmtId="0" fontId="26" fillId="3" borderId="0" xfId="0" applyFont="1" applyFill="1" applyAlignment="1" applyProtection="1">
      <alignment horizontal="left" vertical="center"/>
      <protection locked="0" hidden="1"/>
    </xf>
    <xf numFmtId="0" fontId="9" fillId="3" borderId="0" xfId="0" applyFont="1" applyFill="1" applyAlignment="1" applyProtection="1">
      <alignment horizontal="right" vertical="center"/>
      <protection locked="0"/>
    </xf>
    <xf numFmtId="180" fontId="9" fillId="3" borderId="0" xfId="2" applyNumberFormat="1" applyFont="1" applyFill="1" applyBorder="1" applyAlignment="1" applyProtection="1">
      <alignment horizontal="right" vertical="center"/>
      <protection locked="0"/>
    </xf>
    <xf numFmtId="181" fontId="9" fillId="3" borderId="0" xfId="2" applyNumberFormat="1" applyFont="1" applyFill="1" applyBorder="1" applyAlignment="1" applyProtection="1">
      <alignment horizontal="right" vertical="center"/>
      <protection locked="0"/>
    </xf>
    <xf numFmtId="180" fontId="9" fillId="0" borderId="0" xfId="2" applyNumberFormat="1" applyFont="1" applyBorder="1" applyAlignment="1" applyProtection="1">
      <alignment horizontal="right" vertical="center"/>
      <protection locked="0"/>
    </xf>
    <xf numFmtId="0" fontId="25" fillId="0" borderId="9" xfId="0" applyFont="1" applyBorder="1" applyAlignment="1" applyProtection="1">
      <alignment horizontal="left" vertical="center" indent="1"/>
      <protection locked="0" hidden="1"/>
    </xf>
    <xf numFmtId="172" fontId="25" fillId="0" borderId="9" xfId="1" applyNumberFormat="1" applyFont="1" applyFill="1" applyBorder="1" applyAlignment="1" applyProtection="1">
      <alignment vertical="center"/>
      <protection locked="0"/>
    </xf>
    <xf numFmtId="183" fontId="25" fillId="0" borderId="9" xfId="2" applyNumberFormat="1" applyFont="1" applyFill="1" applyBorder="1" applyAlignment="1" applyProtection="1">
      <alignment vertical="center"/>
      <protection locked="0"/>
    </xf>
    <xf numFmtId="0" fontId="9" fillId="0" borderId="9" xfId="0" applyFont="1" applyBorder="1" applyAlignment="1" applyProtection="1">
      <alignment horizontal="left" vertical="center" indent="1"/>
      <protection locked="0" hidden="1"/>
    </xf>
    <xf numFmtId="183" fontId="25" fillId="0" borderId="9" xfId="2" applyNumberFormat="1" applyFont="1" applyFill="1" applyBorder="1" applyAlignment="1" applyProtection="1">
      <alignment horizontal="right" vertical="center"/>
      <protection locked="0"/>
    </xf>
    <xf numFmtId="165" fontId="25" fillId="3" borderId="9" xfId="1" applyNumberFormat="1" applyFont="1" applyFill="1" applyBorder="1" applyAlignment="1" applyProtection="1">
      <alignment horizontal="left" vertical="center" wrapText="1" indent="1"/>
      <protection locked="0" hidden="1"/>
    </xf>
    <xf numFmtId="168" fontId="25" fillId="3" borderId="9" xfId="2" applyNumberFormat="1" applyFont="1" applyFill="1" applyBorder="1" applyAlignment="1" applyProtection="1">
      <alignment vertical="center"/>
      <protection locked="0"/>
    </xf>
    <xf numFmtId="182" fontId="25" fillId="3" borderId="9" xfId="2" applyNumberFormat="1" applyFont="1" applyFill="1" applyBorder="1" applyAlignment="1" applyProtection="1">
      <alignment vertical="center"/>
      <protection locked="0"/>
    </xf>
    <xf numFmtId="182" fontId="25" fillId="3" borderId="9" xfId="2" applyNumberFormat="1" applyFont="1" applyFill="1" applyBorder="1" applyAlignment="1" applyProtection="1">
      <alignment horizontal="right" vertical="center"/>
      <protection locked="0"/>
    </xf>
    <xf numFmtId="168" fontId="25" fillId="0" borderId="9" xfId="2" applyNumberFormat="1" applyFont="1" applyFill="1" applyBorder="1" applyAlignment="1" applyProtection="1">
      <alignment vertical="center"/>
      <protection locked="0"/>
    </xf>
    <xf numFmtId="182" fontId="25" fillId="0" borderId="9" xfId="2" applyNumberFormat="1" applyFont="1" applyFill="1" applyBorder="1" applyAlignment="1" applyProtection="1">
      <alignment vertical="center"/>
      <protection locked="0"/>
    </xf>
    <xf numFmtId="182" fontId="25" fillId="0" borderId="9" xfId="2" applyNumberFormat="1" applyFont="1" applyFill="1" applyBorder="1" applyAlignment="1" applyProtection="1">
      <alignment horizontal="right" vertical="center"/>
      <protection locked="0"/>
    </xf>
    <xf numFmtId="165" fontId="21" fillId="3" borderId="9" xfId="1" applyNumberFormat="1" applyFont="1" applyFill="1" applyBorder="1" applyAlignment="1" applyProtection="1">
      <alignment horizontal="left" vertical="center" wrapText="1"/>
      <protection locked="0" hidden="1"/>
    </xf>
    <xf numFmtId="172" fontId="21" fillId="3" borderId="9" xfId="1" applyNumberFormat="1" applyFont="1" applyFill="1" applyBorder="1" applyAlignment="1" applyProtection="1">
      <alignment horizontal="right" vertical="center"/>
      <protection locked="0"/>
    </xf>
    <xf numFmtId="0" fontId="21" fillId="3" borderId="9" xfId="0" applyFont="1" applyFill="1" applyBorder="1" applyAlignment="1" applyProtection="1">
      <alignment horizontal="left" vertical="center"/>
      <protection locked="0" hidden="1"/>
    </xf>
    <xf numFmtId="172" fontId="21" fillId="3" borderId="9" xfId="1" applyNumberFormat="1" applyFont="1" applyFill="1" applyBorder="1" applyAlignment="1" applyProtection="1">
      <alignment vertical="center"/>
      <protection locked="0"/>
    </xf>
    <xf numFmtId="49" fontId="49" fillId="0" borderId="5" xfId="1" applyNumberFormat="1" applyFont="1" applyFill="1" applyBorder="1" applyAlignment="1" applyProtection="1">
      <alignment horizontal="center" vertical="center"/>
      <protection locked="0" hidden="1"/>
    </xf>
    <xf numFmtId="49" fontId="49" fillId="0" borderId="8" xfId="1" applyNumberFormat="1" applyFont="1" applyFill="1" applyBorder="1" applyAlignment="1" applyProtection="1">
      <alignment horizontal="center" vertical="center"/>
      <protection locked="0" hidden="1"/>
    </xf>
    <xf numFmtId="0" fontId="26" fillId="3" borderId="9" xfId="0" applyFont="1" applyFill="1" applyBorder="1" applyAlignment="1" applyProtection="1">
      <alignment horizontal="left" vertical="center"/>
      <protection locked="0" hidden="1"/>
    </xf>
    <xf numFmtId="172" fontId="26" fillId="3" borderId="9" xfId="1" applyNumberFormat="1" applyFont="1" applyFill="1" applyBorder="1" applyAlignment="1" applyProtection="1">
      <alignment horizontal="right" vertical="center"/>
      <protection locked="0"/>
    </xf>
    <xf numFmtId="0" fontId="26" fillId="0" borderId="9" xfId="0" applyFont="1" applyBorder="1" applyAlignment="1" applyProtection="1">
      <alignment vertical="center"/>
      <protection locked="0" hidden="1"/>
    </xf>
    <xf numFmtId="172" fontId="26" fillId="0" borderId="9" xfId="1" applyNumberFormat="1" applyFont="1" applyFill="1" applyBorder="1" applyAlignment="1" applyProtection="1">
      <alignment horizontal="right" vertical="center"/>
      <protection locked="0"/>
    </xf>
    <xf numFmtId="0" fontId="26" fillId="3" borderId="9" xfId="0" applyFont="1" applyFill="1" applyBorder="1" applyAlignment="1" applyProtection="1">
      <alignment vertical="center"/>
      <protection locked="0" hidden="1"/>
    </xf>
    <xf numFmtId="165" fontId="26" fillId="3" borderId="9" xfId="1" applyNumberFormat="1" applyFont="1" applyFill="1" applyBorder="1" applyAlignment="1" applyProtection="1">
      <alignment horizontal="left" vertical="center" wrapText="1"/>
      <protection locked="0" hidden="1"/>
    </xf>
    <xf numFmtId="165" fontId="26" fillId="0" borderId="9" xfId="1" applyNumberFormat="1" applyFont="1" applyFill="1" applyBorder="1" applyAlignment="1" applyProtection="1">
      <alignment horizontal="left" vertical="center" wrapText="1"/>
      <protection locked="0" hidden="1"/>
    </xf>
    <xf numFmtId="0" fontId="25" fillId="3" borderId="9" xfId="0" applyFont="1" applyFill="1" applyBorder="1" applyAlignment="1" applyProtection="1">
      <alignment horizontal="left" indent="1"/>
      <protection locked="0" hidden="1"/>
    </xf>
    <xf numFmtId="172" fontId="25" fillId="3" borderId="9" xfId="1" applyNumberFormat="1" applyFont="1" applyFill="1" applyBorder="1" applyAlignment="1" applyProtection="1">
      <alignment horizontal="right"/>
      <protection locked="0"/>
    </xf>
    <xf numFmtId="165" fontId="26" fillId="0" borderId="9" xfId="1" applyNumberFormat="1" applyFont="1" applyFill="1" applyBorder="1" applyAlignment="1" applyProtection="1">
      <alignment horizontal="left" vertical="center" wrapText="1"/>
      <protection locked="0"/>
    </xf>
    <xf numFmtId="0" fontId="25" fillId="0" borderId="9" xfId="0" applyFont="1" applyBorder="1" applyAlignment="1" applyProtection="1">
      <alignment horizontal="left" indent="1"/>
      <protection locked="0" hidden="1"/>
    </xf>
    <xf numFmtId="172" fontId="25" fillId="0" borderId="9" xfId="1" applyNumberFormat="1" applyFont="1" applyFill="1" applyBorder="1" applyAlignment="1" applyProtection="1">
      <alignment horizontal="right"/>
      <protection locked="0"/>
    </xf>
    <xf numFmtId="172" fontId="25" fillId="3" borderId="9" xfId="1" applyNumberFormat="1" applyFont="1" applyFill="1" applyBorder="1" applyAlignment="1" applyProtection="1">
      <alignment horizontal="right" vertical="center"/>
      <protection locked="0"/>
    </xf>
    <xf numFmtId="0" fontId="21" fillId="3" borderId="9" xfId="0" applyFont="1" applyFill="1" applyBorder="1" applyProtection="1">
      <protection locked="0" hidden="1"/>
    </xf>
    <xf numFmtId="172" fontId="21" fillId="3" borderId="9" xfId="0" applyNumberFormat="1" applyFont="1" applyFill="1" applyBorder="1" applyProtection="1">
      <protection locked="0"/>
    </xf>
    <xf numFmtId="168" fontId="26" fillId="3" borderId="9" xfId="2" applyNumberFormat="1" applyFont="1" applyFill="1" applyBorder="1" applyAlignment="1" applyProtection="1">
      <alignment horizontal="right" vertical="center" wrapText="1"/>
      <protection locked="0"/>
    </xf>
    <xf numFmtId="168" fontId="26" fillId="0" borderId="9" xfId="2" applyNumberFormat="1" applyFont="1" applyFill="1" applyBorder="1" applyAlignment="1" applyProtection="1">
      <alignment horizontal="right" vertical="center" wrapText="1"/>
      <protection locked="0"/>
    </xf>
    <xf numFmtId="0" fontId="21" fillId="3" borderId="9" xfId="0" applyFont="1" applyFill="1" applyBorder="1" applyAlignment="1" applyProtection="1">
      <alignment horizontal="left"/>
      <protection locked="0" hidden="1"/>
    </xf>
    <xf numFmtId="172" fontId="25" fillId="0" borderId="9" xfId="1" applyNumberFormat="1" applyFont="1" applyFill="1" applyBorder="1" applyAlignment="1" applyProtection="1">
      <alignment horizontal="right" vertical="center"/>
      <protection locked="0"/>
    </xf>
    <xf numFmtId="165" fontId="9" fillId="3" borderId="9" xfId="1" applyNumberFormat="1" applyFont="1" applyFill="1" applyBorder="1" applyAlignment="1" applyProtection="1">
      <alignment horizontal="left" vertical="center" wrapText="1" indent="1"/>
      <protection locked="0" hidden="1"/>
    </xf>
    <xf numFmtId="168" fontId="9" fillId="3" borderId="9" xfId="2" applyNumberFormat="1" applyFont="1" applyFill="1" applyBorder="1" applyAlignment="1" applyProtection="1">
      <alignment horizontal="right" vertical="center" wrapText="1"/>
      <protection locked="0"/>
    </xf>
    <xf numFmtId="49" fontId="48" fillId="0" borderId="5" xfId="1" applyNumberFormat="1" applyFont="1" applyFill="1" applyBorder="1" applyAlignment="1" applyProtection="1">
      <alignment horizontal="center" vertical="center"/>
      <protection locked="0" hidden="1"/>
    </xf>
    <xf numFmtId="168" fontId="21" fillId="0" borderId="9" xfId="2" applyNumberFormat="1" applyFont="1" applyFill="1" applyBorder="1" applyAlignment="1" applyProtection="1">
      <alignment horizontal="right"/>
      <protection locked="0"/>
    </xf>
    <xf numFmtId="165" fontId="26" fillId="4" borderId="0" xfId="1" applyNumberFormat="1" applyFont="1" applyFill="1" applyBorder="1" applyAlignment="1" applyProtection="1">
      <alignment horizontal="left" vertical="center" wrapText="1"/>
      <protection locked="0" hidden="1"/>
    </xf>
    <xf numFmtId="0" fontId="9" fillId="4" borderId="9" xfId="0" applyFont="1" applyFill="1" applyBorder="1" applyAlignment="1" applyProtection="1">
      <alignment horizontal="left" vertical="center" wrapText="1" indent="1"/>
      <protection locked="0" hidden="1"/>
    </xf>
    <xf numFmtId="172" fontId="25" fillId="4" borderId="9" xfId="1" applyNumberFormat="1" applyFont="1" applyFill="1" applyBorder="1" applyAlignment="1" applyProtection="1">
      <alignment horizontal="right"/>
      <protection locked="0"/>
    </xf>
    <xf numFmtId="165" fontId="26" fillId="4" borderId="9" xfId="1" applyNumberFormat="1" applyFont="1" applyFill="1" applyBorder="1" applyAlignment="1" applyProtection="1">
      <alignment horizontal="left" vertical="center" wrapText="1"/>
      <protection locked="0" hidden="1"/>
    </xf>
    <xf numFmtId="168" fontId="21" fillId="4" borderId="9" xfId="2" applyNumberFormat="1" applyFont="1" applyFill="1" applyBorder="1" applyAlignment="1" applyProtection="1">
      <alignment horizontal="right"/>
      <protection locked="0"/>
    </xf>
    <xf numFmtId="165" fontId="25" fillId="0" borderId="9" xfId="1" applyNumberFormat="1" applyFont="1" applyFill="1" applyBorder="1" applyAlignment="1" applyProtection="1">
      <alignment horizontal="left" vertical="center" wrapText="1" indent="1"/>
      <protection locked="0" hidden="1"/>
    </xf>
    <xf numFmtId="174" fontId="21" fillId="0" borderId="9" xfId="2" applyNumberFormat="1" applyFont="1" applyFill="1" applyBorder="1" applyAlignment="1" applyProtection="1">
      <alignment horizontal="right"/>
      <protection locked="0"/>
    </xf>
    <xf numFmtId="165" fontId="25" fillId="3" borderId="9" xfId="1" applyNumberFormat="1" applyFont="1" applyFill="1" applyBorder="1" applyAlignment="1" applyProtection="1">
      <alignment horizontal="left" vertical="center" wrapText="1"/>
      <protection locked="0" hidden="1"/>
    </xf>
    <xf numFmtId="167" fontId="25" fillId="3" borderId="9" xfId="1" applyNumberFormat="1" applyFont="1" applyFill="1" applyBorder="1" applyAlignment="1" applyProtection="1">
      <alignment horizontal="right" vertical="center" wrapText="1"/>
      <protection locked="0"/>
    </xf>
    <xf numFmtId="165" fontId="26" fillId="0" borderId="0" xfId="1" applyNumberFormat="1" applyFont="1" applyFill="1" applyBorder="1" applyAlignment="1" applyProtection="1">
      <alignment vertical="center" wrapText="1"/>
      <protection locked="0" hidden="1"/>
    </xf>
    <xf numFmtId="166" fontId="9" fillId="3" borderId="9" xfId="1" applyNumberFormat="1" applyFont="1" applyFill="1" applyBorder="1" applyAlignment="1" applyProtection="1">
      <alignment horizontal="right" vertical="center"/>
      <protection locked="0"/>
    </xf>
    <xf numFmtId="0" fontId="25" fillId="3" borderId="9" xfId="0" applyFont="1" applyFill="1" applyBorder="1" applyAlignment="1" applyProtection="1">
      <alignment horizontal="left" vertical="center" wrapText="1" indent="1"/>
      <protection locked="0" hidden="1"/>
    </xf>
    <xf numFmtId="166" fontId="25" fillId="3" borderId="9" xfId="1" applyNumberFormat="1" applyFont="1" applyFill="1" applyBorder="1" applyAlignment="1" applyProtection="1">
      <alignment horizontal="right" vertical="center"/>
      <protection locked="0"/>
    </xf>
    <xf numFmtId="0" fontId="25" fillId="0" borderId="9" xfId="0" applyFont="1" applyBorder="1" applyAlignment="1" applyProtection="1">
      <alignment horizontal="left" vertical="center" wrapText="1" indent="1"/>
      <protection locked="0" hidden="1"/>
    </xf>
    <xf numFmtId="166" fontId="25" fillId="0" borderId="9" xfId="1" applyNumberFormat="1" applyFont="1" applyFill="1" applyBorder="1" applyAlignment="1" applyProtection="1">
      <alignment horizontal="right" vertical="center"/>
      <protection locked="0"/>
    </xf>
    <xf numFmtId="166" fontId="21" fillId="3" borderId="9" xfId="0" applyNumberFormat="1" applyFont="1" applyFill="1" applyBorder="1" applyProtection="1">
      <protection locked="0"/>
    </xf>
    <xf numFmtId="170" fontId="9" fillId="3" borderId="9" xfId="1" applyNumberFormat="1" applyFont="1" applyFill="1" applyBorder="1" applyAlignment="1" applyProtection="1">
      <alignment horizontal="right" vertical="center" wrapText="1"/>
      <protection locked="0"/>
    </xf>
    <xf numFmtId="0" fontId="48" fillId="0" borderId="5" xfId="0" applyFont="1" applyBorder="1" applyAlignment="1" applyProtection="1">
      <alignment horizontal="center" vertical="center"/>
      <protection locked="0" hidden="1"/>
    </xf>
    <xf numFmtId="0" fontId="51" fillId="0" borderId="5" xfId="0" applyFont="1" applyBorder="1" applyAlignment="1" applyProtection="1">
      <alignment horizontal="center" vertical="center"/>
      <protection locked="0" hidden="1"/>
    </xf>
    <xf numFmtId="168" fontId="21" fillId="0" borderId="0" xfId="2" applyNumberFormat="1" applyFont="1" applyFill="1" applyProtection="1">
      <protection locked="0"/>
    </xf>
    <xf numFmtId="9" fontId="21" fillId="0" borderId="0" xfId="2" applyFont="1" applyFill="1" applyProtection="1">
      <protection locked="0"/>
    </xf>
    <xf numFmtId="175" fontId="45" fillId="0" borderId="0" xfId="1" applyNumberFormat="1" applyFont="1" applyFill="1" applyBorder="1" applyAlignment="1" applyProtection="1">
      <alignment horizontal="right"/>
      <protection locked="0"/>
    </xf>
    <xf numFmtId="172" fontId="4" fillId="0" borderId="0" xfId="0" applyNumberFormat="1" applyFont="1" applyAlignment="1" applyProtection="1">
      <alignment horizontal="right"/>
      <protection locked="0"/>
    </xf>
    <xf numFmtId="168" fontId="9" fillId="0" borderId="0" xfId="0" applyNumberFormat="1" applyFont="1" applyAlignment="1" applyProtection="1">
      <alignment horizontal="right"/>
      <protection locked="0"/>
    </xf>
    <xf numFmtId="175" fontId="9" fillId="0" borderId="0" xfId="1" applyNumberFormat="1" applyFont="1" applyAlignment="1" applyProtection="1">
      <alignment horizontal="right"/>
      <protection locked="0"/>
    </xf>
    <xf numFmtId="9" fontId="9" fillId="0" borderId="0" xfId="2" applyFont="1" applyAlignment="1" applyProtection="1">
      <alignment horizontal="right"/>
      <protection locked="0"/>
    </xf>
    <xf numFmtId="0" fontId="25" fillId="4" borderId="0" xfId="0" applyFont="1" applyFill="1" applyAlignment="1" applyProtection="1">
      <alignment horizontal="left" indent="1"/>
      <protection locked="0" hidden="1"/>
    </xf>
    <xf numFmtId="9" fontId="25" fillId="4" borderId="0" xfId="2" applyFont="1" applyFill="1" applyBorder="1" applyAlignment="1" applyProtection="1">
      <alignment horizontal="right" vertical="center"/>
      <protection locked="0"/>
    </xf>
    <xf numFmtId="168" fontId="25" fillId="0" borderId="0" xfId="2" applyNumberFormat="1" applyFont="1" applyFill="1" applyBorder="1" applyAlignment="1" applyProtection="1">
      <alignment horizontal="right" vertical="center" wrapText="1"/>
      <protection locked="0"/>
    </xf>
    <xf numFmtId="165" fontId="9" fillId="3" borderId="0" xfId="1" applyNumberFormat="1" applyFont="1" applyFill="1" applyBorder="1" applyAlignment="1" applyProtection="1">
      <alignment vertical="center" wrapText="1"/>
      <protection locked="0" hidden="1"/>
    </xf>
    <xf numFmtId="0" fontId="27" fillId="3" borderId="0" xfId="0" applyFont="1" applyFill="1" applyAlignment="1" applyProtection="1">
      <alignment horizontal="left" indent="5"/>
      <protection locked="0" hidden="1"/>
    </xf>
    <xf numFmtId="168" fontId="21" fillId="3" borderId="9" xfId="2" applyNumberFormat="1" applyFont="1" applyFill="1" applyBorder="1" applyAlignment="1" applyProtection="1">
      <alignment horizontal="right"/>
      <protection locked="0"/>
    </xf>
    <xf numFmtId="168" fontId="26" fillId="3" borderId="0" xfId="2" applyNumberFormat="1" applyFont="1" applyFill="1" applyBorder="1" applyAlignment="1" applyProtection="1">
      <alignment horizontal="right"/>
      <protection locked="0"/>
    </xf>
    <xf numFmtId="172" fontId="9" fillId="0" borderId="0" xfId="1" applyNumberFormat="1" applyFont="1" applyFill="1" applyProtection="1">
      <protection locked="0"/>
    </xf>
    <xf numFmtId="175" fontId="25" fillId="0" borderId="9" xfId="1" applyNumberFormat="1" applyFont="1" applyFill="1" applyBorder="1" applyAlignment="1" applyProtection="1">
      <alignment vertical="center"/>
      <protection locked="0"/>
    </xf>
    <xf numFmtId="0" fontId="21" fillId="0" borderId="9" xfId="0" applyFont="1" applyBorder="1" applyAlignment="1" applyProtection="1">
      <alignment horizontal="left"/>
      <protection locked="0" hidden="1"/>
    </xf>
    <xf numFmtId="0" fontId="27" fillId="0" borderId="0" xfId="0" applyFont="1" applyAlignment="1" applyProtection="1">
      <alignment horizontal="left" vertical="center" indent="6"/>
      <protection locked="0" hidden="1"/>
    </xf>
    <xf numFmtId="0" fontId="9" fillId="0" borderId="9" xfId="0" applyFont="1" applyBorder="1" applyAlignment="1" applyProtection="1">
      <alignment horizontal="left" indent="1"/>
      <protection locked="0" hidden="1"/>
    </xf>
    <xf numFmtId="172" fontId="9" fillId="0" borderId="9" xfId="0" applyNumberFormat="1" applyFont="1" applyBorder="1" applyProtection="1">
      <protection locked="0"/>
    </xf>
    <xf numFmtId="168" fontId="26" fillId="3" borderId="9" xfId="2" applyNumberFormat="1" applyFont="1" applyFill="1" applyBorder="1" applyAlignment="1" applyProtection="1">
      <alignment horizontal="right" vertical="center"/>
      <protection locked="0"/>
    </xf>
    <xf numFmtId="0" fontId="48" fillId="0" borderId="8" xfId="1" applyNumberFormat="1" applyFont="1" applyFill="1" applyBorder="1" applyAlignment="1" applyProtection="1">
      <alignment horizontal="center" vertical="center"/>
      <protection locked="0" hidden="1"/>
    </xf>
    <xf numFmtId="168" fontId="9" fillId="0" borderId="0" xfId="2" applyNumberFormat="1" applyFont="1" applyFill="1" applyBorder="1" applyAlignment="1" applyProtection="1">
      <alignment vertical="center"/>
      <protection locked="0"/>
    </xf>
    <xf numFmtId="0" fontId="25" fillId="4" borderId="0" xfId="0" applyFont="1" applyFill="1" applyAlignment="1" applyProtection="1">
      <alignment horizontal="left" vertical="center" indent="1"/>
      <protection locked="0" hidden="1"/>
    </xf>
    <xf numFmtId="168" fontId="25" fillId="4" borderId="0" xfId="2" applyNumberFormat="1" applyFont="1" applyFill="1" applyBorder="1" applyAlignment="1" applyProtection="1">
      <alignment vertical="center"/>
      <protection locked="0"/>
    </xf>
    <xf numFmtId="182" fontId="25" fillId="4" borderId="0" xfId="2" applyNumberFormat="1" applyFont="1" applyFill="1" applyBorder="1" applyAlignment="1" applyProtection="1">
      <alignment vertical="center"/>
      <protection locked="0"/>
    </xf>
    <xf numFmtId="182" fontId="25" fillId="4" borderId="0" xfId="2" applyNumberFormat="1" applyFont="1" applyFill="1" applyBorder="1" applyAlignment="1" applyProtection="1">
      <alignment horizontal="right" vertical="center"/>
      <protection locked="0"/>
    </xf>
    <xf numFmtId="168" fontId="9" fillId="4" borderId="0" xfId="2" applyNumberFormat="1" applyFont="1" applyFill="1" applyBorder="1" applyAlignment="1" applyProtection="1">
      <alignment vertical="center"/>
      <protection locked="0"/>
    </xf>
    <xf numFmtId="0" fontId="9" fillId="4" borderId="0" xfId="0" applyFont="1" applyFill="1" applyAlignment="1" applyProtection="1">
      <alignment horizontal="left" vertical="center" indent="1"/>
      <protection locked="0" hidden="1"/>
    </xf>
    <xf numFmtId="168" fontId="9" fillId="4" borderId="0" xfId="2" applyNumberFormat="1" applyFont="1" applyFill="1" applyBorder="1" applyAlignment="1" applyProtection="1">
      <alignment horizontal="right" vertical="center"/>
      <protection locked="0"/>
    </xf>
    <xf numFmtId="168" fontId="25" fillId="0" borderId="0" xfId="2" applyNumberFormat="1" applyFont="1" applyFill="1" applyAlignment="1" applyProtection="1">
      <alignment horizontal="right" vertical="center"/>
      <protection locked="0"/>
    </xf>
    <xf numFmtId="165" fontId="48" fillId="0" borderId="0" xfId="1" applyNumberFormat="1" applyFont="1" applyFill="1" applyBorder="1" applyAlignment="1" applyProtection="1">
      <alignment horizontal="center" vertical="center"/>
      <protection locked="0" hidden="1"/>
    </xf>
    <xf numFmtId="0" fontId="48" fillId="0" borderId="0" xfId="1" applyNumberFormat="1" applyFont="1" applyFill="1" applyBorder="1" applyAlignment="1" applyProtection="1">
      <alignment horizontal="center" vertical="center"/>
      <protection locked="0" hidden="1"/>
    </xf>
    <xf numFmtId="168" fontId="9" fillId="0" borderId="0" xfId="2" applyNumberFormat="1" applyFont="1" applyFill="1" applyBorder="1" applyProtection="1">
      <protection locked="0"/>
    </xf>
    <xf numFmtId="168" fontId="26" fillId="0" borderId="0" xfId="2" applyNumberFormat="1" applyFont="1" applyFill="1" applyBorder="1" applyAlignment="1" applyProtection="1">
      <alignment horizontal="right" vertical="center" wrapText="1"/>
      <protection locked="0"/>
    </xf>
    <xf numFmtId="168" fontId="26" fillId="3" borderId="0" xfId="2" applyNumberFormat="1" applyFont="1" applyFill="1" applyBorder="1" applyAlignment="1" applyProtection="1">
      <alignment horizontal="right" vertical="center"/>
      <protection locked="0"/>
    </xf>
    <xf numFmtId="49" fontId="48" fillId="0" borderId="0" xfId="1" applyNumberFormat="1" applyFont="1" applyFill="1" applyBorder="1" applyAlignment="1" applyProtection="1">
      <alignment horizontal="center" vertical="center"/>
      <protection locked="0" hidden="1"/>
    </xf>
    <xf numFmtId="168" fontId="21" fillId="0" borderId="0" xfId="2" applyNumberFormat="1" applyFont="1" applyFill="1" applyBorder="1" applyAlignment="1" applyProtection="1">
      <alignment horizontal="right"/>
      <protection locked="0"/>
    </xf>
    <xf numFmtId="174" fontId="21" fillId="0" borderId="0" xfId="2" applyNumberFormat="1" applyFont="1" applyFill="1" applyBorder="1" applyAlignment="1" applyProtection="1">
      <alignment horizontal="right"/>
      <protection locked="0"/>
    </xf>
    <xf numFmtId="168" fontId="21" fillId="3" borderId="9" xfId="2" applyNumberFormat="1" applyFont="1" applyFill="1" applyBorder="1" applyAlignment="1" applyProtection="1">
      <alignment horizontal="right" vertical="center"/>
      <protection locked="0"/>
    </xf>
    <xf numFmtId="168" fontId="26" fillId="0" borderId="0" xfId="2" applyNumberFormat="1" applyFont="1" applyFill="1" applyBorder="1" applyAlignment="1" applyProtection="1">
      <alignment horizontal="right" vertical="center"/>
      <protection locked="0"/>
    </xf>
    <xf numFmtId="168" fontId="21" fillId="0" borderId="0" xfId="2" applyNumberFormat="1" applyFont="1" applyFill="1" applyBorder="1" applyAlignment="1" applyProtection="1">
      <alignment horizontal="right" vertical="center"/>
      <protection locked="0"/>
    </xf>
    <xf numFmtId="168" fontId="25" fillId="0" borderId="0" xfId="2" applyNumberFormat="1" applyFont="1" applyFill="1" applyAlignment="1" applyProtection="1">
      <alignment horizontal="right"/>
      <protection locked="0"/>
    </xf>
    <xf numFmtId="168" fontId="25" fillId="3" borderId="0" xfId="2" applyNumberFormat="1" applyFont="1" applyFill="1" applyAlignment="1" applyProtection="1">
      <alignment horizontal="right"/>
      <protection locked="0"/>
    </xf>
    <xf numFmtId="168" fontId="26" fillId="0" borderId="9" xfId="2" applyNumberFormat="1" applyFont="1" applyFill="1" applyBorder="1" applyAlignment="1" applyProtection="1">
      <alignment horizontal="right" vertical="center"/>
      <protection locked="0"/>
    </xf>
    <xf numFmtId="168" fontId="25" fillId="3" borderId="0" xfId="2" applyNumberFormat="1" applyFont="1" applyFill="1" applyAlignment="1" applyProtection="1">
      <alignment horizontal="right" vertical="center"/>
      <protection locked="0"/>
    </xf>
    <xf numFmtId="9" fontId="9" fillId="0" borderId="0" xfId="2" applyFont="1" applyFill="1" applyBorder="1" applyProtection="1">
      <protection locked="0"/>
    </xf>
    <xf numFmtId="172" fontId="21" fillId="0" borderId="0" xfId="0" applyNumberFormat="1" applyFont="1" applyProtection="1">
      <protection locked="0"/>
    </xf>
    <xf numFmtId="168" fontId="25" fillId="3" borderId="9" xfId="2" applyNumberFormat="1" applyFont="1" applyFill="1" applyBorder="1" applyAlignment="1" applyProtection="1">
      <alignment horizontal="right"/>
      <protection locked="0"/>
    </xf>
    <xf numFmtId="168" fontId="25" fillId="3" borderId="0" xfId="2" applyNumberFormat="1" applyFont="1" applyFill="1" applyBorder="1" applyAlignment="1" applyProtection="1">
      <alignment horizontal="right" vertical="center" wrapText="1"/>
      <protection locked="0"/>
    </xf>
    <xf numFmtId="168" fontId="25" fillId="0" borderId="9" xfId="2" applyNumberFormat="1" applyFont="1" applyFill="1" applyBorder="1" applyAlignment="1" applyProtection="1">
      <alignment horizontal="right"/>
      <protection locked="0"/>
    </xf>
    <xf numFmtId="168" fontId="25" fillId="3" borderId="9" xfId="2" applyNumberFormat="1" applyFont="1" applyFill="1" applyBorder="1" applyAlignment="1" applyProtection="1">
      <alignment horizontal="right" vertical="center"/>
      <protection locked="0"/>
    </xf>
    <xf numFmtId="168" fontId="25" fillId="4" borderId="0" xfId="2" applyNumberFormat="1" applyFont="1" applyFill="1" applyBorder="1" applyAlignment="1" applyProtection="1">
      <alignment horizontal="right" vertical="center"/>
      <protection locked="0"/>
    </xf>
    <xf numFmtId="168" fontId="25" fillId="3" borderId="0" xfId="2" applyNumberFormat="1" applyFont="1" applyFill="1" applyAlignment="1" applyProtection="1">
      <alignment horizontal="right" vertical="center" wrapText="1"/>
      <protection locked="0"/>
    </xf>
    <xf numFmtId="168" fontId="9" fillId="3" borderId="0" xfId="2" applyNumberFormat="1" applyFont="1" applyFill="1" applyBorder="1" applyAlignment="1" applyProtection="1">
      <alignment horizontal="right"/>
      <protection locked="0"/>
    </xf>
    <xf numFmtId="168" fontId="9" fillId="0" borderId="0" xfId="2" applyNumberFormat="1" applyFont="1" applyFill="1" applyBorder="1" applyAlignment="1" applyProtection="1">
      <alignment horizontal="right"/>
      <protection locked="0"/>
    </xf>
    <xf numFmtId="168" fontId="21" fillId="3" borderId="0" xfId="2" applyNumberFormat="1" applyFont="1" applyFill="1" applyAlignment="1" applyProtection="1">
      <alignment horizontal="right"/>
      <protection locked="0"/>
    </xf>
    <xf numFmtId="185" fontId="25" fillId="0" borderId="0" xfId="2" applyNumberFormat="1" applyFont="1" applyFill="1" applyBorder="1" applyAlignment="1" applyProtection="1">
      <alignment horizontal="right" vertical="center"/>
      <protection locked="0"/>
    </xf>
    <xf numFmtId="185" fontId="25" fillId="3" borderId="0" xfId="2" applyNumberFormat="1" applyFont="1" applyFill="1" applyBorder="1" applyAlignment="1" applyProtection="1">
      <alignment horizontal="right" vertical="center"/>
      <protection locked="0"/>
    </xf>
    <xf numFmtId="185" fontId="25" fillId="0" borderId="0" xfId="2" applyNumberFormat="1" applyFont="1" applyFill="1" applyBorder="1" applyAlignment="1" applyProtection="1">
      <alignment horizontal="right" vertical="center" wrapText="1"/>
      <protection locked="0"/>
    </xf>
    <xf numFmtId="185" fontId="25" fillId="4" borderId="0" xfId="2" applyNumberFormat="1" applyFont="1" applyFill="1" applyBorder="1" applyAlignment="1" applyProtection="1">
      <alignment horizontal="right" vertical="center"/>
      <protection locked="0"/>
    </xf>
    <xf numFmtId="185" fontId="52" fillId="0" borderId="0" xfId="0" applyNumberFormat="1" applyFont="1" applyAlignment="1" applyProtection="1">
      <alignment horizontal="right" vertical="center"/>
      <protection locked="0"/>
    </xf>
    <xf numFmtId="185" fontId="9" fillId="3" borderId="0" xfId="2" applyNumberFormat="1" applyFont="1" applyFill="1" applyAlignment="1" applyProtection="1">
      <alignment horizontal="right"/>
      <protection locked="0"/>
    </xf>
    <xf numFmtId="185" fontId="9" fillId="0" borderId="0" xfId="2" applyNumberFormat="1" applyFont="1" applyFill="1" applyAlignment="1" applyProtection="1">
      <alignment horizontal="right"/>
      <protection locked="0"/>
    </xf>
    <xf numFmtId="168" fontId="25" fillId="3" borderId="9" xfId="1" applyNumberFormat="1" applyFont="1" applyFill="1" applyBorder="1" applyAlignment="1" applyProtection="1">
      <alignment horizontal="right"/>
      <protection locked="0"/>
    </xf>
    <xf numFmtId="168" fontId="25" fillId="0" borderId="0" xfId="1" applyNumberFormat="1" applyFont="1" applyFill="1" applyBorder="1" applyAlignment="1" applyProtection="1">
      <alignment horizontal="right"/>
      <protection locked="0"/>
    </xf>
    <xf numFmtId="168" fontId="25" fillId="3" borderId="0" xfId="1" applyNumberFormat="1" applyFont="1" applyFill="1" applyBorder="1" applyAlignment="1" applyProtection="1">
      <alignment horizontal="right"/>
      <protection locked="0"/>
    </xf>
    <xf numFmtId="168" fontId="21" fillId="3" borderId="9" xfId="0" applyNumberFormat="1" applyFont="1" applyFill="1" applyBorder="1" applyProtection="1">
      <protection locked="0"/>
    </xf>
    <xf numFmtId="168" fontId="25" fillId="0" borderId="9" xfId="1" applyNumberFormat="1" applyFont="1" applyFill="1" applyBorder="1" applyAlignment="1" applyProtection="1">
      <alignment horizontal="right"/>
      <protection locked="0"/>
    </xf>
    <xf numFmtId="168" fontId="25" fillId="0" borderId="0" xfId="1" applyNumberFormat="1" applyFont="1" applyFill="1" applyBorder="1" applyAlignment="1" applyProtection="1">
      <alignment horizontal="right" vertical="center" wrapText="1"/>
      <protection locked="0"/>
    </xf>
    <xf numFmtId="168" fontId="25" fillId="3" borderId="0" xfId="1" applyNumberFormat="1" applyFont="1" applyFill="1" applyBorder="1" applyAlignment="1" applyProtection="1">
      <alignment horizontal="right" vertical="center" wrapText="1"/>
      <protection locked="0"/>
    </xf>
    <xf numFmtId="168" fontId="26" fillId="0" borderId="9" xfId="1" applyNumberFormat="1" applyFont="1" applyFill="1" applyBorder="1" applyAlignment="1" applyProtection="1">
      <alignment horizontal="right" vertical="center" wrapText="1"/>
      <protection locked="0"/>
    </xf>
    <xf numFmtId="185" fontId="26" fillId="3" borderId="9" xfId="2" applyNumberFormat="1" applyFont="1" applyFill="1" applyBorder="1" applyAlignment="1" applyProtection="1">
      <alignment horizontal="right" vertical="center" wrapText="1"/>
      <protection locked="0"/>
    </xf>
    <xf numFmtId="185" fontId="26" fillId="0" borderId="9" xfId="2" applyNumberFormat="1" applyFont="1" applyFill="1" applyBorder="1" applyAlignment="1" applyProtection="1">
      <alignment horizontal="right" vertical="center" wrapText="1"/>
      <protection locked="0"/>
    </xf>
    <xf numFmtId="168" fontId="25" fillId="3" borderId="9" xfId="1" applyNumberFormat="1" applyFont="1" applyFill="1" applyBorder="1" applyAlignment="1" applyProtection="1">
      <alignment horizontal="right" vertical="center"/>
      <protection locked="0"/>
    </xf>
    <xf numFmtId="168" fontId="25" fillId="0" borderId="0" xfId="1" applyNumberFormat="1" applyFont="1" applyFill="1" applyBorder="1" applyAlignment="1" applyProtection="1">
      <alignment horizontal="right" vertical="center"/>
      <protection locked="0"/>
    </xf>
    <xf numFmtId="168" fontId="25" fillId="3" borderId="0" xfId="1" applyNumberFormat="1" applyFont="1" applyFill="1" applyBorder="1" applyAlignment="1" applyProtection="1">
      <alignment horizontal="right" vertical="center"/>
      <protection locked="0"/>
    </xf>
    <xf numFmtId="168" fontId="26" fillId="3" borderId="9" xfId="1" applyNumberFormat="1" applyFont="1" applyFill="1" applyBorder="1" applyAlignment="1" applyProtection="1">
      <alignment horizontal="right" vertical="center"/>
      <protection locked="0"/>
    </xf>
    <xf numFmtId="168" fontId="25" fillId="0" borderId="9" xfId="1" applyNumberFormat="1" applyFont="1" applyFill="1" applyBorder="1" applyAlignment="1" applyProtection="1">
      <alignment horizontal="right" vertical="center"/>
      <protection locked="0"/>
    </xf>
    <xf numFmtId="168" fontId="26" fillId="0" borderId="9" xfId="1" applyNumberFormat="1" applyFont="1" applyFill="1" applyBorder="1" applyAlignment="1" applyProtection="1">
      <alignment horizontal="right" vertical="center"/>
      <protection locked="0"/>
    </xf>
    <xf numFmtId="168" fontId="9" fillId="0" borderId="9" xfId="0" applyNumberFormat="1" applyFont="1" applyBorder="1" applyProtection="1">
      <protection locked="0"/>
    </xf>
    <xf numFmtId="168" fontId="9" fillId="3" borderId="0" xfId="0" applyNumberFormat="1" applyFont="1" applyFill="1" applyProtection="1">
      <protection locked="0"/>
    </xf>
    <xf numFmtId="168" fontId="9" fillId="3" borderId="0" xfId="1" applyNumberFormat="1" applyFont="1" applyFill="1" applyAlignment="1" applyProtection="1">
      <alignment horizontal="right"/>
      <protection locked="0"/>
    </xf>
    <xf numFmtId="185" fontId="26" fillId="3" borderId="9" xfId="2" applyNumberFormat="1" applyFont="1" applyFill="1" applyBorder="1" applyAlignment="1" applyProtection="1">
      <alignment horizontal="right" vertical="center"/>
      <protection locked="0"/>
    </xf>
    <xf numFmtId="185" fontId="9" fillId="3" borderId="0" xfId="2" applyNumberFormat="1" applyFont="1" applyFill="1" applyBorder="1" applyAlignment="1" applyProtection="1">
      <alignment horizontal="right" vertical="center" wrapText="1"/>
      <protection locked="0"/>
    </xf>
    <xf numFmtId="185" fontId="9" fillId="0" borderId="0" xfId="2" applyNumberFormat="1" applyFont="1" applyFill="1" applyBorder="1" applyAlignment="1" applyProtection="1">
      <alignment horizontal="right" vertical="center" wrapText="1"/>
      <protection locked="0"/>
    </xf>
    <xf numFmtId="185" fontId="9" fillId="3" borderId="9" xfId="2" applyNumberFormat="1" applyFont="1" applyFill="1" applyBorder="1" applyAlignment="1" applyProtection="1">
      <alignment horizontal="right" vertical="center" wrapText="1"/>
      <protection locked="0"/>
    </xf>
    <xf numFmtId="185" fontId="25" fillId="3" borderId="0" xfId="2" applyNumberFormat="1" applyFont="1" applyFill="1" applyBorder="1" applyAlignment="1" applyProtection="1">
      <alignment horizontal="right"/>
      <protection locked="0"/>
    </xf>
    <xf numFmtId="185" fontId="25" fillId="0" borderId="0" xfId="2" applyNumberFormat="1" applyFont="1" applyFill="1" applyBorder="1" applyAlignment="1" applyProtection="1">
      <alignment horizontal="right"/>
      <protection locked="0"/>
    </xf>
    <xf numFmtId="168" fontId="9" fillId="0" borderId="0" xfId="1" applyNumberFormat="1" applyFont="1" applyFill="1" applyAlignment="1" applyProtection="1">
      <alignment horizontal="right"/>
      <protection locked="0"/>
    </xf>
    <xf numFmtId="168" fontId="9" fillId="3" borderId="0" xfId="0" applyNumberFormat="1" applyFont="1" applyFill="1" applyAlignment="1" applyProtection="1">
      <alignment horizontal="right"/>
      <protection locked="0"/>
    </xf>
    <xf numFmtId="172" fontId="9" fillId="4" borderId="0" xfId="1" applyNumberFormat="1" applyFont="1" applyFill="1" applyAlignment="1" applyProtection="1">
      <alignment horizontal="right"/>
      <protection locked="0"/>
    </xf>
    <xf numFmtId="168" fontId="9" fillId="4" borderId="0" xfId="1" applyNumberFormat="1" applyFont="1" applyFill="1" applyAlignment="1" applyProtection="1">
      <alignment horizontal="right"/>
      <protection locked="0"/>
    </xf>
    <xf numFmtId="168" fontId="25" fillId="4" borderId="0" xfId="1" applyNumberFormat="1" applyFont="1" applyFill="1" applyBorder="1" applyAlignment="1" applyProtection="1">
      <alignment horizontal="right"/>
      <protection locked="0"/>
    </xf>
    <xf numFmtId="185" fontId="21" fillId="0" borderId="9" xfId="2" applyNumberFormat="1" applyFont="1" applyFill="1" applyBorder="1" applyAlignment="1" applyProtection="1">
      <alignment horizontal="right"/>
      <protection locked="0"/>
    </xf>
    <xf numFmtId="185" fontId="21" fillId="3" borderId="9" xfId="2" applyNumberFormat="1" applyFont="1" applyFill="1" applyBorder="1" applyAlignment="1" applyProtection="1">
      <alignment horizontal="right"/>
      <protection locked="0"/>
    </xf>
    <xf numFmtId="168" fontId="25" fillId="4" borderId="9" xfId="1" applyNumberFormat="1" applyFont="1" applyFill="1" applyBorder="1" applyAlignment="1" applyProtection="1">
      <alignment horizontal="right"/>
      <protection locked="0"/>
    </xf>
    <xf numFmtId="168" fontId="25" fillId="4" borderId="0" xfId="1" applyNumberFormat="1" applyFont="1" applyFill="1" applyAlignment="1" applyProtection="1">
      <alignment horizontal="right"/>
      <protection locked="0"/>
    </xf>
    <xf numFmtId="168" fontId="9" fillId="4" borderId="0" xfId="0" applyNumberFormat="1" applyFont="1" applyFill="1" applyProtection="1">
      <protection locked="0"/>
    </xf>
    <xf numFmtId="185" fontId="21" fillId="4" borderId="9" xfId="2" applyNumberFormat="1" applyFont="1" applyFill="1" applyBorder="1" applyAlignment="1" applyProtection="1">
      <alignment horizontal="right"/>
      <protection locked="0"/>
    </xf>
    <xf numFmtId="167" fontId="25" fillId="0" borderId="0" xfId="1" applyNumberFormat="1" applyFont="1" applyFill="1" applyBorder="1" applyAlignment="1" applyProtection="1">
      <alignment horizontal="right" vertical="center" wrapText="1"/>
      <protection locked="0"/>
    </xf>
    <xf numFmtId="176" fontId="25" fillId="0" borderId="0" xfId="1" applyNumberFormat="1" applyFont="1" applyFill="1" applyBorder="1" applyAlignment="1" applyProtection="1">
      <alignment vertical="center" wrapText="1"/>
      <protection locked="0"/>
    </xf>
    <xf numFmtId="177" fontId="9" fillId="0" borderId="0" xfId="1" applyNumberFormat="1" applyFont="1" applyFill="1" applyBorder="1" applyAlignment="1" applyProtection="1">
      <alignment horizontal="right" vertical="center"/>
      <protection locked="0"/>
    </xf>
    <xf numFmtId="166" fontId="9" fillId="0" borderId="0" xfId="1" applyNumberFormat="1" applyFont="1" applyFill="1" applyBorder="1" applyAlignment="1" applyProtection="1">
      <alignment horizontal="right" vertical="center"/>
      <protection locked="0"/>
    </xf>
    <xf numFmtId="166" fontId="21" fillId="0" borderId="0" xfId="0" applyNumberFormat="1" applyFont="1" applyProtection="1">
      <protection locked="0"/>
    </xf>
    <xf numFmtId="168" fontId="9" fillId="0" borderId="0" xfId="1" applyNumberFormat="1" applyFont="1" applyFill="1" applyBorder="1" applyAlignment="1" applyProtection="1">
      <alignment horizontal="right"/>
      <protection locked="0"/>
    </xf>
    <xf numFmtId="168" fontId="9" fillId="3" borderId="0" xfId="1" applyNumberFormat="1" applyFont="1" applyFill="1" applyBorder="1" applyAlignment="1" applyProtection="1">
      <alignment horizontal="right"/>
      <protection locked="0"/>
    </xf>
    <xf numFmtId="168" fontId="21" fillId="0" borderId="3" xfId="2" applyNumberFormat="1" applyFont="1" applyFill="1" applyBorder="1" applyAlignment="1" applyProtection="1">
      <alignment horizontal="right"/>
      <protection locked="0"/>
    </xf>
    <xf numFmtId="168" fontId="21" fillId="3" borderId="3" xfId="2" applyNumberFormat="1" applyFont="1" applyFill="1" applyBorder="1" applyAlignment="1" applyProtection="1">
      <alignment horizontal="right"/>
      <protection locked="0"/>
    </xf>
    <xf numFmtId="168" fontId="25" fillId="3" borderId="9" xfId="1" applyNumberFormat="1" applyFont="1" applyFill="1" applyBorder="1" applyAlignment="1" applyProtection="1">
      <alignment horizontal="right" vertical="center" wrapText="1"/>
      <protection locked="0"/>
    </xf>
    <xf numFmtId="168" fontId="25" fillId="3" borderId="0" xfId="1" applyNumberFormat="1" applyFont="1" applyFill="1" applyBorder="1" applyAlignment="1" applyProtection="1">
      <alignment vertical="center" wrapText="1"/>
      <protection locked="0"/>
    </xf>
    <xf numFmtId="168" fontId="25" fillId="0" borderId="0" xfId="1" applyNumberFormat="1" applyFont="1" applyFill="1" applyBorder="1" applyAlignment="1" applyProtection="1">
      <alignment vertical="center"/>
      <protection locked="0"/>
    </xf>
    <xf numFmtId="168" fontId="25" fillId="3" borderId="0" xfId="1" applyNumberFormat="1" applyFont="1" applyFill="1" applyBorder="1" applyAlignment="1" applyProtection="1">
      <alignment vertical="center"/>
      <protection locked="0"/>
    </xf>
    <xf numFmtId="168" fontId="9" fillId="3" borderId="0" xfId="1" applyNumberFormat="1" applyFont="1" applyFill="1" applyBorder="1" applyAlignment="1" applyProtection="1">
      <alignment horizontal="right" vertical="center"/>
      <protection locked="0"/>
    </xf>
    <xf numFmtId="168" fontId="9" fillId="0" borderId="0" xfId="1" applyNumberFormat="1" applyFont="1" applyFill="1" applyBorder="1" applyAlignment="1" applyProtection="1">
      <alignment horizontal="right" vertical="center"/>
      <protection locked="0"/>
    </xf>
    <xf numFmtId="185" fontId="9" fillId="3" borderId="0" xfId="2" applyNumberFormat="1" applyFont="1" applyFill="1" applyBorder="1" applyAlignment="1" applyProtection="1">
      <alignment horizontal="right" vertical="center"/>
      <protection locked="0"/>
    </xf>
    <xf numFmtId="168" fontId="9" fillId="3" borderId="9" xfId="1" applyNumberFormat="1" applyFont="1" applyFill="1" applyBorder="1" applyAlignment="1" applyProtection="1">
      <alignment horizontal="right" vertical="center"/>
      <protection locked="0"/>
    </xf>
    <xf numFmtId="168" fontId="9" fillId="3" borderId="9" xfId="1" applyNumberFormat="1" applyFont="1" applyFill="1" applyBorder="1" applyAlignment="1" applyProtection="1">
      <alignment horizontal="right" vertical="center" wrapText="1"/>
      <protection locked="0"/>
    </xf>
    <xf numFmtId="168" fontId="9" fillId="0" borderId="0" xfId="1" applyNumberFormat="1" applyFont="1" applyFill="1" applyBorder="1" applyAlignment="1" applyProtection="1">
      <alignment horizontal="right" vertical="center" wrapText="1"/>
      <protection locked="0"/>
    </xf>
    <xf numFmtId="168" fontId="9" fillId="0" borderId="0" xfId="1" applyNumberFormat="1" applyFont="1" applyFill="1" applyBorder="1" applyAlignment="1" applyProtection="1">
      <alignment horizontal="right" wrapText="1"/>
      <protection locked="0"/>
    </xf>
    <xf numFmtId="185" fontId="9" fillId="3" borderId="0" xfId="2" applyNumberFormat="1" applyFont="1" applyFill="1" applyBorder="1" applyAlignment="1" applyProtection="1">
      <alignment horizontal="right" wrapText="1"/>
      <protection locked="0"/>
    </xf>
    <xf numFmtId="185" fontId="9" fillId="0" borderId="0" xfId="2" applyNumberFormat="1" applyFont="1" applyFill="1" applyBorder="1" applyAlignment="1" applyProtection="1">
      <alignment horizontal="right" wrapText="1"/>
      <protection locked="0"/>
    </xf>
    <xf numFmtId="168" fontId="9" fillId="3" borderId="0" xfId="1" applyNumberFormat="1" applyFont="1" applyFill="1" applyBorder="1" applyAlignment="1" applyProtection="1">
      <alignment horizontal="right" vertical="center" wrapText="1"/>
      <protection locked="0"/>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8" fillId="0" borderId="0" xfId="0" applyFont="1" applyAlignment="1">
      <alignment vertical="center"/>
    </xf>
    <xf numFmtId="0" fontId="40" fillId="0" borderId="0" xfId="0" applyFont="1" applyAlignment="1">
      <alignment vertical="center"/>
    </xf>
    <xf numFmtId="0" fontId="40" fillId="0" borderId="0" xfId="0" applyFont="1" applyAlignment="1">
      <alignment vertical="center" wrapText="1"/>
    </xf>
    <xf numFmtId="0" fontId="41" fillId="0" borderId="0" xfId="0" applyFont="1" applyAlignment="1">
      <alignment vertical="center"/>
    </xf>
    <xf numFmtId="165" fontId="9" fillId="0" borderId="9" xfId="1" applyNumberFormat="1" applyFont="1" applyFill="1" applyBorder="1" applyAlignment="1" applyProtection="1">
      <alignment horizontal="left" vertical="center" wrapText="1" indent="1"/>
      <protection locked="0" hidden="1"/>
    </xf>
    <xf numFmtId="165" fontId="9" fillId="0" borderId="0" xfId="1" applyNumberFormat="1" applyFont="1" applyFill="1" applyBorder="1" applyAlignment="1" applyProtection="1">
      <alignment horizontal="left" vertical="center" wrapText="1" indent="2"/>
      <protection locked="0" hidden="1"/>
    </xf>
    <xf numFmtId="0" fontId="9" fillId="0" borderId="0" xfId="0" applyFont="1" applyAlignment="1" applyProtection="1">
      <alignment horizontal="left" vertical="center" indent="3"/>
      <protection locked="0"/>
    </xf>
    <xf numFmtId="165" fontId="53" fillId="0" borderId="0" xfId="1" applyNumberFormat="1" applyFont="1" applyFill="1" applyBorder="1" applyAlignment="1" applyProtection="1">
      <alignment vertical="center" wrapText="1"/>
      <protection locked="0" hidden="1"/>
    </xf>
    <xf numFmtId="165" fontId="30" fillId="0" borderId="0" xfId="1" applyNumberFormat="1" applyFont="1" applyFill="1" applyBorder="1" applyAlignment="1" applyProtection="1">
      <alignment horizontal="left" vertical="center" wrapText="1" indent="1"/>
      <protection locked="0" hidden="1"/>
    </xf>
    <xf numFmtId="0" fontId="30" fillId="0" borderId="0" xfId="0" applyFont="1" applyAlignment="1" applyProtection="1">
      <alignment horizontal="left" vertical="center" wrapText="1" indent="2"/>
      <protection locked="0"/>
    </xf>
    <xf numFmtId="165" fontId="9" fillId="4" borderId="9" xfId="1" applyNumberFormat="1" applyFont="1" applyFill="1" applyBorder="1" applyAlignment="1" applyProtection="1">
      <alignment horizontal="left" vertical="center" wrapText="1" indent="1"/>
      <protection locked="0" hidden="1"/>
    </xf>
    <xf numFmtId="170" fontId="9" fillId="4" borderId="9" xfId="1" applyNumberFormat="1" applyFont="1" applyFill="1" applyBorder="1" applyAlignment="1" applyProtection="1">
      <alignment horizontal="right" vertical="center" wrapText="1"/>
      <protection locked="0"/>
    </xf>
    <xf numFmtId="165" fontId="9" fillId="4" borderId="0" xfId="1" applyNumberFormat="1" applyFont="1" applyFill="1" applyBorder="1" applyAlignment="1" applyProtection="1">
      <alignment horizontal="left" vertical="center" wrapText="1" indent="1"/>
      <protection locked="0" hidden="1"/>
    </xf>
    <xf numFmtId="174" fontId="9" fillId="4" borderId="0" xfId="0" applyNumberFormat="1" applyFont="1" applyFill="1" applyAlignment="1" applyProtection="1">
      <alignment horizontal="right"/>
      <protection locked="0"/>
    </xf>
    <xf numFmtId="165" fontId="30" fillId="4" borderId="0" xfId="1" applyNumberFormat="1" applyFont="1" applyFill="1" applyBorder="1" applyAlignment="1" applyProtection="1">
      <alignment horizontal="left" vertical="center" wrapText="1" indent="1"/>
      <protection locked="0" hidden="1"/>
    </xf>
    <xf numFmtId="165" fontId="9" fillId="4" borderId="0" xfId="1" applyNumberFormat="1" applyFont="1" applyFill="1" applyBorder="1" applyAlignment="1" applyProtection="1">
      <alignment horizontal="left" vertical="center" wrapText="1" indent="2"/>
      <protection locked="0" hidden="1"/>
    </xf>
    <xf numFmtId="165" fontId="9" fillId="4" borderId="0" xfId="1" applyNumberFormat="1" applyFont="1" applyFill="1" applyBorder="1" applyAlignment="1" applyProtection="1">
      <alignment horizontal="right" vertical="center" wrapText="1"/>
      <protection locked="0"/>
    </xf>
    <xf numFmtId="0" fontId="9" fillId="4" borderId="0" xfId="0" applyFont="1" applyFill="1" applyAlignment="1" applyProtection="1">
      <alignment horizontal="left" vertical="center" wrapText="1" indent="1"/>
      <protection locked="0"/>
    </xf>
    <xf numFmtId="0" fontId="9" fillId="4" borderId="0" xfId="0" applyFont="1" applyFill="1" applyProtection="1">
      <protection locked="0"/>
    </xf>
    <xf numFmtId="0" fontId="30" fillId="4" borderId="0" xfId="0" applyFont="1" applyFill="1" applyAlignment="1" applyProtection="1">
      <alignment horizontal="left" vertical="center" wrapText="1"/>
      <protection locked="0"/>
    </xf>
    <xf numFmtId="0" fontId="9" fillId="4" borderId="0" xfId="0" applyFont="1" applyFill="1" applyAlignment="1" applyProtection="1">
      <alignment horizontal="left" vertical="center" wrapText="1" indent="2"/>
      <protection locked="0"/>
    </xf>
    <xf numFmtId="0" fontId="30" fillId="4" borderId="0" xfId="0" applyFont="1" applyFill="1" applyAlignment="1" applyProtection="1">
      <alignment horizontal="left" vertical="center" wrapText="1" indent="2"/>
      <protection locked="0"/>
    </xf>
    <xf numFmtId="165" fontId="26" fillId="4" borderId="0" xfId="1" applyNumberFormat="1" applyFont="1" applyFill="1" applyBorder="1" applyAlignment="1" applyProtection="1">
      <alignment vertical="center" wrapText="1"/>
      <protection locked="0" hidden="1"/>
    </xf>
    <xf numFmtId="0" fontId="9" fillId="4" borderId="0" xfId="0" applyFont="1" applyFill="1" applyAlignment="1" applyProtection="1">
      <alignment horizontal="left" indent="3"/>
      <protection locked="0"/>
    </xf>
    <xf numFmtId="0" fontId="9" fillId="4" borderId="0" xfId="0" applyFont="1" applyFill="1" applyAlignment="1" applyProtection="1">
      <alignment horizontal="left" vertical="center" indent="3"/>
      <protection locked="0"/>
    </xf>
    <xf numFmtId="168" fontId="9" fillId="4" borderId="9" xfId="1" applyNumberFormat="1" applyFont="1" applyFill="1" applyBorder="1" applyAlignment="1" applyProtection="1">
      <alignment horizontal="right" vertical="center" wrapText="1"/>
      <protection locked="0"/>
    </xf>
    <xf numFmtId="168" fontId="9" fillId="4" borderId="0" xfId="1" applyNumberFormat="1" applyFont="1" applyFill="1" applyBorder="1" applyAlignment="1" applyProtection="1">
      <alignment horizontal="right" vertical="center" wrapText="1"/>
      <protection locked="0"/>
    </xf>
    <xf numFmtId="168" fontId="9" fillId="0" borderId="9" xfId="1" applyNumberFormat="1" applyFont="1" applyFill="1" applyBorder="1" applyAlignment="1" applyProtection="1">
      <alignment horizontal="right" vertical="center" wrapText="1"/>
      <protection locked="0"/>
    </xf>
    <xf numFmtId="168" fontId="9" fillId="4" borderId="0" xfId="0" applyNumberFormat="1" applyFont="1" applyFill="1" applyAlignment="1" applyProtection="1">
      <alignment horizontal="right"/>
      <protection locked="0"/>
    </xf>
    <xf numFmtId="172" fontId="9" fillId="0" borderId="0" xfId="1" applyNumberFormat="1" applyFont="1" applyFill="1" applyBorder="1" applyAlignment="1" applyProtection="1">
      <alignment horizontal="right" wrapText="1"/>
      <protection locked="0"/>
    </xf>
    <xf numFmtId="172" fontId="9" fillId="0" borderId="10" xfId="1" applyNumberFormat="1" applyFont="1" applyFill="1" applyBorder="1" applyAlignment="1" applyProtection="1">
      <alignment horizontal="right" wrapText="1"/>
      <protection locked="0"/>
    </xf>
    <xf numFmtId="165" fontId="55" fillId="4" borderId="9" xfId="11" applyNumberFormat="1" applyFont="1" applyFill="1" applyBorder="1" applyAlignment="1" applyProtection="1">
      <alignment horizontal="left" vertical="center" wrapText="1"/>
      <protection locked="0" hidden="1"/>
    </xf>
    <xf numFmtId="0" fontId="56" fillId="0" borderId="0" xfId="0" applyFont="1" applyProtection="1">
      <protection locked="0"/>
    </xf>
    <xf numFmtId="165" fontId="55" fillId="0" borderId="0" xfId="11" applyNumberFormat="1" applyFont="1" applyFill="1" applyBorder="1" applyAlignment="1" applyProtection="1">
      <alignment horizontal="left" vertical="center" wrapText="1"/>
      <protection locked="0" hidden="1"/>
    </xf>
    <xf numFmtId="165" fontId="57" fillId="0" borderId="0" xfId="1" applyNumberFormat="1" applyFont="1" applyFill="1" applyBorder="1" applyAlignment="1" applyProtection="1">
      <alignment horizontal="left" vertical="center" wrapText="1" indent="1"/>
      <protection locked="0" hidden="1"/>
    </xf>
    <xf numFmtId="165" fontId="57" fillId="4" borderId="0" xfId="1" applyNumberFormat="1" applyFont="1" applyFill="1" applyBorder="1" applyAlignment="1" applyProtection="1">
      <alignment horizontal="left" vertical="center" wrapText="1" indent="1"/>
      <protection locked="0" hidden="1"/>
    </xf>
    <xf numFmtId="0" fontId="55" fillId="4" borderId="0" xfId="11" applyFont="1" applyFill="1" applyAlignment="1" applyProtection="1">
      <alignment horizontal="left" vertical="center" wrapText="1"/>
      <protection locked="0"/>
    </xf>
    <xf numFmtId="49" fontId="55" fillId="0" borderId="9" xfId="11" applyNumberFormat="1" applyFont="1" applyFill="1" applyBorder="1" applyAlignment="1" applyProtection="1">
      <alignment horizontal="left" vertical="center" wrapText="1"/>
      <protection locked="0" hidden="1"/>
    </xf>
    <xf numFmtId="0" fontId="55" fillId="4" borderId="0" xfId="11" applyFont="1" applyFill="1" applyProtection="1">
      <protection locked="0"/>
    </xf>
    <xf numFmtId="0" fontId="55" fillId="0" borderId="0" xfId="11" applyFont="1" applyAlignment="1" applyProtection="1">
      <alignment horizontal="left" vertical="center"/>
      <protection locked="0"/>
    </xf>
    <xf numFmtId="0" fontId="55" fillId="4" borderId="0" xfId="11" applyFont="1" applyFill="1" applyAlignment="1" applyProtection="1">
      <alignment horizontal="left" vertical="center"/>
      <protection locked="0"/>
    </xf>
    <xf numFmtId="0" fontId="54" fillId="2" borderId="11" xfId="0" applyFont="1" applyFill="1" applyBorder="1" applyAlignment="1" applyProtection="1">
      <alignment horizontal="center" vertical="center"/>
      <protection locked="0" hidden="1"/>
    </xf>
    <xf numFmtId="0" fontId="17" fillId="8" borderId="12" xfId="0" applyFont="1" applyFill="1" applyBorder="1" applyAlignment="1" applyProtection="1">
      <alignment vertical="center"/>
      <protection locked="0" hidden="1"/>
    </xf>
    <xf numFmtId="0" fontId="10" fillId="8" borderId="13" xfId="0" applyFont="1" applyFill="1" applyBorder="1" applyProtection="1">
      <protection locked="0" hidden="1"/>
    </xf>
    <xf numFmtId="0" fontId="10" fillId="8" borderId="13" xfId="0" applyFont="1" applyFill="1" applyBorder="1" applyAlignment="1" applyProtection="1">
      <alignment horizontal="center"/>
      <protection locked="0" hidden="1"/>
    </xf>
    <xf numFmtId="0" fontId="10" fillId="8" borderId="14" xfId="0" applyFont="1" applyFill="1" applyBorder="1" applyProtection="1">
      <protection locked="0" hidden="1"/>
    </xf>
    <xf numFmtId="0" fontId="17" fillId="8" borderId="15" xfId="0" applyFont="1" applyFill="1" applyBorder="1" applyAlignment="1" applyProtection="1">
      <alignment vertical="center"/>
      <protection locked="0" hidden="1"/>
    </xf>
    <xf numFmtId="0" fontId="10" fillId="8" borderId="0" xfId="0" applyFont="1" applyFill="1" applyProtection="1">
      <protection locked="0" hidden="1"/>
    </xf>
    <xf numFmtId="0" fontId="15" fillId="8" borderId="0" xfId="0" applyFont="1" applyFill="1" applyAlignment="1" applyProtection="1">
      <alignment horizontal="left" vertical="center" indent="1"/>
      <protection locked="0" hidden="1"/>
    </xf>
    <xf numFmtId="0" fontId="9" fillId="8" borderId="0" xfId="0" applyFont="1" applyFill="1" applyProtection="1">
      <protection locked="0" hidden="1"/>
    </xf>
    <xf numFmtId="0" fontId="10" fillId="8" borderId="0" xfId="0" applyFont="1" applyFill="1" applyAlignment="1" applyProtection="1">
      <alignment horizontal="center"/>
      <protection locked="0" hidden="1"/>
    </xf>
    <xf numFmtId="0" fontId="9" fillId="8" borderId="0" xfId="0" applyFont="1" applyFill="1" applyAlignment="1" applyProtection="1">
      <alignment horizontal="center"/>
      <protection locked="0" hidden="1"/>
    </xf>
    <xf numFmtId="0" fontId="10" fillId="8" borderId="16" xfId="0" applyFont="1" applyFill="1" applyBorder="1" applyProtection="1">
      <protection locked="0" hidden="1"/>
    </xf>
    <xf numFmtId="0" fontId="18" fillId="8" borderId="0" xfId="0" applyFont="1" applyFill="1" applyAlignment="1" applyProtection="1">
      <alignment horizontal="left"/>
      <protection locked="0" hidden="1"/>
    </xf>
    <xf numFmtId="0" fontId="18" fillId="8" borderId="0" xfId="0" applyFont="1" applyFill="1" applyAlignment="1" applyProtection="1">
      <alignment horizontal="center"/>
      <protection locked="0" hidden="1"/>
    </xf>
    <xf numFmtId="0" fontId="10" fillId="8" borderId="0" xfId="11" applyFont="1" applyFill="1" applyBorder="1" applyAlignment="1" applyProtection="1">
      <alignment horizontal="left" vertical="center" wrapText="1"/>
      <protection locked="0" hidden="1"/>
    </xf>
    <xf numFmtId="0" fontId="17" fillId="8" borderId="16" xfId="0" applyFont="1" applyFill="1" applyBorder="1" applyAlignment="1" applyProtection="1">
      <alignment vertical="center"/>
      <protection locked="0" hidden="1"/>
    </xf>
    <xf numFmtId="0" fontId="10" fillId="8" borderId="0" xfId="11" applyFont="1" applyFill="1" applyBorder="1" applyAlignment="1" applyProtection="1">
      <alignment horizontal="left" wrapText="1"/>
      <protection locked="0" hidden="1"/>
    </xf>
    <xf numFmtId="0" fontId="20" fillId="8" borderId="0" xfId="0" applyFont="1" applyFill="1" applyAlignment="1" applyProtection="1">
      <alignment vertical="center"/>
      <protection locked="0" hidden="1"/>
    </xf>
    <xf numFmtId="0" fontId="20" fillId="8" borderId="0" xfId="0" applyFont="1" applyFill="1" applyAlignment="1" applyProtection="1">
      <alignment horizontal="center" vertical="center"/>
      <protection locked="0" hidden="1"/>
    </xf>
    <xf numFmtId="49" fontId="11" fillId="8" borderId="0" xfId="0" applyNumberFormat="1" applyFont="1" applyFill="1" applyAlignment="1" applyProtection="1">
      <alignment horizontal="right"/>
      <protection locked="0" hidden="1"/>
    </xf>
    <xf numFmtId="0" fontId="10" fillId="8" borderId="0" xfId="11" applyFont="1" applyFill="1" applyBorder="1" applyAlignment="1" applyProtection="1">
      <alignment horizontal="center" vertical="center" wrapText="1"/>
      <protection locked="0" hidden="1"/>
    </xf>
    <xf numFmtId="0" fontId="10" fillId="8" borderId="16" xfId="11" applyFont="1" applyFill="1" applyBorder="1" applyAlignment="1" applyProtection="1">
      <alignment horizontal="left" vertical="center" wrapText="1"/>
      <protection locked="0" hidden="1"/>
    </xf>
    <xf numFmtId="0" fontId="12" fillId="8" borderId="0" xfId="11" applyFont="1" applyFill="1" applyBorder="1" applyAlignment="1" applyProtection="1">
      <alignment horizontal="left" vertical="center" wrapText="1"/>
      <protection locked="0" hidden="1"/>
    </xf>
    <xf numFmtId="49" fontId="11" fillId="8" borderId="0" xfId="0" applyNumberFormat="1" applyFont="1" applyFill="1" applyAlignment="1" applyProtection="1">
      <alignment horizontal="center"/>
      <protection locked="0" hidden="1"/>
    </xf>
    <xf numFmtId="49" fontId="11" fillId="8" borderId="0" xfId="0" applyNumberFormat="1" applyFont="1" applyFill="1" applyAlignment="1" applyProtection="1">
      <alignment horizontal="left"/>
      <protection locked="0" hidden="1"/>
    </xf>
    <xf numFmtId="0" fontId="9" fillId="8" borderId="16" xfId="0" applyFont="1" applyFill="1" applyBorder="1" applyProtection="1">
      <protection locked="0" hidden="1"/>
    </xf>
    <xf numFmtId="0" fontId="9" fillId="8" borderId="15" xfId="0" applyFont="1" applyFill="1" applyBorder="1" applyProtection="1">
      <protection locked="0" hidden="1"/>
    </xf>
    <xf numFmtId="0" fontId="14" fillId="8" borderId="0" xfId="0" applyFont="1" applyFill="1" applyAlignment="1" applyProtection="1">
      <alignment wrapText="1"/>
      <protection locked="0" hidden="1"/>
    </xf>
    <xf numFmtId="0" fontId="13" fillId="8" borderId="0" xfId="0" applyFont="1" applyFill="1" applyAlignment="1" applyProtection="1">
      <alignment horizontal="left" vertical="center" wrapText="1"/>
      <protection locked="0" hidden="1"/>
    </xf>
    <xf numFmtId="0" fontId="14" fillId="8" borderId="0" xfId="0" applyFont="1" applyFill="1" applyAlignment="1" applyProtection="1">
      <alignment horizontal="center" wrapText="1"/>
      <protection locked="0" hidden="1"/>
    </xf>
    <xf numFmtId="0" fontId="14" fillId="8" borderId="0" xfId="0" applyFont="1" applyFill="1" applyAlignment="1" applyProtection="1">
      <alignment horizontal="center" vertical="center" wrapText="1"/>
      <protection locked="0" hidden="1"/>
    </xf>
    <xf numFmtId="0" fontId="12" fillId="8" borderId="0" xfId="0" applyFont="1" applyFill="1" applyProtection="1">
      <protection locked="0" hidden="1"/>
    </xf>
    <xf numFmtId="0" fontId="7" fillId="8" borderId="0" xfId="11" applyFill="1" applyBorder="1" applyProtection="1">
      <protection locked="0" hidden="1"/>
    </xf>
    <xf numFmtId="0" fontId="9" fillId="8" borderId="17" xfId="0" applyFont="1" applyFill="1" applyBorder="1" applyProtection="1">
      <protection locked="0" hidden="1"/>
    </xf>
    <xf numFmtId="0" fontId="9" fillId="8" borderId="18" xfId="0" applyFont="1" applyFill="1" applyBorder="1" applyProtection="1">
      <protection locked="0" hidden="1"/>
    </xf>
    <xf numFmtId="0" fontId="9" fillId="8" borderId="18" xfId="0" applyFont="1" applyFill="1" applyBorder="1" applyAlignment="1" applyProtection="1">
      <alignment horizontal="center"/>
      <protection locked="0" hidden="1"/>
    </xf>
    <xf numFmtId="0" fontId="9" fillId="8" borderId="19" xfId="0" applyFont="1" applyFill="1" applyBorder="1" applyProtection="1">
      <protection locked="0" hidden="1"/>
    </xf>
    <xf numFmtId="0" fontId="48" fillId="0" borderId="5" xfId="1" applyNumberFormat="1" applyFont="1" applyFill="1" applyBorder="1" applyAlignment="1" applyProtection="1">
      <alignment horizontal="center" vertical="center"/>
      <protection locked="0" hidden="1"/>
    </xf>
    <xf numFmtId="172" fontId="9" fillId="4" borderId="0" xfId="0" applyNumberFormat="1" applyFont="1" applyFill="1" applyAlignment="1" applyProtection="1">
      <alignment horizontal="right"/>
      <protection locked="0"/>
    </xf>
    <xf numFmtId="0" fontId="33" fillId="0" borderId="12" xfId="0" applyFont="1" applyBorder="1" applyAlignment="1" applyProtection="1">
      <alignment vertical="center"/>
      <protection locked="0" hidden="1"/>
    </xf>
    <xf numFmtId="0" fontId="32" fillId="0" borderId="13" xfId="0" applyFont="1" applyBorder="1" applyAlignment="1" applyProtection="1">
      <alignment horizontal="center" vertical="center"/>
      <protection locked="0" hidden="1"/>
    </xf>
    <xf numFmtId="0" fontId="32" fillId="0" borderId="14" xfId="0" applyFont="1" applyBorder="1" applyAlignment="1" applyProtection="1">
      <alignment horizontal="center" vertical="center"/>
      <protection locked="0" hidden="1"/>
    </xf>
    <xf numFmtId="0" fontId="33" fillId="0" borderId="15" xfId="0" applyFont="1" applyBorder="1" applyAlignment="1" applyProtection="1">
      <alignment vertical="center"/>
      <protection locked="0" hidden="1"/>
    </xf>
    <xf numFmtId="0" fontId="36" fillId="0" borderId="0" xfId="0" applyFont="1" applyAlignment="1" applyProtection="1">
      <alignment horizontal="center" vertical="center"/>
      <protection locked="0" hidden="1"/>
    </xf>
    <xf numFmtId="0" fontId="32" fillId="0" borderId="16" xfId="0" applyFont="1" applyBorder="1" applyAlignment="1" applyProtection="1">
      <alignment horizontal="center" vertical="center"/>
      <protection locked="0" hidden="1"/>
    </xf>
    <xf numFmtId="0" fontId="32" fillId="3" borderId="0" xfId="0" applyFont="1" applyFill="1" applyAlignment="1" applyProtection="1">
      <alignment vertical="center"/>
      <protection locked="0" hidden="1"/>
    </xf>
    <xf numFmtId="168" fontId="32" fillId="0" borderId="16" xfId="2" applyNumberFormat="1" applyFont="1" applyFill="1" applyBorder="1" applyAlignment="1" applyProtection="1">
      <alignment horizontal="center" vertical="center"/>
      <protection locked="0" hidden="1"/>
    </xf>
    <xf numFmtId="0" fontId="33" fillId="0" borderId="0" xfId="0" applyFont="1" applyAlignment="1" applyProtection="1">
      <alignment vertical="center"/>
      <protection locked="0" hidden="1"/>
    </xf>
    <xf numFmtId="168" fontId="33" fillId="0" borderId="16" xfId="2" applyNumberFormat="1" applyFont="1" applyFill="1" applyBorder="1" applyAlignment="1" applyProtection="1">
      <alignment horizontal="center" vertical="center"/>
      <protection locked="0" hidden="1"/>
    </xf>
    <xf numFmtId="168" fontId="32" fillId="6" borderId="0" xfId="0" applyNumberFormat="1" applyFont="1" applyFill="1" applyAlignment="1" applyProtection="1">
      <alignment horizontal="center" vertical="center"/>
      <protection locked="0" hidden="1"/>
    </xf>
    <xf numFmtId="0" fontId="33" fillId="0" borderId="17" xfId="0" applyFont="1" applyBorder="1" applyAlignment="1" applyProtection="1">
      <alignment vertical="center"/>
      <protection locked="0" hidden="1"/>
    </xf>
    <xf numFmtId="0" fontId="33" fillId="0" borderId="18" xfId="0" applyFont="1" applyBorder="1" applyAlignment="1" applyProtection="1">
      <alignment vertical="center"/>
      <protection locked="0" hidden="1"/>
    </xf>
    <xf numFmtId="0" fontId="33" fillId="0" borderId="18" xfId="0" applyFont="1" applyBorder="1" applyAlignment="1" applyProtection="1">
      <alignment horizontal="center" vertical="center"/>
      <protection locked="0" hidden="1"/>
    </xf>
    <xf numFmtId="0" fontId="33" fillId="0" borderId="19" xfId="0" applyFont="1" applyBorder="1" applyAlignment="1" applyProtection="1">
      <alignment horizontal="center" vertical="center"/>
      <protection locked="0" hidden="1"/>
    </xf>
    <xf numFmtId="0" fontId="33" fillId="2" borderId="12" xfId="0" applyFont="1" applyFill="1" applyBorder="1" applyAlignment="1" applyProtection="1">
      <alignment vertical="center"/>
      <protection locked="0" hidden="1"/>
    </xf>
    <xf numFmtId="0" fontId="33" fillId="2" borderId="13" xfId="0" applyFont="1" applyFill="1" applyBorder="1" applyAlignment="1" applyProtection="1">
      <alignment vertical="center"/>
      <protection locked="0" hidden="1"/>
    </xf>
    <xf numFmtId="0" fontId="33" fillId="2" borderId="13" xfId="0" applyFont="1" applyFill="1" applyBorder="1" applyAlignment="1" applyProtection="1">
      <alignment horizontal="center" vertical="center"/>
      <protection locked="0" hidden="1"/>
    </xf>
    <xf numFmtId="0" fontId="32" fillId="2" borderId="14" xfId="0" applyFont="1" applyFill="1" applyBorder="1" applyAlignment="1" applyProtection="1">
      <alignment horizontal="center" vertical="center"/>
      <protection locked="0" hidden="1"/>
    </xf>
    <xf numFmtId="0" fontId="33" fillId="0" borderId="16" xfId="0" applyFont="1" applyBorder="1" applyAlignment="1" applyProtection="1">
      <alignment horizontal="center" vertical="center" wrapText="1"/>
      <protection locked="0" hidden="1"/>
    </xf>
    <xf numFmtId="168" fontId="33" fillId="0" borderId="16" xfId="2" applyNumberFormat="1" applyFont="1" applyFill="1" applyBorder="1" applyAlignment="1" applyProtection="1">
      <alignment horizontal="center" vertical="center" wrapText="1"/>
      <protection locked="0" hidden="1"/>
    </xf>
    <xf numFmtId="0" fontId="33" fillId="2" borderId="17" xfId="0" applyFont="1" applyFill="1" applyBorder="1" applyAlignment="1" applyProtection="1">
      <alignment vertical="center"/>
      <protection locked="0" hidden="1"/>
    </xf>
    <xf numFmtId="0" fontId="33" fillId="2" borderId="18" xfId="0" applyFont="1" applyFill="1" applyBorder="1" applyAlignment="1" applyProtection="1">
      <alignment vertical="center"/>
      <protection locked="0" hidden="1"/>
    </xf>
    <xf numFmtId="0" fontId="33" fillId="2" borderId="18" xfId="0" applyFont="1" applyFill="1" applyBorder="1" applyAlignment="1" applyProtection="1">
      <alignment horizontal="center" vertical="center"/>
      <protection locked="0" hidden="1"/>
    </xf>
    <xf numFmtId="0" fontId="33" fillId="2" borderId="19" xfId="0" applyFont="1" applyFill="1" applyBorder="1" applyAlignment="1" applyProtection="1">
      <alignment horizontal="center" vertical="center"/>
      <protection locked="0" hidden="1"/>
    </xf>
    <xf numFmtId="0" fontId="33" fillId="2" borderId="14" xfId="0" applyFont="1" applyFill="1" applyBorder="1" applyAlignment="1" applyProtection="1">
      <alignment vertical="center"/>
      <protection locked="0" hidden="1"/>
    </xf>
    <xf numFmtId="0" fontId="33" fillId="2" borderId="15" xfId="0" applyFont="1" applyFill="1" applyBorder="1" applyAlignment="1" applyProtection="1">
      <alignment vertical="center"/>
      <protection locked="0" hidden="1"/>
    </xf>
    <xf numFmtId="0" fontId="33" fillId="2" borderId="16" xfId="0" applyFont="1" applyFill="1" applyBorder="1" applyAlignment="1" applyProtection="1">
      <alignment vertical="center"/>
      <protection locked="0" hidden="1"/>
    </xf>
    <xf numFmtId="0" fontId="38" fillId="2" borderId="18" xfId="0" applyFont="1" applyFill="1" applyBorder="1" applyAlignment="1" applyProtection="1">
      <alignment vertical="center"/>
      <protection locked="0" hidden="1"/>
    </xf>
    <xf numFmtId="0" fontId="33" fillId="2" borderId="19" xfId="0" applyFont="1" applyFill="1" applyBorder="1" applyAlignment="1" applyProtection="1">
      <alignment vertical="center"/>
      <protection locked="0" hidden="1"/>
    </xf>
    <xf numFmtId="0" fontId="48" fillId="0" borderId="0" xfId="0" applyFont="1" applyAlignment="1" applyProtection="1">
      <alignment horizontal="center" vertical="center"/>
      <protection locked="0" hidden="1"/>
    </xf>
    <xf numFmtId="0" fontId="33" fillId="0" borderId="0" xfId="0" applyFont="1" applyAlignment="1" applyProtection="1">
      <alignment vertical="center" wrapText="1"/>
      <protection locked="0" hidden="1"/>
    </xf>
    <xf numFmtId="0" fontId="32" fillId="0" borderId="12" xfId="0" applyFont="1" applyBorder="1" applyAlignment="1" applyProtection="1">
      <alignment horizontal="center" vertical="center"/>
      <protection locked="0" hidden="1"/>
    </xf>
    <xf numFmtId="0" fontId="33" fillId="0" borderId="13" xfId="0" applyFont="1" applyBorder="1" applyAlignment="1" applyProtection="1">
      <alignment vertical="center"/>
      <protection locked="0" hidden="1"/>
    </xf>
    <xf numFmtId="0" fontId="33" fillId="0" borderId="14" xfId="0" applyFont="1" applyBorder="1" applyAlignment="1" applyProtection="1">
      <alignment vertical="center"/>
      <protection locked="0" hidden="1"/>
    </xf>
    <xf numFmtId="0" fontId="34" fillId="0" borderId="0" xfId="0" applyFont="1" applyAlignment="1" applyProtection="1">
      <alignment horizontal="center" vertical="center"/>
      <protection locked="0" hidden="1"/>
    </xf>
    <xf numFmtId="0" fontId="33" fillId="0" borderId="16" xfId="0" applyFont="1" applyBorder="1" applyAlignment="1" applyProtection="1">
      <alignment vertical="center"/>
      <protection locked="0" hidden="1"/>
    </xf>
    <xf numFmtId="0" fontId="33" fillId="0" borderId="0" xfId="0" applyFont="1" applyAlignment="1" applyProtection="1">
      <alignment horizontal="left" vertical="center"/>
      <protection locked="0" hidden="1"/>
    </xf>
    <xf numFmtId="172" fontId="33" fillId="0" borderId="0" xfId="0" applyNumberFormat="1" applyFont="1" applyAlignment="1" applyProtection="1">
      <alignment vertical="center"/>
      <protection locked="0" hidden="1"/>
    </xf>
    <xf numFmtId="172" fontId="31" fillId="5" borderId="0" xfId="0" applyNumberFormat="1" applyFont="1" applyFill="1" applyAlignment="1" applyProtection="1">
      <alignment vertical="center"/>
      <protection locked="0" hidden="1"/>
    </xf>
    <xf numFmtId="178" fontId="33" fillId="0" borderId="0" xfId="0" applyNumberFormat="1" applyFont="1" applyAlignment="1" applyProtection="1">
      <alignment vertical="center"/>
      <protection locked="0" hidden="1"/>
    </xf>
    <xf numFmtId="0" fontId="33" fillId="3" borderId="0" xfId="0" applyFont="1" applyFill="1" applyAlignment="1" applyProtection="1">
      <alignment horizontal="left" vertical="center"/>
      <protection locked="0" hidden="1"/>
    </xf>
    <xf numFmtId="172" fontId="33" fillId="3" borderId="0" xfId="0" applyNumberFormat="1" applyFont="1" applyFill="1" applyAlignment="1" applyProtection="1">
      <alignment vertical="center"/>
      <protection locked="0" hidden="1"/>
    </xf>
    <xf numFmtId="178" fontId="33" fillId="3" borderId="0" xfId="0" applyNumberFormat="1" applyFont="1" applyFill="1" applyAlignment="1" applyProtection="1">
      <alignment vertical="center"/>
      <protection locked="0" hidden="1"/>
    </xf>
    <xf numFmtId="175" fontId="33" fillId="3" borderId="0" xfId="0" applyNumberFormat="1" applyFont="1" applyFill="1" applyAlignment="1" applyProtection="1">
      <alignment vertical="center"/>
      <protection locked="0" hidden="1"/>
    </xf>
    <xf numFmtId="175" fontId="31" fillId="5" borderId="0" xfId="0" applyNumberFormat="1" applyFont="1" applyFill="1" applyAlignment="1" applyProtection="1">
      <alignment vertical="center"/>
      <protection locked="0" hidden="1"/>
    </xf>
    <xf numFmtId="179" fontId="33" fillId="3" borderId="0" xfId="0" applyNumberFormat="1" applyFont="1" applyFill="1" applyAlignment="1" applyProtection="1">
      <alignment vertical="center"/>
      <protection locked="0" hidden="1"/>
    </xf>
    <xf numFmtId="175" fontId="33" fillId="0" borderId="0" xfId="0" applyNumberFormat="1" applyFont="1" applyAlignment="1" applyProtection="1">
      <alignment vertical="center"/>
      <protection locked="0" hidden="1"/>
    </xf>
    <xf numFmtId="179" fontId="33" fillId="0" borderId="0" xfId="0" applyNumberFormat="1" applyFont="1" applyAlignment="1" applyProtection="1">
      <alignment vertical="center"/>
      <protection locked="0" hidden="1"/>
    </xf>
    <xf numFmtId="0" fontId="32" fillId="0" borderId="0" xfId="0" applyFont="1" applyAlignment="1" applyProtection="1">
      <alignment horizontal="left" vertical="center"/>
      <protection locked="0" hidden="1"/>
    </xf>
    <xf numFmtId="172" fontId="32" fillId="2" borderId="18" xfId="1" applyNumberFormat="1" applyFont="1" applyFill="1" applyBorder="1" applyAlignment="1" applyProtection="1">
      <alignment horizontal="right" vertical="center"/>
      <protection locked="0" hidden="1"/>
    </xf>
    <xf numFmtId="0" fontId="31" fillId="2" borderId="18" xfId="0" applyFont="1" applyFill="1" applyBorder="1" applyAlignment="1" applyProtection="1">
      <alignment vertical="center"/>
      <protection locked="0" hidden="1"/>
    </xf>
    <xf numFmtId="0" fontId="33" fillId="0" borderId="19" xfId="0" applyFont="1" applyBorder="1" applyAlignment="1" applyProtection="1">
      <alignment vertical="center"/>
      <protection locked="0" hidden="1"/>
    </xf>
    <xf numFmtId="172" fontId="32" fillId="0" borderId="13" xfId="1" applyNumberFormat="1" applyFont="1" applyFill="1" applyBorder="1" applyAlignment="1" applyProtection="1">
      <alignment horizontal="right" vertical="center"/>
      <protection locked="0" hidden="1"/>
    </xf>
    <xf numFmtId="0" fontId="31" fillId="0" borderId="13" xfId="0" applyFont="1" applyBorder="1" applyAlignment="1" applyProtection="1">
      <alignment vertical="center"/>
      <protection locked="0" hidden="1"/>
    </xf>
    <xf numFmtId="0" fontId="32" fillId="0" borderId="0" xfId="0" applyFont="1" applyAlignment="1" applyProtection="1">
      <alignment vertical="center"/>
      <protection locked="0" hidden="1"/>
    </xf>
    <xf numFmtId="0" fontId="31" fillId="7" borderId="0" xfId="0" applyFont="1" applyFill="1" applyAlignment="1" applyProtection="1">
      <alignment vertical="center"/>
      <protection locked="0" hidden="1"/>
    </xf>
    <xf numFmtId="0" fontId="33" fillId="4" borderId="0" xfId="0" applyFont="1" applyFill="1" applyAlignment="1" applyProtection="1">
      <alignment horizontal="left" vertical="center"/>
      <protection locked="0" hidden="1"/>
    </xf>
    <xf numFmtId="0" fontId="33" fillId="0" borderId="0" xfId="0" applyFont="1" applyAlignment="1" applyProtection="1">
      <alignment horizontal="left" vertical="center" indent="2"/>
      <protection locked="0" hidden="1"/>
    </xf>
    <xf numFmtId="0" fontId="33" fillId="4" borderId="0" xfId="0" applyFont="1" applyFill="1" applyAlignment="1" applyProtection="1">
      <alignment vertical="center"/>
      <protection locked="0" hidden="1"/>
    </xf>
    <xf numFmtId="175" fontId="9" fillId="0" borderId="0" xfId="0" applyNumberFormat="1" applyFont="1" applyProtection="1">
      <protection locked="0"/>
    </xf>
    <xf numFmtId="164" fontId="9" fillId="0" borderId="0" xfId="1" applyFont="1" applyProtection="1">
      <protection locked="0"/>
    </xf>
    <xf numFmtId="186" fontId="9" fillId="0" borderId="0" xfId="0" applyNumberFormat="1" applyFont="1" applyProtection="1">
      <protection locked="0"/>
    </xf>
    <xf numFmtId="175" fontId="9" fillId="0" borderId="0" xfId="1" applyNumberFormat="1" applyFont="1" applyFill="1" applyAlignment="1" applyProtection="1">
      <alignment horizontal="right"/>
      <protection locked="0"/>
    </xf>
    <xf numFmtId="164" fontId="9" fillId="0" borderId="0" xfId="1" applyFont="1" applyFill="1" applyProtection="1">
      <protection locked="0"/>
    </xf>
    <xf numFmtId="174" fontId="9" fillId="0" borderId="0" xfId="0" applyNumberFormat="1" applyFont="1" applyProtection="1">
      <protection locked="0"/>
    </xf>
    <xf numFmtId="171" fontId="9" fillId="3" borderId="0" xfId="0" applyNumberFormat="1" applyFont="1" applyFill="1" applyProtection="1">
      <protection locked="0"/>
    </xf>
    <xf numFmtId="172" fontId="25" fillId="0" borderId="0" xfId="0" applyNumberFormat="1" applyFont="1" applyAlignment="1" applyProtection="1">
      <alignment horizontal="right" vertical="center" wrapText="1"/>
      <protection locked="0"/>
    </xf>
    <xf numFmtId="165" fontId="25" fillId="0" borderId="0" xfId="0" applyNumberFormat="1" applyFont="1" applyAlignment="1" applyProtection="1">
      <alignment horizontal="right" vertical="center" wrapText="1"/>
      <protection locked="0"/>
    </xf>
    <xf numFmtId="168" fontId="25" fillId="0" borderId="0" xfId="2" applyNumberFormat="1" applyFont="1" applyFill="1" applyAlignment="1" applyProtection="1">
      <alignment horizontal="right" vertical="center" wrapText="1"/>
      <protection locked="0"/>
    </xf>
    <xf numFmtId="0" fontId="26" fillId="0" borderId="9" xfId="0" applyFont="1" applyBorder="1" applyAlignment="1" applyProtection="1">
      <alignment horizontal="left" vertical="center" wrapText="1"/>
      <protection locked="0" hidden="1"/>
    </xf>
    <xf numFmtId="167" fontId="26" fillId="0" borderId="9" xfId="0" applyNumberFormat="1" applyFont="1" applyBorder="1" applyAlignment="1" applyProtection="1">
      <alignment horizontal="right" vertical="center" wrapText="1"/>
      <protection locked="0"/>
    </xf>
    <xf numFmtId="167" fontId="26" fillId="0" borderId="0" xfId="0" applyNumberFormat="1" applyFont="1" applyAlignment="1" applyProtection="1">
      <alignment horizontal="right" vertical="center" wrapText="1"/>
      <protection locked="0"/>
    </xf>
    <xf numFmtId="0" fontId="27" fillId="0" borderId="0" xfId="0" applyFont="1" applyAlignment="1" applyProtection="1">
      <alignment horizontal="left" vertical="center" indent="7"/>
      <protection locked="0" hidden="1"/>
    </xf>
    <xf numFmtId="0" fontId="27" fillId="0" borderId="0" xfId="0" applyFont="1" applyAlignment="1" applyProtection="1">
      <alignment horizontal="left" vertical="center" indent="3"/>
      <protection locked="0" hidden="1"/>
    </xf>
    <xf numFmtId="0" fontId="27" fillId="0" borderId="0" xfId="0" applyFont="1" applyAlignment="1" applyProtection="1">
      <alignment horizontal="left" vertical="center" indent="9"/>
      <protection locked="0" hidden="1"/>
    </xf>
    <xf numFmtId="168" fontId="21" fillId="0" borderId="0" xfId="2" applyNumberFormat="1" applyFont="1" applyFill="1" applyAlignment="1" applyProtection="1">
      <alignment horizontal="right"/>
      <protection locked="0"/>
    </xf>
    <xf numFmtId="185" fontId="9" fillId="0" borderId="0" xfId="2" applyNumberFormat="1" applyFont="1" applyFill="1" applyBorder="1" applyAlignment="1" applyProtection="1">
      <alignment horizontal="right"/>
      <protection locked="0"/>
    </xf>
    <xf numFmtId="172" fontId="25" fillId="0" borderId="9" xfId="0" applyNumberFormat="1" applyFont="1" applyBorder="1" applyAlignment="1" applyProtection="1">
      <alignment horizontal="right" vertical="center" wrapText="1"/>
      <protection locked="0"/>
    </xf>
    <xf numFmtId="168" fontId="25" fillId="0" borderId="9" xfId="2" applyNumberFormat="1" applyFont="1" applyFill="1" applyBorder="1" applyAlignment="1" applyProtection="1">
      <alignment horizontal="right" vertical="center" wrapText="1"/>
      <protection locked="0"/>
    </xf>
    <xf numFmtId="172" fontId="9" fillId="3" borderId="9" xfId="1" applyNumberFormat="1" applyFont="1" applyFill="1" applyBorder="1" applyProtection="1">
      <protection locked="0"/>
    </xf>
    <xf numFmtId="168" fontId="9" fillId="3" borderId="9" xfId="2" applyNumberFormat="1" applyFont="1" applyFill="1" applyBorder="1" applyAlignment="1" applyProtection="1">
      <alignment horizontal="right"/>
      <protection locked="0"/>
    </xf>
    <xf numFmtId="168" fontId="9" fillId="3" borderId="9" xfId="2" applyNumberFormat="1" applyFont="1" applyFill="1" applyBorder="1" applyProtection="1">
      <protection locked="0"/>
    </xf>
    <xf numFmtId="185" fontId="9" fillId="3" borderId="9" xfId="2" applyNumberFormat="1" applyFont="1" applyFill="1" applyBorder="1" applyAlignment="1" applyProtection="1">
      <alignment horizontal="right"/>
      <protection locked="0"/>
    </xf>
    <xf numFmtId="165" fontId="9" fillId="3" borderId="0" xfId="1" applyNumberFormat="1" applyFont="1" applyFill="1" applyBorder="1" applyAlignment="1" applyProtection="1">
      <alignment horizontal="left" vertical="center" wrapText="1" indent="2"/>
      <protection locked="0" hidden="1"/>
    </xf>
    <xf numFmtId="9" fontId="9" fillId="4" borderId="0" xfId="2" applyFont="1" applyFill="1" applyAlignment="1" applyProtection="1">
      <alignment horizontal="right"/>
      <protection locked="0"/>
    </xf>
    <xf numFmtId="172" fontId="9" fillId="0" borderId="0" xfId="1" applyNumberFormat="1" applyFont="1" applyProtection="1">
      <protection locked="0"/>
    </xf>
    <xf numFmtId="0" fontId="19" fillId="8" borderId="0" xfId="0" applyFont="1" applyFill="1" applyAlignment="1" applyProtection="1">
      <alignment horizontal="center" vertical="center"/>
      <protection locked="0" hidden="1"/>
    </xf>
    <xf numFmtId="0" fontId="9"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9" fillId="0" borderId="0" xfId="0" applyFont="1" applyAlignment="1" applyProtection="1">
      <alignment horizontal="center" vertical="center"/>
      <protection locked="0"/>
    </xf>
    <xf numFmtId="0" fontId="50" fillId="2" borderId="0" xfId="0" applyFont="1" applyFill="1" applyAlignment="1" applyProtection="1">
      <alignment horizontal="center" vertical="center"/>
      <protection locked="0" hidden="1"/>
    </xf>
    <xf numFmtId="0" fontId="9" fillId="2" borderId="0" xfId="0" applyFont="1" applyFill="1" applyAlignment="1" applyProtection="1">
      <alignment horizontal="left" vertical="top" wrapText="1"/>
      <protection locked="0" hidden="1"/>
    </xf>
    <xf numFmtId="0" fontId="9" fillId="2" borderId="16" xfId="0" applyFont="1" applyFill="1" applyBorder="1" applyAlignment="1" applyProtection="1">
      <alignment horizontal="left" vertical="top" wrapText="1"/>
      <protection locked="0" hidden="1"/>
    </xf>
    <xf numFmtId="0" fontId="33" fillId="3" borderId="0" xfId="0" applyFont="1" applyFill="1" applyAlignment="1" applyProtection="1">
      <alignment horizontal="center" vertical="center" wrapText="1"/>
      <protection locked="0" hidden="1"/>
    </xf>
    <xf numFmtId="0" fontId="37" fillId="0" borderId="13" xfId="0" applyFont="1" applyBorder="1" applyAlignment="1" applyProtection="1">
      <alignment horizontal="center" vertical="center"/>
      <protection locked="0" hidden="1"/>
    </xf>
    <xf numFmtId="0" fontId="33" fillId="2" borderId="0" xfId="0" applyFont="1" applyFill="1" applyAlignment="1" applyProtection="1">
      <alignment horizontal="left" wrapText="1"/>
      <protection locked="0" hidden="1"/>
    </xf>
    <xf numFmtId="0" fontId="33" fillId="2" borderId="16" xfId="0" applyFont="1" applyFill="1" applyBorder="1" applyAlignment="1" applyProtection="1">
      <alignment horizontal="left" wrapText="1"/>
      <protection locked="0" hidden="1"/>
    </xf>
  </cellXfs>
  <cellStyles count="12">
    <cellStyle name="Comma" xfId="1" builtinId="3"/>
    <cellStyle name="Estilo 2" xfId="8" xr:uid="{00000000-0005-0000-0000-000000000000}"/>
    <cellStyle name="Hyperlink" xfId="11" builtinId="8"/>
    <cellStyle name="Normal" xfId="0" builtinId="0"/>
    <cellStyle name="Normal 11" xfId="5" xr:uid="{00000000-0005-0000-0000-000002000000}"/>
    <cellStyle name="Normal 2" xfId="9" xr:uid="{00000000-0005-0000-0000-000003000000}"/>
    <cellStyle name="Normal 22" xfId="10" xr:uid="{2EEDC521-205B-2040-ACE3-A03EF593B3D5}"/>
    <cellStyle name="Normal 6 2 2" xfId="4" xr:uid="{00000000-0005-0000-0000-000004000000}"/>
    <cellStyle name="Percent" xfId="2" builtinId="5"/>
    <cellStyle name="Vírgula 3" xfId="7" xr:uid="{00000000-0005-0000-0000-000007000000}"/>
    <cellStyle name="Vírgula 4" xfId="3" xr:uid="{00000000-0005-0000-0000-000008000000}"/>
    <cellStyle name="Vírgula 7" xfId="6" xr:uid="{00000000-0005-0000-0000-000009000000}"/>
  </cellStyles>
  <dxfs count="0"/>
  <tableStyles count="0" defaultTableStyle="TableStyleMedium2" defaultPivotStyle="PivotStyleLight16"/>
  <colors>
    <mruColors>
      <color rgb="FFFFE9D0"/>
      <color rgb="FFFBE6CB"/>
      <color rgb="FF72350C"/>
      <color rgb="FFFBE5CB"/>
      <color rgb="FFEC7100"/>
      <color rgb="FFF2F2F2"/>
      <color rgb="FFD9D9D9"/>
      <color rgb="FFE1E2E1"/>
      <color rgb="FFEA7100"/>
      <color rgb="FFEB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1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2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2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ummary | Sum&#225;rio'!A1"/><Relationship Id="rId1" Type="http://schemas.openxmlformats.org/officeDocument/2006/relationships/image" Target="../media/image5.jpeg"/><Relationship Id="rId4" Type="http://schemas.openxmlformats.org/officeDocument/2006/relationships/image" Target="../media/image4.svg"/></Relationships>
</file>

<file path=xl/drawings/_rels/drawing2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Summary | Sum&#225;rio'!A1"/></Relationships>
</file>

<file path=xl/drawings/drawing1.xml><?xml version="1.0" encoding="utf-8"?>
<xdr:wsDr xmlns:xdr="http://schemas.openxmlformats.org/drawingml/2006/spreadsheetDrawing" xmlns:a="http://schemas.openxmlformats.org/drawingml/2006/main">
  <xdr:twoCellAnchor>
    <xdr:from>
      <xdr:col>4</xdr:col>
      <xdr:colOff>1239024</xdr:colOff>
      <xdr:row>7</xdr:row>
      <xdr:rowOff>139391</xdr:rowOff>
    </xdr:from>
    <xdr:to>
      <xdr:col>7</xdr:col>
      <xdr:colOff>3199340</xdr:colOff>
      <xdr:row>7</xdr:row>
      <xdr:rowOff>596591</xdr:rowOff>
    </xdr:to>
    <xdr:sp macro="" textlink="">
      <xdr:nvSpPr>
        <xdr:cNvPr id="7" name="Rounded Rectangle 5">
          <a:extLst>
            <a:ext uri="{FF2B5EF4-FFF2-40B4-BE49-F238E27FC236}">
              <a16:creationId xmlns:a16="http://schemas.microsoft.com/office/drawing/2014/main" id="{00000000-0008-0000-0100-000007000000}"/>
            </a:ext>
          </a:extLst>
        </xdr:cNvPr>
        <xdr:cNvSpPr/>
      </xdr:nvSpPr>
      <xdr:spPr>
        <a:xfrm>
          <a:off x="5171927" y="1627886"/>
          <a:ext cx="3803865" cy="457200"/>
        </a:xfrm>
        <a:prstGeom prst="roundRect">
          <a:avLst>
            <a:gd name="adj" fmla="val 26105"/>
          </a:avLst>
        </a:prstGeom>
        <a:solidFill>
          <a:srgbClr val="EA71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Calibri" panose="020F0502020204030204" pitchFamily="34" charset="0"/>
              <a:cs typeface="Calibri" panose="020F0502020204030204" pitchFamily="34" charset="0"/>
            </a:rPr>
            <a:t>Inter&amp;Co</a:t>
          </a:r>
        </a:p>
      </xdr:txBody>
    </xdr:sp>
    <xdr:clientData/>
  </xdr:twoCellAnchor>
  <xdr:twoCellAnchor>
    <xdr:from>
      <xdr:col>8</xdr:col>
      <xdr:colOff>30976</xdr:colOff>
      <xdr:row>7</xdr:row>
      <xdr:rowOff>139390</xdr:rowOff>
    </xdr:from>
    <xdr:to>
      <xdr:col>10</xdr:col>
      <xdr:colOff>3447685</xdr:colOff>
      <xdr:row>7</xdr:row>
      <xdr:rowOff>596590</xdr:rowOff>
    </xdr:to>
    <xdr:sp macro="" textlink="Names!BI1">
      <xdr:nvSpPr>
        <xdr:cNvPr id="8" name="Rounded Rectangle 6">
          <a:extLst>
            <a:ext uri="{FF2B5EF4-FFF2-40B4-BE49-F238E27FC236}">
              <a16:creationId xmlns:a16="http://schemas.microsoft.com/office/drawing/2014/main" id="{00000000-0008-0000-0100-000008000000}"/>
            </a:ext>
          </a:extLst>
        </xdr:cNvPr>
        <xdr:cNvSpPr/>
      </xdr:nvSpPr>
      <xdr:spPr>
        <a:xfrm>
          <a:off x="9262374" y="1627885"/>
          <a:ext cx="3799074" cy="457200"/>
        </a:xfrm>
        <a:prstGeom prst="roundRect">
          <a:avLst>
            <a:gd name="adj" fmla="val 32079"/>
          </a:avLst>
        </a:prstGeom>
        <a:solidFill>
          <a:srgbClr val="FFCA9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04166D6-72A5-9E43-B582-0186843AB261}" type="TxLink">
            <a:rPr lang="en-US" sz="1800" b="1" i="0" u="none" strike="noStrike">
              <a:solidFill>
                <a:schemeClr val="tx1"/>
              </a:solidFill>
              <a:latin typeface="Calibri" panose="020F0502020204030204" pitchFamily="34" charset="0"/>
              <a:cs typeface="Calibri" panose="020F0502020204030204" pitchFamily="34" charset="0"/>
            </a:rPr>
            <a:pPr algn="ctr"/>
            <a:t>Operational Data</a:t>
          </a:fld>
          <a:endParaRPr lang="en-US" sz="1800" b="1">
            <a:solidFill>
              <a:schemeClr val="tx1"/>
            </a:solidFill>
            <a:latin typeface="Calibri" panose="020F0502020204030204" pitchFamily="34" charset="0"/>
            <a:cs typeface="Calibri" panose="020F0502020204030204" pitchFamily="34" charset="0"/>
          </a:endParaRPr>
        </a:p>
      </xdr:txBody>
    </xdr:sp>
    <xdr:clientData/>
  </xdr:twoCellAnchor>
  <xdr:twoCellAnchor>
    <xdr:from>
      <xdr:col>8</xdr:col>
      <xdr:colOff>61804</xdr:colOff>
      <xdr:row>19</xdr:row>
      <xdr:rowOff>177122</xdr:rowOff>
    </xdr:from>
    <xdr:to>
      <xdr:col>10</xdr:col>
      <xdr:colOff>3478513</xdr:colOff>
      <xdr:row>21</xdr:row>
      <xdr:rowOff>231639</xdr:rowOff>
    </xdr:to>
    <xdr:sp macro="" textlink="Names!BI2">
      <xdr:nvSpPr>
        <xdr:cNvPr id="4" name="Rounded Rectangle 6">
          <a:extLst>
            <a:ext uri="{FF2B5EF4-FFF2-40B4-BE49-F238E27FC236}">
              <a16:creationId xmlns:a16="http://schemas.microsoft.com/office/drawing/2014/main" id="{00000000-0008-0000-0100-000004000000}"/>
            </a:ext>
          </a:extLst>
        </xdr:cNvPr>
        <xdr:cNvSpPr/>
      </xdr:nvSpPr>
      <xdr:spPr>
        <a:xfrm>
          <a:off x="9293202" y="4683574"/>
          <a:ext cx="3799074" cy="450538"/>
        </a:xfrm>
        <a:prstGeom prst="roundRect">
          <a:avLst>
            <a:gd name="adj" fmla="val 34845"/>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33C4277-FB5B-444D-8487-FA67393E39B5}" type="TxLink">
            <a:rPr lang="en-US" sz="2000" b="1" i="0" u="none" strike="noStrike">
              <a:solidFill>
                <a:srgbClr val="000000"/>
              </a:solidFill>
              <a:latin typeface="Calibri"/>
              <a:cs typeface="Calibri"/>
            </a:rPr>
            <a:pPr algn="ctr"/>
            <a:t>Others</a:t>
          </a:fld>
          <a:endParaRPr lang="en-US" sz="2000" b="1">
            <a:solidFill>
              <a:schemeClr val="tx1"/>
            </a:solidFill>
            <a:latin typeface="Calibri" panose="020F0502020204030204" pitchFamily="34" charset="0"/>
            <a:cs typeface="Calibri" panose="020F0502020204030204" pitchFamily="34" charset="0"/>
          </a:endParaRPr>
        </a:p>
      </xdr:txBody>
    </xdr:sp>
    <xdr:clientData/>
  </xdr:twoCellAnchor>
  <xdr:twoCellAnchor editAs="oneCell">
    <xdr:from>
      <xdr:col>7</xdr:col>
      <xdr:colOff>1779814</xdr:colOff>
      <xdr:row>2</xdr:row>
      <xdr:rowOff>54572</xdr:rowOff>
    </xdr:from>
    <xdr:to>
      <xdr:col>10</xdr:col>
      <xdr:colOff>1221014</xdr:colOff>
      <xdr:row>3</xdr:row>
      <xdr:rowOff>279416</xdr:rowOff>
    </xdr:to>
    <xdr:pic>
      <xdr:nvPicPr>
        <xdr:cNvPr id="24" name="Picture 23">
          <a:extLst>
            <a:ext uri="{FF2B5EF4-FFF2-40B4-BE49-F238E27FC236}">
              <a16:creationId xmlns:a16="http://schemas.microsoft.com/office/drawing/2014/main" id="{F3E7C130-12D5-8789-A5E1-7B11D1622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9368" y="315376"/>
          <a:ext cx="3285217" cy="509912"/>
        </a:xfrm>
        <a:prstGeom prst="rect">
          <a:avLst/>
        </a:prstGeom>
      </xdr:spPr>
    </xdr:pic>
    <xdr:clientData/>
  </xdr:twoCellAnchor>
  <xdr:twoCellAnchor editAs="oneCell">
    <xdr:from>
      <xdr:col>1</xdr:col>
      <xdr:colOff>0</xdr:colOff>
      <xdr:row>8</xdr:row>
      <xdr:rowOff>81936</xdr:rowOff>
    </xdr:from>
    <xdr:to>
      <xdr:col>4</xdr:col>
      <xdr:colOff>1136077</xdr:colOff>
      <xdr:row>33</xdr:row>
      <xdr:rowOff>28272</xdr:rowOff>
    </xdr:to>
    <xdr:pic>
      <xdr:nvPicPr>
        <xdr:cNvPr id="2" name="Image 8" descr=" ">
          <a:extLst>
            <a:ext uri="{FF2B5EF4-FFF2-40B4-BE49-F238E27FC236}">
              <a16:creationId xmlns:a16="http://schemas.microsoft.com/office/drawing/2014/main" id="{C3134EAE-0EEC-AD40-B3B6-B5089A42BF28}"/>
            </a:ext>
          </a:extLst>
        </xdr:cNvPr>
        <xdr:cNvPicPr>
          <a:picLocks noChangeAspect="1"/>
        </xdr:cNvPicPr>
      </xdr:nvPicPr>
      <xdr:blipFill>
        <a:blip xmlns:r="http://schemas.openxmlformats.org/officeDocument/2006/relationships" r:embed="rId2"/>
        <a:stretch>
          <a:fillRect/>
        </a:stretch>
      </xdr:blipFill>
      <xdr:spPr>
        <a:xfrm>
          <a:off x="259462" y="2171291"/>
          <a:ext cx="4809518" cy="48919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3" name="Group 2">
          <a:extLst>
            <a:ext uri="{FF2B5EF4-FFF2-40B4-BE49-F238E27FC236}">
              <a16:creationId xmlns:a16="http://schemas.microsoft.com/office/drawing/2014/main" id="{CDB15A3B-59CE-F22B-5778-4E355F64813A}"/>
            </a:ext>
          </a:extLst>
        </xdr:cNvPr>
        <xdr:cNvGrpSpPr/>
      </xdr:nvGrpSpPr>
      <xdr:grpSpPr>
        <a:xfrm>
          <a:off x="24892000" y="165100"/>
          <a:ext cx="1697892" cy="285953"/>
          <a:chOff x="20320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2" name="Group 1">
          <a:extLst>
            <a:ext uri="{FF2B5EF4-FFF2-40B4-BE49-F238E27FC236}">
              <a16:creationId xmlns:a16="http://schemas.microsoft.com/office/drawing/2014/main" id="{885CC066-D0B7-2356-2E74-318DCFF98DA8}"/>
            </a:ext>
          </a:extLst>
        </xdr:cNvPr>
        <xdr:cNvGrpSpPr/>
      </xdr:nvGrpSpPr>
      <xdr:grpSpPr>
        <a:xfrm>
          <a:off x="24892000" y="165100"/>
          <a:ext cx="1697892" cy="285953"/>
          <a:chOff x="20320000" y="165100"/>
          <a:chExt cx="1697892" cy="285953"/>
        </a:xfrm>
      </xdr:grpSpPr>
      <xdr:sp macro="" textlink="Names!BG2">
        <xdr:nvSpPr>
          <xdr:cNvPr id="7" name="Rounded Rectangle 6">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8"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2" name="Group 1">
          <a:extLst>
            <a:ext uri="{FF2B5EF4-FFF2-40B4-BE49-F238E27FC236}">
              <a16:creationId xmlns:a16="http://schemas.microsoft.com/office/drawing/2014/main" id="{7F318109-BAEA-1236-840C-9CD89BDA6920}"/>
            </a:ext>
          </a:extLst>
        </xdr:cNvPr>
        <xdr:cNvGrpSpPr/>
      </xdr:nvGrpSpPr>
      <xdr:grpSpPr>
        <a:xfrm>
          <a:off x="24892000" y="165100"/>
          <a:ext cx="1697892" cy="285953"/>
          <a:chOff x="20320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3" name="Group 2">
          <a:extLst>
            <a:ext uri="{FF2B5EF4-FFF2-40B4-BE49-F238E27FC236}">
              <a16:creationId xmlns:a16="http://schemas.microsoft.com/office/drawing/2014/main" id="{BE1BF364-ABE7-D4BE-B9E3-F12BB310787F}"/>
            </a:ext>
          </a:extLst>
        </xdr:cNvPr>
        <xdr:cNvGrpSpPr/>
      </xdr:nvGrpSpPr>
      <xdr:grpSpPr>
        <a:xfrm>
          <a:off x="24892000" y="165100"/>
          <a:ext cx="2485292" cy="285953"/>
          <a:chOff x="20320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2" name="Group 1">
          <a:extLst>
            <a:ext uri="{FF2B5EF4-FFF2-40B4-BE49-F238E27FC236}">
              <a16:creationId xmlns:a16="http://schemas.microsoft.com/office/drawing/2014/main" id="{EB849EDF-963F-6509-9A5D-AA823D778E2F}"/>
            </a:ext>
          </a:extLst>
        </xdr:cNvPr>
        <xdr:cNvGrpSpPr/>
      </xdr:nvGrpSpPr>
      <xdr:grpSpPr>
        <a:xfrm>
          <a:off x="24892000" y="165100"/>
          <a:ext cx="1697892" cy="285953"/>
          <a:chOff x="20320000" y="165100"/>
          <a:chExt cx="1697892" cy="285953"/>
        </a:xfrm>
      </xdr:grpSpPr>
      <xdr:sp macro="" textlink="Names!BG2">
        <xdr:nvSpPr>
          <xdr:cNvPr id="7" name="Rounded Rectangle 6">
            <a:hlinkClick xmlns:r="http://schemas.openxmlformats.org/officeDocument/2006/relationships" r:id="rId1"/>
            <a:extLst>
              <a:ext uri="{FF2B5EF4-FFF2-40B4-BE49-F238E27FC236}">
                <a16:creationId xmlns:a16="http://schemas.microsoft.com/office/drawing/2014/main" id="{00000000-0008-0000-0E00-000007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8"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46892</xdr:colOff>
      <xdr:row>2</xdr:row>
      <xdr:rowOff>120853</xdr:rowOff>
    </xdr:to>
    <xdr:grpSp>
      <xdr:nvGrpSpPr>
        <xdr:cNvPr id="3" name="Group 2">
          <a:extLst>
            <a:ext uri="{FF2B5EF4-FFF2-40B4-BE49-F238E27FC236}">
              <a16:creationId xmlns:a16="http://schemas.microsoft.com/office/drawing/2014/main" id="{A241AE2E-2B0C-574C-AA72-A4A5467107AD}"/>
            </a:ext>
          </a:extLst>
        </xdr:cNvPr>
        <xdr:cNvGrpSpPr/>
      </xdr:nvGrpSpPr>
      <xdr:grpSpPr>
        <a:xfrm>
          <a:off x="22428200" y="165100"/>
          <a:ext cx="1697892" cy="285953"/>
          <a:chOff x="178562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78562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45426" y="165100"/>
            <a:ext cx="258937" cy="264917"/>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46892</xdr:colOff>
      <xdr:row>2</xdr:row>
      <xdr:rowOff>120853</xdr:rowOff>
    </xdr:to>
    <xdr:grpSp>
      <xdr:nvGrpSpPr>
        <xdr:cNvPr id="3" name="Group 2">
          <a:extLst>
            <a:ext uri="{FF2B5EF4-FFF2-40B4-BE49-F238E27FC236}">
              <a16:creationId xmlns:a16="http://schemas.microsoft.com/office/drawing/2014/main" id="{D600BE1E-9B4D-23D0-16B6-6F72C8DDD5FE}"/>
            </a:ext>
          </a:extLst>
        </xdr:cNvPr>
        <xdr:cNvGrpSpPr/>
      </xdr:nvGrpSpPr>
      <xdr:grpSpPr>
        <a:xfrm>
          <a:off x="22415500" y="165100"/>
          <a:ext cx="1697892" cy="285953"/>
          <a:chOff x="178435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78435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32726" y="165100"/>
            <a:ext cx="258937" cy="264917"/>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46892</xdr:colOff>
      <xdr:row>2</xdr:row>
      <xdr:rowOff>120853</xdr:rowOff>
    </xdr:to>
    <xdr:grpSp>
      <xdr:nvGrpSpPr>
        <xdr:cNvPr id="2" name="Group 1">
          <a:extLst>
            <a:ext uri="{FF2B5EF4-FFF2-40B4-BE49-F238E27FC236}">
              <a16:creationId xmlns:a16="http://schemas.microsoft.com/office/drawing/2014/main" id="{C5010395-7F73-A238-F650-882F6AD3094D}"/>
            </a:ext>
          </a:extLst>
        </xdr:cNvPr>
        <xdr:cNvGrpSpPr/>
      </xdr:nvGrpSpPr>
      <xdr:grpSpPr>
        <a:xfrm>
          <a:off x="21590000" y="165100"/>
          <a:ext cx="1697892" cy="285953"/>
          <a:chOff x="17018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7018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107226" y="165100"/>
            <a:ext cx="258937" cy="264917"/>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23</xdr:col>
      <xdr:colOff>0</xdr:colOff>
      <xdr:row>1</xdr:row>
      <xdr:rowOff>689</xdr:rowOff>
    </xdr:from>
    <xdr:to>
      <xdr:col>25</xdr:col>
      <xdr:colOff>46892</xdr:colOff>
      <xdr:row>2</xdr:row>
      <xdr:rowOff>120853</xdr:rowOff>
    </xdr:to>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178435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clientData/>
  </xdr:twoCellAnchor>
  <xdr:twoCellAnchor>
    <xdr:from>
      <xdr:col>23</xdr:col>
      <xdr:colOff>89226</xdr:colOff>
      <xdr:row>1</xdr:row>
      <xdr:rowOff>0</xdr:rowOff>
    </xdr:from>
    <xdr:to>
      <xdr:col>23</xdr:col>
      <xdr:colOff>348163</xdr:colOff>
      <xdr:row>2</xdr:row>
      <xdr:rowOff>99817</xdr:rowOff>
    </xdr:to>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32726" y="165100"/>
          <a:ext cx="258937" cy="26491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0</xdr:colOff>
      <xdr:row>1</xdr:row>
      <xdr:rowOff>0</xdr:rowOff>
    </xdr:from>
    <xdr:to>
      <xdr:col>25</xdr:col>
      <xdr:colOff>46892</xdr:colOff>
      <xdr:row>2</xdr:row>
      <xdr:rowOff>120853</xdr:rowOff>
    </xdr:to>
    <xdr:grpSp>
      <xdr:nvGrpSpPr>
        <xdr:cNvPr id="2" name="Group 1">
          <a:extLst>
            <a:ext uri="{FF2B5EF4-FFF2-40B4-BE49-F238E27FC236}">
              <a16:creationId xmlns:a16="http://schemas.microsoft.com/office/drawing/2014/main" id="{9260F10E-E378-FB80-5CF3-AB54D7C00257}"/>
            </a:ext>
          </a:extLst>
        </xdr:cNvPr>
        <xdr:cNvGrpSpPr/>
      </xdr:nvGrpSpPr>
      <xdr:grpSpPr>
        <a:xfrm>
          <a:off x="22415500" y="165100"/>
          <a:ext cx="1697892" cy="285953"/>
          <a:chOff x="178435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78435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32726" y="165100"/>
            <a:ext cx="258937" cy="26491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266700</xdr:colOff>
      <xdr:row>0</xdr:row>
      <xdr:rowOff>88900</xdr:rowOff>
    </xdr:from>
    <xdr:to>
      <xdr:col>16</xdr:col>
      <xdr:colOff>313592</xdr:colOff>
      <xdr:row>2</xdr:row>
      <xdr:rowOff>44653</xdr:rowOff>
    </xdr:to>
    <xdr:grpSp>
      <xdr:nvGrpSpPr>
        <xdr:cNvPr id="2" name="Group 1">
          <a:extLst>
            <a:ext uri="{FF2B5EF4-FFF2-40B4-BE49-F238E27FC236}">
              <a16:creationId xmlns:a16="http://schemas.microsoft.com/office/drawing/2014/main" id="{948A8473-6824-E811-D85A-9A548DAFA38C}"/>
            </a:ext>
          </a:extLst>
        </xdr:cNvPr>
        <xdr:cNvGrpSpPr/>
      </xdr:nvGrpSpPr>
      <xdr:grpSpPr>
        <a:xfrm>
          <a:off x="15176500" y="88900"/>
          <a:ext cx="1697892" cy="285953"/>
          <a:chOff x="13982700" y="889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3982700" y="895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4071926" y="88900"/>
            <a:ext cx="258937" cy="264917"/>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46892</xdr:colOff>
      <xdr:row>2</xdr:row>
      <xdr:rowOff>120853</xdr:rowOff>
    </xdr:to>
    <xdr:grpSp>
      <xdr:nvGrpSpPr>
        <xdr:cNvPr id="2" name="Group 1">
          <a:extLst>
            <a:ext uri="{FF2B5EF4-FFF2-40B4-BE49-F238E27FC236}">
              <a16:creationId xmlns:a16="http://schemas.microsoft.com/office/drawing/2014/main" id="{14BF3CFA-F63F-D243-BCFB-4ACEDBFEFD66}"/>
            </a:ext>
          </a:extLst>
        </xdr:cNvPr>
        <xdr:cNvGrpSpPr/>
      </xdr:nvGrpSpPr>
      <xdr:grpSpPr>
        <a:xfrm>
          <a:off x="30403800" y="165100"/>
          <a:ext cx="1697892" cy="285953"/>
          <a:chOff x="17843500" y="165100"/>
          <a:chExt cx="1697892" cy="285953"/>
        </a:xfrm>
      </xdr:grpSpPr>
      <xdr:sp macro="" textlink="Names!BG2">
        <xdr:nvSpPr>
          <xdr:cNvPr id="3" name="Rounded Rectangle 2">
            <a:hlinkClick xmlns:r="http://schemas.openxmlformats.org/officeDocument/2006/relationships" r:id="rId1"/>
            <a:extLst>
              <a:ext uri="{FF2B5EF4-FFF2-40B4-BE49-F238E27FC236}">
                <a16:creationId xmlns:a16="http://schemas.microsoft.com/office/drawing/2014/main" id="{876514F6-E457-2A12-FD02-F4A86E21EAE5}"/>
              </a:ext>
            </a:extLst>
          </xdr:cNvPr>
          <xdr:cNvSpPr/>
        </xdr:nvSpPr>
        <xdr:spPr>
          <a:xfrm>
            <a:off x="178435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4"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A5F06A07-5F0C-F478-8A07-DD027350915C}"/>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32726" y="165100"/>
            <a:ext cx="258937" cy="264917"/>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571471</xdr:colOff>
      <xdr:row>69</xdr:row>
      <xdr:rowOff>131773</xdr:rowOff>
    </xdr:from>
    <xdr:to>
      <xdr:col>17</xdr:col>
      <xdr:colOff>0</xdr:colOff>
      <xdr:row>127</xdr:row>
      <xdr:rowOff>20393</xdr:rowOff>
    </xdr:to>
    <xdr:sp macro="" textlink="">
      <xdr:nvSpPr>
        <xdr:cNvPr id="2" name="Rounded Rectangle 1">
          <a:extLst>
            <a:ext uri="{FF2B5EF4-FFF2-40B4-BE49-F238E27FC236}">
              <a16:creationId xmlns:a16="http://schemas.microsoft.com/office/drawing/2014/main" id="{00000000-0008-0000-1400-000002000000}"/>
            </a:ext>
          </a:extLst>
        </xdr:cNvPr>
        <xdr:cNvSpPr/>
      </xdr:nvSpPr>
      <xdr:spPr>
        <a:xfrm>
          <a:off x="1083262" y="9912669"/>
          <a:ext cx="10514526" cy="9783246"/>
        </a:xfrm>
        <a:prstGeom prst="roundRect">
          <a:avLst>
            <a:gd name="adj" fmla="val 2191"/>
          </a:avLst>
        </a:prstGeom>
        <a:noFill/>
        <a:ln w="31750">
          <a:solidFill>
            <a:srgbClr val="FF79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546686</xdr:colOff>
      <xdr:row>2</xdr:row>
      <xdr:rowOff>112751</xdr:rowOff>
    </xdr:from>
    <xdr:to>
      <xdr:col>22</xdr:col>
      <xdr:colOff>53559</xdr:colOff>
      <xdr:row>4</xdr:row>
      <xdr:rowOff>20740</xdr:rowOff>
    </xdr:to>
    <xdr:grpSp>
      <xdr:nvGrpSpPr>
        <xdr:cNvPr id="3" name="Group 2">
          <a:extLst>
            <a:ext uri="{FF2B5EF4-FFF2-40B4-BE49-F238E27FC236}">
              <a16:creationId xmlns:a16="http://schemas.microsoft.com/office/drawing/2014/main" id="{AAB57A62-6309-807B-193E-157CC383DF28}"/>
            </a:ext>
          </a:extLst>
        </xdr:cNvPr>
        <xdr:cNvGrpSpPr/>
      </xdr:nvGrpSpPr>
      <xdr:grpSpPr>
        <a:xfrm>
          <a:off x="19101386" y="404851"/>
          <a:ext cx="1830973" cy="288989"/>
          <a:chOff x="20616333" y="342900"/>
          <a:chExt cx="1816426" cy="290187"/>
        </a:xfrm>
      </xdr:grpSpPr>
      <xdr:sp macro="" textlink="Names!BG2">
        <xdr:nvSpPr>
          <xdr:cNvPr id="21" name="Rounded Rectangle 20">
            <a:hlinkClick xmlns:r="http://schemas.openxmlformats.org/officeDocument/2006/relationships" r:id="rId1"/>
            <a:extLst>
              <a:ext uri="{FF2B5EF4-FFF2-40B4-BE49-F238E27FC236}">
                <a16:creationId xmlns:a16="http://schemas.microsoft.com/office/drawing/2014/main" id="{00000000-0008-0000-1400-000015000000}"/>
              </a:ext>
            </a:extLst>
          </xdr:cNvPr>
          <xdr:cNvSpPr/>
        </xdr:nvSpPr>
        <xdr:spPr>
          <a:xfrm>
            <a:off x="20616333" y="343599"/>
            <a:ext cx="1816426" cy="289488"/>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22"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400-000016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711788" y="342900"/>
            <a:ext cx="277014" cy="268840"/>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35109</xdr:colOff>
      <xdr:row>3</xdr:row>
      <xdr:rowOff>127000</xdr:rowOff>
    </xdr:from>
    <xdr:to>
      <xdr:col>14</xdr:col>
      <xdr:colOff>749300</xdr:colOff>
      <xdr:row>33</xdr:row>
      <xdr:rowOff>101600</xdr:rowOff>
    </xdr:to>
    <xdr:sp macro="" textlink="">
      <xdr:nvSpPr>
        <xdr:cNvPr id="2" name="CaixaDeTexto 6">
          <a:extLst>
            <a:ext uri="{FF2B5EF4-FFF2-40B4-BE49-F238E27FC236}">
              <a16:creationId xmlns:a16="http://schemas.microsoft.com/office/drawing/2014/main" id="{00000000-0008-0000-1500-000002000000}"/>
            </a:ext>
          </a:extLst>
        </xdr:cNvPr>
        <xdr:cNvSpPr txBox="1"/>
      </xdr:nvSpPr>
      <xdr:spPr>
        <a:xfrm>
          <a:off x="4988109" y="698500"/>
          <a:ext cx="7318191" cy="5588000"/>
        </a:xfrm>
        <a:prstGeom prst="rect">
          <a:avLst/>
        </a:prstGeom>
        <a:noFill/>
      </xdr:spPr>
      <xdr:txBody>
        <a:bodyPr wrap="square" rtlCol="0">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algn="just"/>
          <a:r>
            <a:rPr lang="pt-BR" sz="1100" dirty="0">
              <a:latin typeface="Arial" panose="020B0604020202020204" pitchFamily="34" charset="0"/>
              <a:ea typeface="Inter Light BETA" panose="020B0402030000000004" pitchFamily="34" charset="0"/>
              <a:cs typeface="Arial" panose="020B0604020202020204" pitchFamily="34" charset="0"/>
            </a:rPr>
            <a:t>Os números de nossas principais métricas (Unit </a:t>
          </a:r>
          <a:r>
            <a:rPr lang="pt-BR" sz="1100" dirty="0" err="1">
              <a:latin typeface="Arial" panose="020B0604020202020204" pitchFamily="34" charset="0"/>
              <a:ea typeface="Inter Light BETA" panose="020B0402030000000004" pitchFamily="34" charset="0"/>
              <a:cs typeface="Arial" panose="020B0604020202020204" pitchFamily="34" charset="0"/>
            </a:rPr>
            <a:t>Economics</a:t>
          </a:r>
          <a:r>
            <a:rPr lang="pt-BR" sz="1100" dirty="0">
              <a:latin typeface="Arial" panose="020B0604020202020204" pitchFamily="34" charset="0"/>
              <a:ea typeface="Inter Light BETA" panose="020B0402030000000004" pitchFamily="34" charset="0"/>
              <a:cs typeface="Arial" panose="020B0604020202020204" pitchFamily="34" charset="0"/>
            </a:rPr>
            <a:t>), que incluem usuários ativos, como receita média por cliente ativo (ARPAC) e custo para servir (CTS), são calculados usando os dados internos da Inter. Embora acreditemos que essas métricas sejam baseadas em estimativas razoáveis, existem desafios inerentes à medição do uso de nossos negócios. Além disso, buscamos continuamente melhorar nossas estimativas, que podem mudar devido a melhorias ou mudanças na metodologia, nos processos de cálculo dessas métricas e, de tempos em tempos, podemos descobrir imprecisões e fazer ajustes para melhorar a precisão, incluindo ajustes que podem resultar no recálculo de nossas métricas históricas. </a:t>
          </a:r>
        </a:p>
        <a:p>
          <a:pPr algn="just"/>
          <a:endParaRPr lang="pt-BR" sz="1100" dirty="0">
            <a:latin typeface="Arial" panose="020B0604020202020204" pitchFamily="34" charset="0"/>
            <a:ea typeface="Inter Light BETA" panose="020B0402030000000004" pitchFamily="34" charset="0"/>
            <a:cs typeface="Arial" panose="020B0604020202020204" pitchFamily="34" charset="0"/>
          </a:endParaRPr>
        </a:p>
        <a:p>
          <a:pPr algn="just"/>
          <a:endParaRPr lang="pt-BR" sz="1100" dirty="0">
            <a:latin typeface="Arial" panose="020B0604020202020204" pitchFamily="34" charset="0"/>
            <a:ea typeface="Inter Light BETA" panose="020B0402030000000004" pitchFamily="34" charset="0"/>
            <a:cs typeface="Arial" panose="020B0604020202020204" pitchFamily="34" charset="0"/>
          </a:endParaRPr>
        </a:p>
        <a:p>
          <a:pPr algn="just"/>
          <a:r>
            <a:rPr lang="pt-BR" sz="1100" b="1" dirty="0">
              <a:solidFill>
                <a:srgbClr val="FF7A00"/>
              </a:solidFill>
              <a:latin typeface="Arial" panose="020B0604020202020204" pitchFamily="34" charset="0"/>
              <a:ea typeface="Inter Light BETA" panose="020B0402030000000004" pitchFamily="34" charset="0"/>
              <a:cs typeface="Arial" panose="020B0604020202020204" pitchFamily="34" charset="0"/>
            </a:rPr>
            <a:t>Sobre Medidas Financeiras Não-IFRS </a:t>
          </a:r>
        </a:p>
        <a:p>
          <a:pPr algn="just"/>
          <a:r>
            <a:rPr lang="pt-BR" sz="1100" b="1" dirty="0">
              <a:latin typeface="Arial" panose="020B0604020202020204" pitchFamily="34" charset="0"/>
              <a:ea typeface="Inter Light BETA" panose="020B0402030000000004" pitchFamily="34" charset="0"/>
              <a:cs typeface="Arial" panose="020B0604020202020204" pitchFamily="34" charset="0"/>
            </a:rPr>
            <a:t> </a:t>
          </a:r>
          <a:endParaRPr lang="pt-BR" sz="1100" dirty="0">
            <a:latin typeface="Arial" panose="020B0604020202020204" pitchFamily="34" charset="0"/>
            <a:ea typeface="Inter Light BETA" panose="020B0402030000000004" pitchFamily="34" charset="0"/>
            <a:cs typeface="Arial" panose="020B0604020202020204" pitchFamily="34" charset="0"/>
          </a:endParaRPr>
        </a:p>
        <a:p>
          <a:pPr algn="just"/>
          <a:r>
            <a:rPr lang="pt-BR" sz="1100" dirty="0">
              <a:latin typeface="Arial" panose="020B0604020202020204" pitchFamily="34" charset="0"/>
              <a:ea typeface="Inter Light BETA" panose="020B0402030000000004" pitchFamily="34" charset="0"/>
              <a:cs typeface="Arial" panose="020B0604020202020204" pitchFamily="34" charset="0"/>
            </a:rPr>
            <a:t>Para complementar as medidas financeiras apresentadas neste comunicado de imprensa e na teleconferência, apresentação ou webcast relacionados de acordo com o IFRS, a </a:t>
          </a:r>
          <a:r>
            <a:rPr lang="pt-BR" sz="1100" dirty="0" err="1">
              <a:latin typeface="Arial" panose="020B0604020202020204" pitchFamily="34" charset="0"/>
              <a:ea typeface="Inter Light BETA" panose="020B0402030000000004" pitchFamily="34" charset="0"/>
              <a:cs typeface="Arial" panose="020B0604020202020204" pitchFamily="34" charset="0"/>
            </a:rPr>
            <a:t>Inter&amp;Co</a:t>
          </a:r>
          <a:r>
            <a:rPr lang="pt-BR" sz="1100" dirty="0">
              <a:latin typeface="Arial" panose="020B0604020202020204" pitchFamily="34" charset="0"/>
              <a:ea typeface="Inter Light BETA" panose="020B0402030000000004" pitchFamily="34" charset="0"/>
              <a:cs typeface="Arial" panose="020B0604020202020204" pitchFamily="34" charset="0"/>
            </a:rPr>
            <a:t> também apresenta medidas não IFRS de desempenho financeiro, conforme destacado ao longo dos documentos. As Medidas Financeiras não IFRS incluem, entre outras: Resultado Líquido Ajustado, Custo de Serviço, Custo de </a:t>
          </a:r>
          <a:r>
            <a:rPr lang="pt-BR" sz="1100" dirty="0" err="1">
              <a:latin typeface="Arial" panose="020B0604020202020204" pitchFamily="34" charset="0"/>
              <a:ea typeface="Inter Light BETA" panose="020B0402030000000004" pitchFamily="34" charset="0"/>
              <a:cs typeface="Arial" panose="020B0604020202020204" pitchFamily="34" charset="0"/>
            </a:rPr>
            <a:t>Funding</a:t>
          </a:r>
          <a:r>
            <a:rPr lang="pt-BR" sz="1100" dirty="0">
              <a:latin typeface="Arial" panose="020B0604020202020204" pitchFamily="34" charset="0"/>
              <a:ea typeface="Inter Light BETA" panose="020B0402030000000004" pitchFamily="34" charset="0"/>
              <a:cs typeface="Arial" panose="020B0604020202020204" pitchFamily="34" charset="0"/>
            </a:rPr>
            <a:t>, Índice de Eficiência, Originação, NPL &gt; 90 dias, NPL 15 a 90 dias, NPL e Formação da Fase 3, </a:t>
          </a:r>
          <a:r>
            <a:rPr lang="pt-BR" sz="1100" dirty="0" err="1">
              <a:latin typeface="Arial" panose="020B0604020202020204" pitchFamily="34" charset="0"/>
              <a:ea typeface="Inter Light BETA" panose="020B0402030000000004" pitchFamily="34" charset="0"/>
              <a:cs typeface="Arial" panose="020B0604020202020204" pitchFamily="34" charset="0"/>
            </a:rPr>
            <a:t>Cost</a:t>
          </a:r>
          <a:r>
            <a:rPr lang="pt-BR" sz="1100" dirty="0">
              <a:latin typeface="Arial" panose="020B0604020202020204" pitchFamily="34" charset="0"/>
              <a:ea typeface="Inter Light BETA" panose="020B0402030000000004" pitchFamily="34" charset="0"/>
              <a:cs typeface="Arial" panose="020B0604020202020204" pitchFamily="34" charset="0"/>
            </a:rPr>
            <a:t> </a:t>
          </a:r>
          <a:r>
            <a:rPr lang="pt-BR" sz="1100" dirty="0" err="1">
              <a:latin typeface="Arial" panose="020B0604020202020204" pitchFamily="34" charset="0"/>
              <a:ea typeface="Inter Light BETA" panose="020B0402030000000004" pitchFamily="34" charset="0"/>
              <a:cs typeface="Arial" panose="020B0604020202020204" pitchFamily="34" charset="0"/>
            </a:rPr>
            <a:t>of</a:t>
          </a:r>
          <a:r>
            <a:rPr lang="pt-BR" sz="1100" dirty="0">
              <a:latin typeface="Arial" panose="020B0604020202020204" pitchFamily="34" charset="0"/>
              <a:ea typeface="Inter Light BETA" panose="020B0402030000000004" pitchFamily="34" charset="0"/>
              <a:cs typeface="Arial" panose="020B0604020202020204" pitchFamily="34" charset="0"/>
            </a:rPr>
            <a:t> Risk, índice de Cobertura, </a:t>
          </a:r>
          <a:r>
            <a:rPr lang="pt-BR" sz="1100" dirty="0" err="1">
              <a:latin typeface="Arial" panose="020B0604020202020204" pitchFamily="34" charset="0"/>
              <a:ea typeface="Inter Light BETA" panose="020B0402030000000004" pitchFamily="34" charset="0"/>
              <a:cs typeface="Arial" panose="020B0604020202020204" pitchFamily="34" charset="0"/>
            </a:rPr>
            <a:t>Funding</a:t>
          </a:r>
          <a:r>
            <a:rPr lang="pt-BR" sz="1100" dirty="0">
              <a:latin typeface="Arial" panose="020B0604020202020204" pitchFamily="34" charset="0"/>
              <a:ea typeface="Inter Light BETA" panose="020B0402030000000004" pitchFamily="34" charset="0"/>
              <a:cs typeface="Arial" panose="020B0604020202020204" pitchFamily="34" charset="0"/>
            </a:rPr>
            <a:t>, Custo de </a:t>
          </a:r>
          <a:r>
            <a:rPr lang="pt-BR" sz="1100" dirty="0" err="1">
              <a:latin typeface="Arial" panose="020B0604020202020204" pitchFamily="34" charset="0"/>
              <a:ea typeface="Inter Light BETA" panose="020B0402030000000004" pitchFamily="34" charset="0"/>
              <a:cs typeface="Arial" panose="020B0604020202020204" pitchFamily="34" charset="0"/>
            </a:rPr>
            <a:t>Funding</a:t>
          </a:r>
          <a:r>
            <a:rPr lang="pt-BR" sz="1100" dirty="0">
              <a:latin typeface="Arial" panose="020B0604020202020204" pitchFamily="34" charset="0"/>
              <a:ea typeface="Inter Light BETA" panose="020B0402030000000004" pitchFamily="34" charset="0"/>
              <a:cs typeface="Arial" panose="020B0604020202020204" pitchFamily="34" charset="0"/>
            </a:rPr>
            <a:t>, Volume Bruto de Mercadorias (GMV), Prêmios, Entradas Líquidas, Depósitos e Investimentos de Serviços Globais, </a:t>
          </a:r>
          <a:r>
            <a:rPr lang="pt-BR" sz="1100" dirty="0" err="1">
              <a:latin typeface="Arial" panose="020B0604020202020204" pitchFamily="34" charset="0"/>
              <a:ea typeface="Inter Light BETA" panose="020B0402030000000004" pitchFamily="34" charset="0"/>
              <a:cs typeface="Arial" panose="020B0604020202020204" pitchFamily="34" charset="0"/>
            </a:rPr>
            <a:t>Fee</a:t>
          </a:r>
          <a:r>
            <a:rPr lang="pt-BR" sz="1100" dirty="0">
              <a:latin typeface="Arial" panose="020B0604020202020204" pitchFamily="34" charset="0"/>
              <a:ea typeface="Inter Light BETA" panose="020B0402030000000004" pitchFamily="34" charset="0"/>
              <a:cs typeface="Arial" panose="020B0604020202020204" pitchFamily="34" charset="0"/>
            </a:rPr>
            <a:t> Income </a:t>
          </a:r>
          <a:r>
            <a:rPr lang="pt-BR" sz="1100" dirty="0" err="1">
              <a:latin typeface="Arial" panose="020B0604020202020204" pitchFamily="34" charset="0"/>
              <a:ea typeface="Inter Light BETA" panose="020B0402030000000004" pitchFamily="34" charset="0"/>
              <a:cs typeface="Arial" panose="020B0604020202020204" pitchFamily="34" charset="0"/>
            </a:rPr>
            <a:t>Ratio</a:t>
          </a:r>
          <a:r>
            <a:rPr lang="pt-BR" sz="1100" dirty="0">
              <a:latin typeface="Arial" panose="020B0604020202020204" pitchFamily="34" charset="0"/>
              <a:ea typeface="Inter Light BETA" panose="020B0402030000000004" pitchFamily="34" charset="0"/>
              <a:cs typeface="Arial" panose="020B0604020202020204" pitchFamily="34" charset="0"/>
            </a:rPr>
            <a:t>,  Custo de Aquisição de Clientes, Cartões + PIX TPV, ARPAC Bruto, ARPAC Líquido, NIM Marginal 1.0, NIM Marginal 2.0, Margem de Juros Líquida IEP + Non-int. CC Recebíveis (1.0), Margem Líquida de Juros IEP (2.0), </a:t>
          </a:r>
          <a:r>
            <a:rPr lang="pt-BR" sz="1100" dirty="0" err="1">
              <a:latin typeface="Arial" panose="020B0604020202020204" pitchFamily="34" charset="0"/>
              <a:ea typeface="Inter Light BETA" panose="020B0402030000000004" pitchFamily="34" charset="0"/>
              <a:cs typeface="Arial" panose="020B0604020202020204" pitchFamily="34" charset="0"/>
            </a:rPr>
            <a:t>Custo</a:t>
          </a:r>
          <a:r>
            <a:rPr lang="pt-BR" sz="1100" baseline="0" dirty="0" err="1">
              <a:latin typeface="Arial" panose="020B0604020202020204" pitchFamily="34" charset="0"/>
              <a:ea typeface="Inter Light BETA" panose="020B0402030000000004" pitchFamily="34" charset="0"/>
              <a:cs typeface="Arial" panose="020B0604020202020204" pitchFamily="34" charset="0"/>
            </a:rPr>
            <a:t> de Servir. </a:t>
          </a:r>
        </a:p>
        <a:p>
          <a:pPr algn="just"/>
          <a:endParaRPr lang="pt-BR" sz="1100" dirty="0">
            <a:latin typeface="Arial" panose="020B0604020202020204" pitchFamily="34" charset="0"/>
            <a:ea typeface="Inter Light BETA" panose="020B0402030000000004" pitchFamily="34" charset="0"/>
            <a:cs typeface="Arial" panose="020B0604020202020204" pitchFamily="34" charset="0"/>
          </a:endParaRPr>
        </a:p>
        <a:p>
          <a:pPr algn="just"/>
          <a:r>
            <a:rPr lang="pt-BR" sz="1100" dirty="0">
              <a:latin typeface="Arial" panose="020B0604020202020204" pitchFamily="34" charset="0"/>
              <a:ea typeface="Inter Light BETA" panose="020B0402030000000004" pitchFamily="34" charset="0"/>
              <a:cs typeface="Arial" panose="020B0604020202020204" pitchFamily="34" charset="0"/>
            </a:rPr>
            <a:t>Uma "medida financeira não IFRS" refere-se a uma medida numérica da posição histórica ou financeira da </a:t>
          </a:r>
          <a:r>
            <a:rPr lang="pt-BR" sz="1100" dirty="0" err="1">
              <a:latin typeface="Arial" panose="020B0604020202020204" pitchFamily="34" charset="0"/>
              <a:ea typeface="Inter Light BETA" panose="020B0402030000000004" pitchFamily="34" charset="0"/>
              <a:cs typeface="Arial" panose="020B0604020202020204" pitchFamily="34" charset="0"/>
            </a:rPr>
            <a:t>Inter&amp;Co</a:t>
          </a:r>
          <a:r>
            <a:rPr lang="pt-BR" sz="1100" dirty="0">
              <a:latin typeface="Arial" panose="020B0604020202020204" pitchFamily="34" charset="0"/>
              <a:ea typeface="Inter Light BETA" panose="020B0402030000000004" pitchFamily="34" charset="0"/>
              <a:cs typeface="Arial" panose="020B0604020202020204" pitchFamily="34" charset="0"/>
            </a:rPr>
            <a:t> que exclui ou inclui montantes que normalmente não são excluídos ou incluídos na medida mais diretamente comparável calculada e apresentada de acordo com o IFRS nas demonstrações financeiras da </a:t>
          </a:r>
          <a:r>
            <a:rPr lang="pt-BR" sz="1100" dirty="0" err="1">
              <a:latin typeface="Arial" panose="020B0604020202020204" pitchFamily="34" charset="0"/>
              <a:ea typeface="Inter Light BETA" panose="020B0402030000000004" pitchFamily="34" charset="0"/>
              <a:cs typeface="Arial" panose="020B0604020202020204" pitchFamily="34" charset="0"/>
            </a:rPr>
            <a:t>Inter&amp;Co</a:t>
          </a:r>
          <a:r>
            <a:rPr lang="pt-BR" sz="1100" dirty="0">
              <a:latin typeface="Arial" panose="020B0604020202020204" pitchFamily="34" charset="0"/>
              <a:ea typeface="Inter Light BETA" panose="020B0402030000000004" pitchFamily="34" charset="0"/>
              <a:cs typeface="Arial" panose="020B0604020202020204" pitchFamily="34" charset="0"/>
            </a:rPr>
            <a:t>. </a:t>
          </a:r>
        </a:p>
        <a:p>
          <a:pPr algn="just"/>
          <a:endParaRPr lang="pt-BR" sz="1100" dirty="0">
            <a:latin typeface="Arial" panose="020B0604020202020204" pitchFamily="34" charset="0"/>
            <a:ea typeface="Inter Light BETA" panose="020B0402030000000004" pitchFamily="34" charset="0"/>
            <a:cs typeface="Arial" panose="020B0604020202020204" pitchFamily="34" charset="0"/>
          </a:endParaRPr>
        </a:p>
        <a:p>
          <a:pPr algn="just"/>
          <a:r>
            <a:rPr lang="pt-BR" sz="1100" dirty="0">
              <a:latin typeface="Arial" panose="020B0604020202020204" pitchFamily="34" charset="0"/>
              <a:ea typeface="Inter Light BETA" panose="020B0402030000000004" pitchFamily="34" charset="0"/>
              <a:cs typeface="Arial" panose="020B0604020202020204" pitchFamily="34" charset="0"/>
            </a:rPr>
            <a:t>A </a:t>
          </a:r>
          <a:r>
            <a:rPr lang="pt-BR" sz="1100" dirty="0" err="1">
              <a:latin typeface="Arial" panose="020B0604020202020204" pitchFamily="34" charset="0"/>
              <a:ea typeface="Inter Light BETA" panose="020B0402030000000004" pitchFamily="34" charset="0"/>
              <a:cs typeface="Arial" panose="020B0604020202020204" pitchFamily="34" charset="0"/>
            </a:rPr>
            <a:t>Inter&amp;Co</a:t>
          </a:r>
          <a:r>
            <a:rPr lang="pt-BR" sz="1100" dirty="0">
              <a:latin typeface="Arial" panose="020B0604020202020204" pitchFamily="34" charset="0"/>
              <a:ea typeface="Inter Light BETA" panose="020B0402030000000004" pitchFamily="34" charset="0"/>
              <a:cs typeface="Arial" panose="020B0604020202020204" pitchFamily="34" charset="0"/>
            </a:rPr>
            <a:t> fornece certas medidas não-IFRS como informações adicionais relacionadas aos seus resultados operacionais como complemento aos resultados fornecidos de acordo com o IFRS. As informações financeiras não IFRS aqui apresentadas devem ser consideradas em conjunto com, e não como um substituto ou superior a, as informações financeiras apresentadas de acordo com o IFRS. Existem limitações significativas associadas ao uso de medidas financeiras não IFRS. Além disso, estas medidas podem diferir das informações não IFRS, mesmo quando com títulos semelhantes, utilizadas por outras empresas e, por conseguinte, não devem ser utilizadas para comparar o desempenho da </a:t>
          </a:r>
          <a:r>
            <a:rPr lang="pt-BR" sz="1100" dirty="0" err="1">
              <a:latin typeface="Arial" panose="020B0604020202020204" pitchFamily="34" charset="0"/>
              <a:ea typeface="Inter Light BETA" panose="020B0402030000000004" pitchFamily="34" charset="0"/>
              <a:cs typeface="Arial" panose="020B0604020202020204" pitchFamily="34" charset="0"/>
            </a:rPr>
            <a:t>Inter&amp;Co</a:t>
          </a:r>
          <a:r>
            <a:rPr lang="pt-BR" sz="1100" dirty="0">
              <a:latin typeface="Arial" panose="020B0604020202020204" pitchFamily="34" charset="0"/>
              <a:ea typeface="Inter Light BETA" panose="020B0402030000000004" pitchFamily="34" charset="0"/>
              <a:cs typeface="Arial" panose="020B0604020202020204" pitchFamily="34" charset="0"/>
            </a:rPr>
            <a:t> com o de outras empresas.</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Arial" panose="020B0604020202020204" pitchFamily="34" charset="0"/>
            <a:ea typeface="Inter Light BETA" panose="020B0402030000000004" pitchFamily="34" charset="0"/>
            <a:cs typeface="Arial" panose="020B060402020202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Arial" panose="020B0604020202020204" pitchFamily="34" charset="0"/>
            <a:ea typeface="Inter Light BETA" panose="020B0402030000000004" pitchFamily="34" charset="0"/>
            <a:cs typeface="Arial" panose="020B060402020202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Arial" panose="020B0604020202020204" pitchFamily="34" charset="0"/>
            <a:ea typeface="Inter Light BETA" panose="020B0402030000000004" pitchFamily="34" charset="0"/>
            <a:cs typeface="Arial" panose="020B0604020202020204" pitchFamily="34" charset="0"/>
          </a:endParaRPr>
        </a:p>
      </xdr:txBody>
    </xdr:sp>
    <xdr:clientData/>
  </xdr:twoCellAnchor>
  <xdr:twoCellAnchor>
    <xdr:from>
      <xdr:col>0</xdr:col>
      <xdr:colOff>0</xdr:colOff>
      <xdr:row>1</xdr:row>
      <xdr:rowOff>120601</xdr:rowOff>
    </xdr:from>
    <xdr:to>
      <xdr:col>5</xdr:col>
      <xdr:colOff>375697</xdr:colOff>
      <xdr:row>4</xdr:row>
      <xdr:rowOff>180882</xdr:rowOff>
    </xdr:to>
    <xdr:sp macro="" textlink="">
      <xdr:nvSpPr>
        <xdr:cNvPr id="3" name="Rounded Rectangle 2">
          <a:extLst>
            <a:ext uri="{FF2B5EF4-FFF2-40B4-BE49-F238E27FC236}">
              <a16:creationId xmlns:a16="http://schemas.microsoft.com/office/drawing/2014/main" id="{00000000-0008-0000-1500-000003000000}"/>
            </a:ext>
          </a:extLst>
        </xdr:cNvPr>
        <xdr:cNvSpPr/>
      </xdr:nvSpPr>
      <xdr:spPr>
        <a:xfrm>
          <a:off x="0" y="311101"/>
          <a:ext cx="4503197" cy="631781"/>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lvl="0">
            <a:defRPr lang="pt-BR"/>
          </a:defPPr>
          <a:lvl1pPr marL="0" lvl="0" algn="l" defTabSz="914400" rtl="0" eaLnBrk="1" latinLnBrk="0" hangingPunct="1">
            <a:defRPr sz="1800" kern="1200">
              <a:solidFill>
                <a:schemeClr val="lt1"/>
              </a:solidFill>
              <a:latin typeface="+mn-lt"/>
              <a:ea typeface="+mn-ea"/>
              <a:cs typeface="+mn-cs"/>
            </a:defRPr>
          </a:lvl1pPr>
          <a:lvl2pPr marL="457200" lvl="1" algn="l" defTabSz="914400" rtl="0" eaLnBrk="1" latinLnBrk="0" hangingPunct="1">
            <a:defRPr sz="1800" kern="1200">
              <a:solidFill>
                <a:schemeClr val="lt1"/>
              </a:solidFill>
              <a:latin typeface="+mn-lt"/>
              <a:ea typeface="+mn-ea"/>
              <a:cs typeface="+mn-cs"/>
            </a:defRPr>
          </a:lvl2pPr>
          <a:lvl3pPr marL="914400" lvl="2" algn="l" defTabSz="914400" rtl="0" eaLnBrk="1" latinLnBrk="0" hangingPunct="1">
            <a:defRPr sz="1800" kern="1200">
              <a:solidFill>
                <a:schemeClr val="lt1"/>
              </a:solidFill>
              <a:latin typeface="+mn-lt"/>
              <a:ea typeface="+mn-ea"/>
              <a:cs typeface="+mn-cs"/>
            </a:defRPr>
          </a:lvl3pPr>
          <a:lvl4pPr marL="1371600" lvl="3" algn="l" defTabSz="914400" rtl="0" eaLnBrk="1" latinLnBrk="0" hangingPunct="1">
            <a:defRPr sz="1800" kern="1200">
              <a:solidFill>
                <a:schemeClr val="lt1"/>
              </a:solidFill>
              <a:latin typeface="+mn-lt"/>
              <a:ea typeface="+mn-ea"/>
              <a:cs typeface="+mn-cs"/>
            </a:defRPr>
          </a:lvl4pPr>
          <a:lvl5pPr marL="1828800" lvl="4" algn="l" defTabSz="914400" rtl="0" eaLnBrk="1" latinLnBrk="0" hangingPunct="1">
            <a:defRPr sz="1800" kern="1200">
              <a:solidFill>
                <a:schemeClr val="lt1"/>
              </a:solidFill>
              <a:latin typeface="+mn-lt"/>
              <a:ea typeface="+mn-ea"/>
              <a:cs typeface="+mn-cs"/>
            </a:defRPr>
          </a:lvl5pPr>
          <a:lvl6pPr marL="2286000" lvl="5" algn="l" defTabSz="914400" rtl="0" eaLnBrk="1" latinLnBrk="0" hangingPunct="1">
            <a:defRPr sz="1800" kern="1200">
              <a:solidFill>
                <a:schemeClr val="lt1"/>
              </a:solidFill>
              <a:latin typeface="+mn-lt"/>
              <a:ea typeface="+mn-ea"/>
              <a:cs typeface="+mn-cs"/>
            </a:defRPr>
          </a:lvl6pPr>
          <a:lvl7pPr marL="2743200" lvl="6" algn="l" defTabSz="914400" rtl="0" eaLnBrk="1" latinLnBrk="0" hangingPunct="1">
            <a:defRPr sz="1800" kern="1200">
              <a:solidFill>
                <a:schemeClr val="lt1"/>
              </a:solidFill>
              <a:latin typeface="+mn-lt"/>
              <a:ea typeface="+mn-ea"/>
              <a:cs typeface="+mn-cs"/>
            </a:defRPr>
          </a:lvl7pPr>
          <a:lvl8pPr marL="3200400" lvl="7" algn="l" defTabSz="914400" rtl="0" eaLnBrk="1" latinLnBrk="0" hangingPunct="1">
            <a:defRPr sz="1800" kern="1200">
              <a:solidFill>
                <a:schemeClr val="lt1"/>
              </a:solidFill>
              <a:latin typeface="+mn-lt"/>
              <a:ea typeface="+mn-ea"/>
              <a:cs typeface="+mn-cs"/>
            </a:defRPr>
          </a:lvl8pPr>
          <a:lvl9pPr marL="3657600" lvl="8" algn="l" defTabSz="914400" rtl="0" eaLnBrk="1" latinLnBrk="0" hangingPunct="1">
            <a:defRPr sz="1800" kern="1200">
              <a:solidFill>
                <a:schemeClr val="lt1"/>
              </a:solidFill>
              <a:latin typeface="+mn-lt"/>
              <a:ea typeface="+mn-ea"/>
              <a:cs typeface="+mn-cs"/>
            </a:defRPr>
          </a:lvl9pPr>
        </a:lstStyle>
        <a:p>
          <a:pPr algn="r"/>
          <a:r>
            <a:rPr lang="en-US" sz="4000" b="1">
              <a:solidFill>
                <a:srgbClr val="FF7A00"/>
              </a:solidFill>
              <a:latin typeface="Calibri" panose="020F0502020204030204" pitchFamily="34" charset="0"/>
              <a:cs typeface="Calibri" panose="020F0502020204030204" pitchFamily="34" charset="0"/>
            </a:rPr>
            <a:t>Disclaimer</a:t>
          </a:r>
        </a:p>
      </xdr:txBody>
    </xdr:sp>
    <xdr:clientData/>
  </xdr:twoCellAnchor>
  <xdr:twoCellAnchor editAs="oneCell">
    <xdr:from>
      <xdr:col>0</xdr:col>
      <xdr:colOff>180112</xdr:colOff>
      <xdr:row>6</xdr:row>
      <xdr:rowOff>55393</xdr:rowOff>
    </xdr:from>
    <xdr:to>
      <xdr:col>5</xdr:col>
      <xdr:colOff>476688</xdr:colOff>
      <xdr:row>31</xdr:row>
      <xdr:rowOff>36164</xdr:rowOff>
    </xdr:to>
    <xdr:pic>
      <xdr:nvPicPr>
        <xdr:cNvPr id="4" name="Picture 3" descr="A person sitting on an orange chair with a computer&#10;&#10;Description automatically generated with medium confidence">
          <a:extLst>
            <a:ext uri="{FF2B5EF4-FFF2-40B4-BE49-F238E27FC236}">
              <a16:creationId xmlns:a16="http://schemas.microsoft.com/office/drawing/2014/main" id="{00000000-0008-0000-1500-000004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80112" y="1198393"/>
          <a:ext cx="4424076" cy="4743271"/>
        </a:xfrm>
        <a:prstGeom prst="roundRect">
          <a:avLst/>
        </a:prstGeom>
      </xdr:spPr>
    </xdr:pic>
    <xdr:clientData/>
  </xdr:twoCellAnchor>
  <xdr:twoCellAnchor>
    <xdr:from>
      <xdr:col>21</xdr:col>
      <xdr:colOff>502140</xdr:colOff>
      <xdr:row>4</xdr:row>
      <xdr:rowOff>18689</xdr:rowOff>
    </xdr:from>
    <xdr:to>
      <xdr:col>30</xdr:col>
      <xdr:colOff>446138</xdr:colOff>
      <xdr:row>34</xdr:row>
      <xdr:rowOff>76043</xdr:rowOff>
    </xdr:to>
    <xdr:sp macro="" textlink="">
      <xdr:nvSpPr>
        <xdr:cNvPr id="5" name="CaixaDeTexto 6">
          <a:extLst>
            <a:ext uri="{FF2B5EF4-FFF2-40B4-BE49-F238E27FC236}">
              <a16:creationId xmlns:a16="http://schemas.microsoft.com/office/drawing/2014/main" id="{00000000-0008-0000-1500-000005000000}"/>
            </a:ext>
          </a:extLst>
        </xdr:cNvPr>
        <xdr:cNvSpPr txBox="1"/>
      </xdr:nvSpPr>
      <xdr:spPr>
        <a:xfrm>
          <a:off x="17708592" y="756108"/>
          <a:ext cx="7318191" cy="5588000"/>
        </a:xfrm>
        <a:prstGeom prst="rect">
          <a:avLst/>
        </a:prstGeom>
        <a:noFill/>
      </xdr:spPr>
      <xdr:txBody>
        <a:bodyPr wrap="square" rtlCol="0">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rPr>
            <a:t>The numbers for our key metrics (Unit Economics), which include active users, as average revenue per active client (ARPAC), cost to serve (CTS), are calculated using Inter’s internal data. Although we believe these metrics are based on reasonable estimates, there are challenges inherent in measuring the use of our business. In addition, we continually seek to improve our estimates, which may change due to improvements or changes in methodology, in processes for calculating these metrics and, from time to time, we may discover inaccuracies and make adjustments to improve accuracy, including adjustments that may result in recalculating our historical metrics. </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en-US" sz="1600" b="1" i="0" u="none" strike="noStrike" kern="1200" cap="none" spc="0" normalizeH="0" baseline="0">
              <a:ln>
                <a:noFill/>
              </a:ln>
              <a:solidFill>
                <a:srgbClr val="FF7A00"/>
              </a:solidFill>
              <a:effectLst/>
              <a:uLnTx/>
              <a:uFillTx/>
              <a:latin typeface="Calibri" panose="020F0502020204030204" pitchFamily="34" charset="0"/>
              <a:ea typeface="Inter Light BETA" panose="020B0402030000000004" pitchFamily="34" charset="0"/>
              <a:cs typeface="Calibri" panose="020F0502020204030204" pitchFamily="34" charset="0"/>
            </a:rPr>
            <a:t>About Non-IFRS Financial Measures </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rPr>
            <a:t>To supplement the financial measures presented in this press release and related conference call, presentation, or webcast in accordance with IFRS, Inter&amp;Co also presents non-IFRS measures of financial performance, as highlighted throughout the documents. The non-IFRS Financial Measures include, among others: Adjusted Net Income, Cost to Serve, Cost of Funding, Efficiency Ratio, Underwriting, NPL &gt; 90 days, NPL 15 to 90 days, NPL and Stage 3 Formation, Cost of Risk, Coverage Ratio, Funding, All-in Cost of Funding, Gross Merchandise Volume (GMV), Premiums, Net Inflows, Global Services Deposits and Investments, Fee Income Ratio, Client Acquisition Cost, Cards+PIX TPV, Gross ARPAC, Net ARPAC, Marginal NIM 1.0, Marginal NIM 2.0, Net Interest Margin IEP + Non-int. CC Receivables (1.0), Net Interest Margin IEP (2.0), Cost-to-Serve.</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rPr>
            <a:t>A “non-IFRS financial measure” refers to a numerical measure of Inter&amp;Co’s historical or financial position that either excludes or includes amounts that are not normally excluded or included in the most directly comparable measure calculated and presented in accordance with IFRS in Inter&amp;Co’s financial statements. </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rPr>
            <a:t>Inter&amp;Co provides certain non-IFRS measures as additional information relating to its operating results as a complement to results provided in accordance with IFRS. The non-IFRS financial information presented herein should be considered together with, and not as a substitute for or superior to, the financial information presented in accordance with IFRS. There are significant limitations associated with the use of non-IFRS financial measures. Further, these measures may differ from the non-IFRS information, even where similarly titled, used by other companies and therefore should not be used to compare Inter&amp;Co’s performance to that of other companies. </a:t>
          </a: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1200" cap="none" spc="0" normalizeH="0" baseline="0">
            <a:ln>
              <a:noFill/>
            </a:ln>
            <a:solidFill>
              <a:prstClr val="black"/>
            </a:solidFill>
            <a:effectLst/>
            <a:uLnTx/>
            <a:uFillTx/>
            <a:latin typeface="Calibri" panose="020F0502020204030204" pitchFamily="34" charset="0"/>
            <a:ea typeface="Inter Light BETA" panose="020B0402030000000004" pitchFamily="34" charset="0"/>
            <a:cs typeface="Calibri" panose="020F0502020204030204" pitchFamily="34" charset="0"/>
          </a:endParaRPr>
        </a:p>
      </xdr:txBody>
    </xdr:sp>
    <xdr:clientData/>
  </xdr:twoCellAnchor>
  <xdr:twoCellAnchor>
    <xdr:from>
      <xdr:col>15</xdr:col>
      <xdr:colOff>430160</xdr:colOff>
      <xdr:row>2</xdr:row>
      <xdr:rowOff>-1</xdr:rowOff>
    </xdr:from>
    <xdr:to>
      <xdr:col>21</xdr:col>
      <xdr:colOff>17228</xdr:colOff>
      <xdr:row>5</xdr:row>
      <xdr:rowOff>78716</xdr:rowOff>
    </xdr:to>
    <xdr:sp macro="" textlink="">
      <xdr:nvSpPr>
        <xdr:cNvPr id="6" name="Rounded Rectangle 5">
          <a:extLst>
            <a:ext uri="{FF2B5EF4-FFF2-40B4-BE49-F238E27FC236}">
              <a16:creationId xmlns:a16="http://schemas.microsoft.com/office/drawing/2014/main" id="{00000000-0008-0000-1500-000006000000}"/>
            </a:ext>
          </a:extLst>
        </xdr:cNvPr>
        <xdr:cNvSpPr/>
      </xdr:nvSpPr>
      <xdr:spPr>
        <a:xfrm>
          <a:off x="12720483" y="368709"/>
          <a:ext cx="4503197" cy="631781"/>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lvl="0">
            <a:defRPr lang="pt-BR"/>
          </a:defPPr>
          <a:lvl1pPr marL="0" lvl="0" algn="l" defTabSz="914400" rtl="0" eaLnBrk="1" latinLnBrk="0" hangingPunct="1">
            <a:defRPr sz="1800" kern="1200">
              <a:solidFill>
                <a:schemeClr val="lt1"/>
              </a:solidFill>
              <a:latin typeface="+mn-lt"/>
              <a:ea typeface="+mn-ea"/>
              <a:cs typeface="+mn-cs"/>
            </a:defRPr>
          </a:lvl1pPr>
          <a:lvl2pPr marL="457200" lvl="1" algn="l" defTabSz="914400" rtl="0" eaLnBrk="1" latinLnBrk="0" hangingPunct="1">
            <a:defRPr sz="1800" kern="1200">
              <a:solidFill>
                <a:schemeClr val="lt1"/>
              </a:solidFill>
              <a:latin typeface="+mn-lt"/>
              <a:ea typeface="+mn-ea"/>
              <a:cs typeface="+mn-cs"/>
            </a:defRPr>
          </a:lvl2pPr>
          <a:lvl3pPr marL="914400" lvl="2" algn="l" defTabSz="914400" rtl="0" eaLnBrk="1" latinLnBrk="0" hangingPunct="1">
            <a:defRPr sz="1800" kern="1200">
              <a:solidFill>
                <a:schemeClr val="lt1"/>
              </a:solidFill>
              <a:latin typeface="+mn-lt"/>
              <a:ea typeface="+mn-ea"/>
              <a:cs typeface="+mn-cs"/>
            </a:defRPr>
          </a:lvl3pPr>
          <a:lvl4pPr marL="1371600" lvl="3" algn="l" defTabSz="914400" rtl="0" eaLnBrk="1" latinLnBrk="0" hangingPunct="1">
            <a:defRPr sz="1800" kern="1200">
              <a:solidFill>
                <a:schemeClr val="lt1"/>
              </a:solidFill>
              <a:latin typeface="+mn-lt"/>
              <a:ea typeface="+mn-ea"/>
              <a:cs typeface="+mn-cs"/>
            </a:defRPr>
          </a:lvl4pPr>
          <a:lvl5pPr marL="1828800" lvl="4" algn="l" defTabSz="914400" rtl="0" eaLnBrk="1" latinLnBrk="0" hangingPunct="1">
            <a:defRPr sz="1800" kern="1200">
              <a:solidFill>
                <a:schemeClr val="lt1"/>
              </a:solidFill>
              <a:latin typeface="+mn-lt"/>
              <a:ea typeface="+mn-ea"/>
              <a:cs typeface="+mn-cs"/>
            </a:defRPr>
          </a:lvl5pPr>
          <a:lvl6pPr marL="2286000" lvl="5" algn="l" defTabSz="914400" rtl="0" eaLnBrk="1" latinLnBrk="0" hangingPunct="1">
            <a:defRPr sz="1800" kern="1200">
              <a:solidFill>
                <a:schemeClr val="lt1"/>
              </a:solidFill>
              <a:latin typeface="+mn-lt"/>
              <a:ea typeface="+mn-ea"/>
              <a:cs typeface="+mn-cs"/>
            </a:defRPr>
          </a:lvl6pPr>
          <a:lvl7pPr marL="2743200" lvl="6" algn="l" defTabSz="914400" rtl="0" eaLnBrk="1" latinLnBrk="0" hangingPunct="1">
            <a:defRPr sz="1800" kern="1200">
              <a:solidFill>
                <a:schemeClr val="lt1"/>
              </a:solidFill>
              <a:latin typeface="+mn-lt"/>
              <a:ea typeface="+mn-ea"/>
              <a:cs typeface="+mn-cs"/>
            </a:defRPr>
          </a:lvl7pPr>
          <a:lvl8pPr marL="3200400" lvl="7" algn="l" defTabSz="914400" rtl="0" eaLnBrk="1" latinLnBrk="0" hangingPunct="1">
            <a:defRPr sz="1800" kern="1200">
              <a:solidFill>
                <a:schemeClr val="lt1"/>
              </a:solidFill>
              <a:latin typeface="+mn-lt"/>
              <a:ea typeface="+mn-ea"/>
              <a:cs typeface="+mn-cs"/>
            </a:defRPr>
          </a:lvl8pPr>
          <a:lvl9pPr marL="3657600" lvl="8" algn="l" defTabSz="914400" rtl="0" eaLnBrk="1" latinLnBrk="0" hangingPunct="1">
            <a:defRPr sz="1800" kern="1200">
              <a:solidFill>
                <a:schemeClr val="lt1"/>
              </a:solidFill>
              <a:latin typeface="+mn-lt"/>
              <a:ea typeface="+mn-ea"/>
              <a:cs typeface="+mn-cs"/>
            </a:defRPr>
          </a:lvl9pPr>
        </a:lstStyle>
        <a:p>
          <a:pPr algn="r"/>
          <a:r>
            <a:rPr lang="en-US" sz="4000" b="1">
              <a:solidFill>
                <a:srgbClr val="FF7A00"/>
              </a:solidFill>
              <a:latin typeface="Calibri" panose="020F0502020204030204" pitchFamily="34" charset="0"/>
              <a:cs typeface="Calibri" panose="020F0502020204030204" pitchFamily="34" charset="0"/>
            </a:rPr>
            <a:t>Disclaimer</a:t>
          </a:r>
        </a:p>
      </xdr:txBody>
    </xdr:sp>
    <xdr:clientData/>
  </xdr:twoCellAnchor>
  <xdr:twoCellAnchor editAs="oneCell">
    <xdr:from>
      <xdr:col>15</xdr:col>
      <xdr:colOff>610272</xdr:colOff>
      <xdr:row>6</xdr:row>
      <xdr:rowOff>149872</xdr:rowOff>
    </xdr:from>
    <xdr:to>
      <xdr:col>21</xdr:col>
      <xdr:colOff>118219</xdr:colOff>
      <xdr:row>32</xdr:row>
      <xdr:rowOff>99917</xdr:rowOff>
    </xdr:to>
    <xdr:pic>
      <xdr:nvPicPr>
        <xdr:cNvPr id="7" name="Picture 6" descr="A person sitting on an orange chair with a computer&#10;&#10;Description automatically generated with medium confidence">
          <a:extLst>
            <a:ext uri="{FF2B5EF4-FFF2-40B4-BE49-F238E27FC236}">
              <a16:creationId xmlns:a16="http://schemas.microsoft.com/office/drawing/2014/main" id="{00000000-0008-0000-1500-000007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2900595" y="1256001"/>
          <a:ext cx="4424076" cy="4743271"/>
        </a:xfrm>
        <a:prstGeom prst="roundRect">
          <a:avLst/>
        </a:prstGeom>
      </xdr:spPr>
    </xdr:pic>
    <xdr:clientData/>
  </xdr:twoCellAnchor>
  <xdr:twoCellAnchor>
    <xdr:from>
      <xdr:col>31</xdr:col>
      <xdr:colOff>0</xdr:colOff>
      <xdr:row>1</xdr:row>
      <xdr:rowOff>0</xdr:rowOff>
    </xdr:from>
    <xdr:to>
      <xdr:col>33</xdr:col>
      <xdr:colOff>46892</xdr:colOff>
      <xdr:row>2</xdr:row>
      <xdr:rowOff>140108</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25590500" y="190500"/>
          <a:ext cx="1697892" cy="330608"/>
          <a:chOff x="9503508" y="419387"/>
          <a:chExt cx="1697892" cy="285953"/>
        </a:xfrm>
      </xdr:grpSpPr>
      <xdr:sp macro="" textlink="Names!BG2">
        <xdr:nvSpPr>
          <xdr:cNvPr id="9" name="Rounded Rectangle 8">
            <a:hlinkClick xmlns:r="http://schemas.openxmlformats.org/officeDocument/2006/relationships" r:id="rId2"/>
            <a:extLst>
              <a:ext uri="{FF2B5EF4-FFF2-40B4-BE49-F238E27FC236}">
                <a16:creationId xmlns:a16="http://schemas.microsoft.com/office/drawing/2014/main" id="{00000000-0008-0000-1500-000009000000}"/>
              </a:ext>
            </a:extLst>
          </xdr:cNvPr>
          <xdr:cNvSpPr/>
        </xdr:nvSpPr>
        <xdr:spPr>
          <a:xfrm>
            <a:off x="9503508" y="420076"/>
            <a:ext cx="1697892" cy="285264"/>
          </a:xfrm>
          <a:prstGeom prst="roundRect">
            <a:avLst/>
          </a:prstGeom>
          <a:solidFill>
            <a:srgbClr val="FE78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10" name="Gráfico 4" descr="Seta de linha: retorno na horizontal com preenchimento sólido">
            <a:hlinkClick xmlns:r="http://schemas.openxmlformats.org/officeDocument/2006/relationships" r:id="rId2"/>
            <a:extLst>
              <a:ext uri="{FF2B5EF4-FFF2-40B4-BE49-F238E27FC236}">
                <a16:creationId xmlns:a16="http://schemas.microsoft.com/office/drawing/2014/main" id="{00000000-0008-0000-1500-00000A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 uri="{96DAC541-7B7A-43D3-8B79-37D633B846F1}">
                <asvg:svgBlip xmlns:asvg="http://schemas.microsoft.com/office/drawing/2016/SVG/main" r:embed="rId4"/>
              </a:ext>
            </a:extLst>
          </a:blip>
          <a:stretch>
            <a:fillRect/>
          </a:stretch>
        </xdr:blipFill>
        <xdr:spPr>
          <a:xfrm>
            <a:off x="9592734" y="419387"/>
            <a:ext cx="258937" cy="264917"/>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177800</xdr:colOff>
      <xdr:row>0</xdr:row>
      <xdr:rowOff>50800</xdr:rowOff>
    </xdr:from>
    <xdr:to>
      <xdr:col>6</xdr:col>
      <xdr:colOff>780505</xdr:colOff>
      <xdr:row>2</xdr:row>
      <xdr:rowOff>78712</xdr:rowOff>
    </xdr:to>
    <xdr:sp macro="" textlink="">
      <xdr:nvSpPr>
        <xdr:cNvPr id="11" name="Content Placeholder 1">
          <a:extLst>
            <a:ext uri="{FF2B5EF4-FFF2-40B4-BE49-F238E27FC236}">
              <a16:creationId xmlns:a16="http://schemas.microsoft.com/office/drawing/2014/main" id="{00000000-0008-0000-1600-00000B000000}"/>
            </a:ext>
          </a:extLst>
        </xdr:cNvPr>
        <xdr:cNvSpPr txBox="1">
          <a:spLocks/>
        </xdr:cNvSpPr>
      </xdr:nvSpPr>
      <xdr:spPr>
        <a:xfrm>
          <a:off x="177800" y="50800"/>
          <a:ext cx="5631905" cy="434312"/>
        </a:xfrm>
        <a:prstGeom prst="rect">
          <a:avLst/>
        </a:prstGeom>
      </xdr:spPr>
      <xdr:txBody>
        <a:bodyPr vert="horz" wrap="square" lIns="0" tIns="0" rIns="0" bIns="0" rtlCol="0" anchor="ctr">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pt-BR" sz="2200">
              <a:solidFill>
                <a:srgbClr val="FF7B02"/>
              </a:solidFill>
              <a:latin typeface="Calibri" panose="020F0502020204030204" pitchFamily="34" charset="0"/>
              <a:cs typeface="Calibri" panose="020F0502020204030204" pitchFamily="34" charset="0"/>
            </a:rPr>
            <a:t>Glossary</a:t>
          </a:r>
          <a:r>
            <a:rPr kumimoji="0" lang="pt-BR" sz="2400" b="1" i="0" u="none" strike="noStrike" kern="0" cap="none" spc="0" normalizeH="0" baseline="0">
              <a:ln>
                <a:noFill/>
              </a:ln>
              <a:solidFill>
                <a:srgbClr val="FF7A00"/>
              </a:solidFill>
              <a:effectLst/>
              <a:uLnTx/>
              <a:uFillTx/>
              <a:latin typeface="Calibri" panose="020F0502020204030204" pitchFamily="34" charset="0"/>
              <a:ea typeface="+mn-ea"/>
              <a:cs typeface="Calibri" panose="020F0502020204030204" pitchFamily="34" charset="0"/>
            </a:rPr>
            <a:t> </a:t>
          </a:r>
          <a:r>
            <a:rPr lang="pt-BR" sz="2200" b="0">
              <a:solidFill>
                <a:srgbClr val="000000"/>
              </a:solidFill>
              <a:latin typeface="Calibri" panose="020F0502020204030204" pitchFamily="34" charset="0"/>
              <a:cs typeface="Calibri" panose="020F0502020204030204" pitchFamily="34" charset="0"/>
            </a:rPr>
            <a:t>of operational definitions</a:t>
          </a:r>
        </a:p>
      </xdr:txBody>
    </xdr:sp>
    <xdr:clientData/>
  </xdr:twoCellAnchor>
  <xdr:twoCellAnchor>
    <xdr:from>
      <xdr:col>0</xdr:col>
      <xdr:colOff>177800</xdr:colOff>
      <xdr:row>48</xdr:row>
      <xdr:rowOff>187926</xdr:rowOff>
    </xdr:from>
    <xdr:to>
      <xdr:col>9</xdr:col>
      <xdr:colOff>152762</xdr:colOff>
      <xdr:row>51</xdr:row>
      <xdr:rowOff>12638</xdr:rowOff>
    </xdr:to>
    <xdr:sp macro="" textlink="">
      <xdr:nvSpPr>
        <xdr:cNvPr id="13" name="Content Placeholder 1">
          <a:extLst>
            <a:ext uri="{FF2B5EF4-FFF2-40B4-BE49-F238E27FC236}">
              <a16:creationId xmlns:a16="http://schemas.microsoft.com/office/drawing/2014/main" id="{00000000-0008-0000-1600-00000D000000}"/>
            </a:ext>
          </a:extLst>
        </xdr:cNvPr>
        <xdr:cNvSpPr txBox="1">
          <a:spLocks/>
        </xdr:cNvSpPr>
      </xdr:nvSpPr>
      <xdr:spPr>
        <a:xfrm>
          <a:off x="177800" y="6893526"/>
          <a:ext cx="7518762" cy="434312"/>
        </a:xfrm>
        <a:prstGeom prst="rect">
          <a:avLst/>
        </a:prstGeom>
      </xdr:spPr>
      <xdr:txBody>
        <a:bodyPr vert="horz" wrap="square" lIns="0" tIns="0" rIns="0" bIns="0" rtlCol="0" anchor="ctr">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pt-BR" sz="2200">
              <a:solidFill>
                <a:srgbClr val="FF7B02"/>
              </a:solidFill>
              <a:latin typeface="Calibri" panose="020F0502020204030204" pitchFamily="34" charset="0"/>
              <a:cs typeface="Calibri" panose="020F0502020204030204" pitchFamily="34" charset="0"/>
            </a:rPr>
            <a:t>Glossary</a:t>
          </a:r>
          <a:r>
            <a:rPr kumimoji="0" lang="pt-BR" sz="2400" b="1" i="0" u="none" strike="noStrike" kern="0" cap="none" spc="0" normalizeH="0" baseline="0">
              <a:ln>
                <a:noFill/>
              </a:ln>
              <a:solidFill>
                <a:srgbClr val="FF7A00"/>
              </a:solidFill>
              <a:effectLst/>
              <a:uLnTx/>
              <a:uFillTx/>
              <a:latin typeface="Calibri" panose="020F0502020204030204" pitchFamily="34" charset="0"/>
              <a:ea typeface="+mn-ea"/>
              <a:cs typeface="Calibri" panose="020F0502020204030204" pitchFamily="34" charset="0"/>
            </a:rPr>
            <a:t> </a:t>
          </a:r>
          <a:r>
            <a:rPr lang="pt-BR" sz="2200" b="0">
              <a:solidFill>
                <a:srgbClr val="000000"/>
              </a:solidFill>
              <a:latin typeface="Calibri" panose="020F0502020204030204" pitchFamily="34" charset="0"/>
              <a:cs typeface="Calibri" panose="020F0502020204030204" pitchFamily="34" charset="0"/>
            </a:rPr>
            <a:t>of financial measures reconciliation</a:t>
          </a:r>
        </a:p>
      </xdr:txBody>
    </xdr:sp>
    <xdr:clientData/>
  </xdr:twoCellAnchor>
  <xdr:twoCellAnchor>
    <xdr:from>
      <xdr:col>8</xdr:col>
      <xdr:colOff>189154</xdr:colOff>
      <xdr:row>0</xdr:row>
      <xdr:rowOff>92364</xdr:rowOff>
    </xdr:from>
    <xdr:to>
      <xdr:col>15</xdr:col>
      <xdr:colOff>309259</xdr:colOff>
      <xdr:row>2</xdr:row>
      <xdr:rowOff>94876</xdr:rowOff>
    </xdr:to>
    <xdr:sp macro="" textlink="">
      <xdr:nvSpPr>
        <xdr:cNvPr id="16" name="Content Placeholder 1">
          <a:extLst>
            <a:ext uri="{FF2B5EF4-FFF2-40B4-BE49-F238E27FC236}">
              <a16:creationId xmlns:a16="http://schemas.microsoft.com/office/drawing/2014/main" id="{00000000-0008-0000-1600-000010000000}"/>
            </a:ext>
          </a:extLst>
        </xdr:cNvPr>
        <xdr:cNvSpPr txBox="1">
          <a:spLocks/>
        </xdr:cNvSpPr>
      </xdr:nvSpPr>
      <xdr:spPr>
        <a:xfrm>
          <a:off x="6885518" y="92364"/>
          <a:ext cx="5979423" cy="406603"/>
        </a:xfrm>
        <a:prstGeom prst="rect">
          <a:avLst/>
        </a:prstGeom>
      </xdr:spPr>
      <xdr:txBody>
        <a:bodyPr vert="horz" wrap="square" lIns="0" tIns="0" rIns="0" bIns="0" rtlCol="0" anchor="ctr">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pt-BR" sz="2200">
              <a:solidFill>
                <a:srgbClr val="FF7B02"/>
              </a:solidFill>
              <a:latin typeface="Calibri" panose="020F0502020204030204" pitchFamily="34" charset="0"/>
              <a:cs typeface="Calibri" panose="020F0502020204030204" pitchFamily="34" charset="0"/>
            </a:rPr>
            <a:t>Glossário</a:t>
          </a:r>
          <a:r>
            <a:rPr kumimoji="0" lang="pt-BR" sz="2400" b="1" i="0" u="none" strike="noStrike" kern="0" cap="none" spc="0" normalizeH="0" baseline="0">
              <a:ln>
                <a:noFill/>
              </a:ln>
              <a:solidFill>
                <a:srgbClr val="FF7A00"/>
              </a:solidFill>
              <a:effectLst/>
              <a:uLnTx/>
              <a:uFillTx/>
              <a:latin typeface="Calibri" panose="020F0502020204030204" pitchFamily="34" charset="0"/>
              <a:ea typeface="+mn-ea"/>
              <a:cs typeface="Calibri" panose="020F0502020204030204" pitchFamily="34" charset="0"/>
            </a:rPr>
            <a:t> </a:t>
          </a:r>
          <a:r>
            <a:rPr lang="pt-BR" sz="2200" b="0">
              <a:solidFill>
                <a:srgbClr val="000000"/>
              </a:solidFill>
              <a:latin typeface="Calibri" panose="020F0502020204030204" pitchFamily="34" charset="0"/>
              <a:cs typeface="Calibri" panose="020F0502020204030204" pitchFamily="34" charset="0"/>
            </a:rPr>
            <a:t>de definições operacionais </a:t>
          </a:r>
        </a:p>
      </xdr:txBody>
    </xdr:sp>
    <xdr:clientData/>
  </xdr:twoCellAnchor>
  <xdr:twoCellAnchor>
    <xdr:from>
      <xdr:col>8</xdr:col>
      <xdr:colOff>189154</xdr:colOff>
      <xdr:row>48</xdr:row>
      <xdr:rowOff>187927</xdr:rowOff>
    </xdr:from>
    <xdr:to>
      <xdr:col>17</xdr:col>
      <xdr:colOff>820458</xdr:colOff>
      <xdr:row>50</xdr:row>
      <xdr:rowOff>190438</xdr:rowOff>
    </xdr:to>
    <xdr:sp macro="" textlink="">
      <xdr:nvSpPr>
        <xdr:cNvPr id="18" name="Content Placeholder 1">
          <a:extLst>
            <a:ext uri="{FF2B5EF4-FFF2-40B4-BE49-F238E27FC236}">
              <a16:creationId xmlns:a16="http://schemas.microsoft.com/office/drawing/2014/main" id="{00000000-0008-0000-1600-000012000000}"/>
            </a:ext>
          </a:extLst>
        </xdr:cNvPr>
        <xdr:cNvSpPr txBox="1">
          <a:spLocks/>
        </xdr:cNvSpPr>
      </xdr:nvSpPr>
      <xdr:spPr>
        <a:xfrm>
          <a:off x="6885518" y="9886109"/>
          <a:ext cx="8164713" cy="406602"/>
        </a:xfrm>
        <a:prstGeom prst="rect">
          <a:avLst/>
        </a:prstGeom>
      </xdr:spPr>
      <xdr:txBody>
        <a:bodyPr vert="horz" wrap="square" lIns="0" tIns="0" rIns="0" bIns="0" rtlCol="0" anchor="ctr">
          <a:noAutofit/>
        </a:bodyPr>
        <a:lstStyle>
          <a:defPPr lvl="0">
            <a:defRPr lang="pt-BR"/>
          </a:defPPr>
          <a:lvl1pPr marL="0" lvl="0" algn="l" defTabSz="914400" rtl="0" eaLnBrk="1" latinLnBrk="0" hangingPunct="1">
            <a:defRPr sz="1800" kern="1200">
              <a:solidFill>
                <a:schemeClr val="tx1"/>
              </a:solidFill>
              <a:latin typeface="+mn-lt"/>
              <a:ea typeface="+mn-ea"/>
              <a:cs typeface="+mn-cs"/>
            </a:defRPr>
          </a:lvl1pPr>
          <a:lvl2pPr marL="457200" lvl="1" algn="l" defTabSz="914400" rtl="0" eaLnBrk="1" latinLnBrk="0" hangingPunct="1">
            <a:defRPr sz="1800" kern="1200">
              <a:solidFill>
                <a:schemeClr val="tx1"/>
              </a:solidFill>
              <a:latin typeface="+mn-lt"/>
              <a:ea typeface="+mn-ea"/>
              <a:cs typeface="+mn-cs"/>
            </a:defRPr>
          </a:lvl2pPr>
          <a:lvl3pPr marL="914400" lvl="2" algn="l" defTabSz="914400" rtl="0" eaLnBrk="1" latinLnBrk="0" hangingPunct="1">
            <a:defRPr sz="1800" kern="1200">
              <a:solidFill>
                <a:schemeClr val="tx1"/>
              </a:solidFill>
              <a:latin typeface="+mn-lt"/>
              <a:ea typeface="+mn-ea"/>
              <a:cs typeface="+mn-cs"/>
            </a:defRPr>
          </a:lvl3pPr>
          <a:lvl4pPr marL="1371600" lvl="3" algn="l" defTabSz="914400" rtl="0" eaLnBrk="1" latinLnBrk="0" hangingPunct="1">
            <a:defRPr sz="1800" kern="1200">
              <a:solidFill>
                <a:schemeClr val="tx1"/>
              </a:solidFill>
              <a:latin typeface="+mn-lt"/>
              <a:ea typeface="+mn-ea"/>
              <a:cs typeface="+mn-cs"/>
            </a:defRPr>
          </a:lvl4pPr>
          <a:lvl5pPr marL="1828800" lvl="4" algn="l" defTabSz="914400" rtl="0" eaLnBrk="1" latinLnBrk="0" hangingPunct="1">
            <a:defRPr sz="1800" kern="1200">
              <a:solidFill>
                <a:schemeClr val="tx1"/>
              </a:solidFill>
              <a:latin typeface="+mn-lt"/>
              <a:ea typeface="+mn-ea"/>
              <a:cs typeface="+mn-cs"/>
            </a:defRPr>
          </a:lvl5pPr>
          <a:lvl6pPr marL="2286000" lvl="5" algn="l" defTabSz="914400" rtl="0" eaLnBrk="1" latinLnBrk="0" hangingPunct="1">
            <a:defRPr sz="1800" kern="1200">
              <a:solidFill>
                <a:schemeClr val="tx1"/>
              </a:solidFill>
              <a:latin typeface="+mn-lt"/>
              <a:ea typeface="+mn-ea"/>
              <a:cs typeface="+mn-cs"/>
            </a:defRPr>
          </a:lvl6pPr>
          <a:lvl7pPr marL="2743200" lvl="6" algn="l" defTabSz="914400" rtl="0" eaLnBrk="1" latinLnBrk="0" hangingPunct="1">
            <a:defRPr sz="1800" kern="1200">
              <a:solidFill>
                <a:schemeClr val="tx1"/>
              </a:solidFill>
              <a:latin typeface="+mn-lt"/>
              <a:ea typeface="+mn-ea"/>
              <a:cs typeface="+mn-cs"/>
            </a:defRPr>
          </a:lvl7pPr>
          <a:lvl8pPr marL="3200400" lvl="7" algn="l" defTabSz="914400" rtl="0" eaLnBrk="1" latinLnBrk="0" hangingPunct="1">
            <a:defRPr sz="1800" kern="1200">
              <a:solidFill>
                <a:schemeClr val="tx1"/>
              </a:solidFill>
              <a:latin typeface="+mn-lt"/>
              <a:ea typeface="+mn-ea"/>
              <a:cs typeface="+mn-cs"/>
            </a:defRPr>
          </a:lvl8pPr>
          <a:lvl9pPr marL="3657600" lvl="8"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90000"/>
            </a:lnSpc>
            <a:spcBef>
              <a:spcPts val="1000"/>
            </a:spcBef>
            <a:spcAft>
              <a:spcPts val="0"/>
            </a:spcAft>
            <a:buClrTx/>
            <a:buSzTx/>
            <a:buFont typeface="Arial" panose="020B0604020202020204" pitchFamily="34" charset="0"/>
            <a:buNone/>
            <a:tabLst/>
            <a:defRPr/>
          </a:pPr>
          <a:r>
            <a:rPr lang="pt-BR" sz="2200">
              <a:solidFill>
                <a:srgbClr val="FF7B02"/>
              </a:solidFill>
              <a:latin typeface="Calibri" panose="020F0502020204030204" pitchFamily="34" charset="0"/>
              <a:cs typeface="Calibri" panose="020F0502020204030204" pitchFamily="34" charset="0"/>
            </a:rPr>
            <a:t>Glossário</a:t>
          </a:r>
          <a:r>
            <a:rPr kumimoji="0" lang="pt-BR" sz="2400" b="1" i="0" u="none" strike="noStrike" kern="0" cap="none" spc="0" normalizeH="0" baseline="0">
              <a:ln>
                <a:noFill/>
              </a:ln>
              <a:solidFill>
                <a:srgbClr val="FF7A00"/>
              </a:solidFill>
              <a:effectLst/>
              <a:uLnTx/>
              <a:uFillTx/>
              <a:latin typeface="Calibri" panose="020F0502020204030204" pitchFamily="34" charset="0"/>
              <a:ea typeface="+mn-ea"/>
              <a:cs typeface="Calibri" panose="020F0502020204030204" pitchFamily="34" charset="0"/>
            </a:rPr>
            <a:t> </a:t>
          </a:r>
          <a:r>
            <a:rPr lang="pt-BR" sz="2200" b="0">
              <a:solidFill>
                <a:srgbClr val="000000"/>
              </a:solidFill>
              <a:latin typeface="Calibri" panose="020F0502020204030204" pitchFamily="34" charset="0"/>
              <a:cs typeface="Calibri" panose="020F0502020204030204" pitchFamily="34" charset="0"/>
            </a:rPr>
            <a:t>de conciliação de indicadores financeiros</a:t>
          </a:r>
        </a:p>
      </xdr:txBody>
    </xdr:sp>
    <xdr:clientData/>
  </xdr:twoCellAnchor>
  <xdr:twoCellAnchor>
    <xdr:from>
      <xdr:col>16</xdr:col>
      <xdr:colOff>36946</xdr:colOff>
      <xdr:row>0</xdr:row>
      <xdr:rowOff>118918</xdr:rowOff>
    </xdr:from>
    <xdr:to>
      <xdr:col>18</xdr:col>
      <xdr:colOff>83838</xdr:colOff>
      <xdr:row>2</xdr:row>
      <xdr:rowOff>56684</xdr:rowOff>
    </xdr:to>
    <xdr:grpSp>
      <xdr:nvGrpSpPr>
        <xdr:cNvPr id="32" name="Group 31">
          <a:extLst>
            <a:ext uri="{FF2B5EF4-FFF2-40B4-BE49-F238E27FC236}">
              <a16:creationId xmlns:a16="http://schemas.microsoft.com/office/drawing/2014/main" id="{00000000-0008-0000-1600-000020000000}"/>
            </a:ext>
          </a:extLst>
        </xdr:cNvPr>
        <xdr:cNvGrpSpPr/>
      </xdr:nvGrpSpPr>
      <xdr:grpSpPr>
        <a:xfrm>
          <a:off x="13244946" y="118918"/>
          <a:ext cx="1697892" cy="318766"/>
          <a:chOff x="9503508" y="419387"/>
          <a:chExt cx="1697892" cy="285953"/>
        </a:xfrm>
      </xdr:grpSpPr>
      <xdr:sp macro="" textlink="Names!BG2">
        <xdr:nvSpPr>
          <xdr:cNvPr id="33" name="Rounded Rectangle 32">
            <a:hlinkClick xmlns:r="http://schemas.openxmlformats.org/officeDocument/2006/relationships" r:id="rId1"/>
            <a:extLst>
              <a:ext uri="{FF2B5EF4-FFF2-40B4-BE49-F238E27FC236}">
                <a16:creationId xmlns:a16="http://schemas.microsoft.com/office/drawing/2014/main" id="{00000000-0008-0000-1600-000021000000}"/>
              </a:ext>
            </a:extLst>
          </xdr:cNvPr>
          <xdr:cNvSpPr/>
        </xdr:nvSpPr>
        <xdr:spPr>
          <a:xfrm>
            <a:off x="9503508" y="420076"/>
            <a:ext cx="1697892" cy="285264"/>
          </a:xfrm>
          <a:prstGeom prst="roundRect">
            <a:avLst/>
          </a:prstGeom>
          <a:solidFill>
            <a:srgbClr val="FE78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34"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1600-000022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9592734" y="419387"/>
            <a:ext cx="258937" cy="264917"/>
          </a:xfrm>
          <a:prstGeom prst="rect">
            <a:avLst/>
          </a:prstGeom>
        </xdr:spPr>
      </xdr:pic>
    </xdr:grpSp>
    <xdr:clientData/>
  </xdr:twoCellAnchor>
  <xdr:twoCellAnchor>
    <xdr:from>
      <xdr:col>0</xdr:col>
      <xdr:colOff>188149</xdr:colOff>
      <xdr:row>4</xdr:row>
      <xdr:rowOff>0</xdr:rowOff>
    </xdr:from>
    <xdr:to>
      <xdr:col>7</xdr:col>
      <xdr:colOff>76483</xdr:colOff>
      <xdr:row>29</xdr:row>
      <xdr:rowOff>65128</xdr:rowOff>
    </xdr:to>
    <mc:AlternateContent xmlns:mc="http://schemas.openxmlformats.org/markup-compatibility/2006" xmlns:a14="http://schemas.microsoft.com/office/drawing/2010/main">
      <mc:Choice Requires="a14">
        <xdr:sp macro="" textlink="">
          <xdr:nvSpPr>
            <xdr:cNvPr id="12" name="Retângulo 4">
              <a:extLst>
                <a:ext uri="{FF2B5EF4-FFF2-40B4-BE49-F238E27FC236}">
                  <a16:creationId xmlns:a16="http://schemas.microsoft.com/office/drawing/2014/main" id="{00000000-0008-0000-1600-00000C000000}"/>
                </a:ext>
              </a:extLst>
            </xdr:cNvPr>
            <xdr:cNvSpPr/>
          </xdr:nvSpPr>
          <xdr:spPr>
            <a:xfrm>
              <a:off x="188149" y="781538"/>
              <a:ext cx="5587052" cy="4949744"/>
            </a:xfrm>
            <a:prstGeom prst="rect">
              <a:avLst/>
            </a:prstGeom>
          </xdr:spPr>
          <xdr:txBody>
            <a:bodyPr wrap="square">
              <a:no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Activation Rate:</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900" i="1">
                            <a:solidFill>
                              <a:schemeClr val="tx1"/>
                            </a:solidFill>
                            <a:latin typeface="Cambria Math" panose="02040503050406030204" pitchFamily="18" charset="0"/>
                            <a:cs typeface="Sora" pitchFamily="2" charset="0"/>
                          </a:rPr>
                        </m:ctrlPr>
                      </m:fPr>
                      <m:num>
                        <m:r>
                          <m:rPr>
                            <m:sty m:val="p"/>
                          </m:rPr>
                          <a:rPr lang="pt-BR" sz="900" i="0">
                            <a:latin typeface="Cambria Math" panose="02040503050406030204" pitchFamily="18" charset="0"/>
                            <a:cs typeface="Sora" pitchFamily="2" charset="0"/>
                          </a:rPr>
                          <m:t>Number</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of</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active</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clients</m:t>
                        </m:r>
                        <m:r>
                          <a:rPr lang="pt-BR" sz="90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at</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the</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end</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of</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the</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quarter</m:t>
                        </m:r>
                      </m:num>
                      <m:den>
                        <m:r>
                          <m:rPr>
                            <m:sty m:val="p"/>
                          </m:rPr>
                          <a:rPr lang="pt-BR" sz="900">
                            <a:latin typeface="Cambria Math" panose="02040503050406030204" pitchFamily="18" charset="0"/>
                            <a:cs typeface="Sora" pitchFamily="2" charset="0"/>
                          </a:rPr>
                          <m:t>Total</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number</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of</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clients</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at</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the</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end</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of</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the</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quarter</m:t>
                        </m:r>
                      </m:den>
                    </m:f>
                    <m:r>
                      <a:rPr lang="pt-BR" sz="900" i="1">
                        <a:latin typeface="Cambria Math" panose="02040503050406030204" pitchFamily="18" charset="0"/>
                        <a:cs typeface="Sora" pitchFamily="2" charset="0"/>
                      </a:rPr>
                      <m:t> </m:t>
                    </m:r>
                  </m:oMath>
                </m:oMathPara>
              </a14:m>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Active clients:</a:t>
              </a:r>
            </a:p>
            <a:p>
              <a:pPr algn="just"/>
              <a:r>
                <a:rPr lang="en-US" sz="900">
                  <a:latin typeface="Calibri" panose="020F0502020204030204" pitchFamily="34" charset="0"/>
                  <a:ea typeface="Inter" panose="020B0502030000000004" pitchFamily="34" charset="0"/>
                  <a:cs typeface="Calibri" panose="020F0502020204030204" pitchFamily="34" charset="0"/>
                </a:rPr>
                <a:t>We define an active client  as a customer at any given date that was the source of any amount of revenue for us in the preceding three months, or/and a customer that used products in the preceding three months. For Inter insurance, we calculate the number of active clients for our insurance brokerage vertical as the number of beneficiaries of insurance policies effective as of a particular date. For Inter Invest, we calculate the number of active clients as the number of individual accounts that have invested on our platform over the applicable period. </a:t>
              </a:r>
            </a:p>
            <a:p>
              <a:pPr algn="just"/>
              <a:endParaRPr lang="en-US" sz="900">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Active clients per employee:</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900" i="1">
                            <a:solidFill>
                              <a:schemeClr val="tx1"/>
                            </a:solidFill>
                            <a:latin typeface="Cambria Math" panose="02040503050406030204" pitchFamily="18" charset="0"/>
                            <a:cs typeface="Sora" pitchFamily="2" charset="0"/>
                          </a:rPr>
                        </m:ctrlPr>
                      </m:fPr>
                      <m:num>
                        <m:r>
                          <m:rPr>
                            <m:sty m:val="p"/>
                          </m:rPr>
                          <a:rPr lang="pt-BR" sz="900" i="0">
                            <a:latin typeface="Cambria Math" panose="02040503050406030204" pitchFamily="18" charset="0"/>
                            <a:cs typeface="Sora" pitchFamily="2" charset="0"/>
                          </a:rPr>
                          <m:t>Number</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of</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active</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clients</m:t>
                        </m:r>
                        <m:r>
                          <a:rPr lang="pt-BR" sz="90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at</m:t>
                        </m:r>
                        <m:r>
                          <a:rPr lang="pt-BR" sz="90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the</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end</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of</m:t>
                        </m:r>
                        <m:r>
                          <a:rPr lang="pt-BR" sz="900" b="0" i="0">
                            <a:latin typeface="Cambria Math" panose="02040503050406030204" pitchFamily="18" charset="0"/>
                            <a:cs typeface="Sora" pitchFamily="2" charset="0"/>
                          </a:rPr>
                          <m:t> </m:t>
                        </m:r>
                        <m:r>
                          <m:rPr>
                            <m:sty m:val="p"/>
                          </m:rPr>
                          <a:rPr lang="pt-BR" sz="900" b="0" i="0">
                            <a:latin typeface="Cambria Math" panose="02040503050406030204" pitchFamily="18" charset="0"/>
                            <a:cs typeface="Sora" pitchFamily="2" charset="0"/>
                          </a:rPr>
                          <m:t>the</m:t>
                        </m:r>
                        <m:r>
                          <a:rPr lang="pt-BR" sz="900" b="0" i="0">
                            <a:latin typeface="Cambria Math" panose="02040503050406030204" pitchFamily="18" charset="0"/>
                            <a:cs typeface="Sora" pitchFamily="2" charset="0"/>
                          </a:rPr>
                          <m:t>  </m:t>
                        </m:r>
                        <m:r>
                          <m:rPr>
                            <m:sty m:val="p"/>
                          </m:rPr>
                          <a:rPr lang="pt-BR" sz="900" i="0">
                            <a:latin typeface="Cambria Math" panose="02040503050406030204" pitchFamily="18" charset="0"/>
                            <a:cs typeface="Sora" pitchFamily="2" charset="0"/>
                          </a:rPr>
                          <m:t>quarter</m:t>
                        </m:r>
                      </m:num>
                      <m:den>
                        <m:r>
                          <m:rPr>
                            <m:sty m:val="p"/>
                          </m:rPr>
                          <a:rPr lang="pt-BR" sz="900">
                            <a:latin typeface="Cambria Math" panose="02040503050406030204" pitchFamily="18" charset="0"/>
                            <a:cs typeface="Sora" pitchFamily="2" charset="0"/>
                          </a:rPr>
                          <m:t>Total</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number</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of</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employees</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at</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the</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end</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of</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the</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quarter</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including</m:t>
                        </m:r>
                        <m:r>
                          <a:rPr lang="pt-BR" sz="900">
                            <a:latin typeface="Cambria Math" panose="02040503050406030204" pitchFamily="18" charset="0"/>
                            <a:cs typeface="Sora" pitchFamily="2" charset="0"/>
                          </a:rPr>
                          <m:t> </m:t>
                        </m:r>
                        <m:r>
                          <m:rPr>
                            <m:sty m:val="p"/>
                          </m:rPr>
                          <a:rPr lang="pt-BR" sz="900">
                            <a:latin typeface="Cambria Math" panose="02040503050406030204" pitchFamily="18" charset="0"/>
                            <a:cs typeface="Sora" pitchFamily="2" charset="0"/>
                          </a:rPr>
                          <m:t>interns</m:t>
                        </m:r>
                      </m:den>
                    </m:f>
                  </m:oMath>
                </m:oMathPara>
              </a14:m>
              <a:endParaRPr lang="en-US" sz="900">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Card+PIX TPV:</a:t>
              </a:r>
            </a:p>
            <a:p>
              <a:pPr algn="just"/>
              <a:r>
                <a:rPr lang="en-US" sz="900">
                  <a:latin typeface="Calibri" panose="020F0502020204030204" pitchFamily="34" charset="0"/>
                  <a:ea typeface="Inter" panose="020B0502030000000004" pitchFamily="34" charset="0"/>
                  <a:cs typeface="Calibri" panose="020F0502020204030204" pitchFamily="34" charset="0"/>
                </a:rPr>
                <a:t>PIX, debit and credit cards and withdrawal transacted volumes of a given period. PIX is a Central Bank of Brazil solution to bring instant payments among banks and financial institutions in Brazil. </a:t>
              </a: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Card+PIX TPV per active client:</a:t>
              </a:r>
            </a:p>
            <a:p>
              <a:pPr algn="just"/>
              <a:r>
                <a:rPr lang="en-US" sz="900">
                  <a:latin typeface="Calibri" panose="020F0502020204030204" pitchFamily="34" charset="0"/>
                  <a:ea typeface="Inter" panose="020B0502030000000004" pitchFamily="34" charset="0"/>
                  <a:cs typeface="Calibri" panose="020F0502020204030204" pitchFamily="34" charset="0"/>
                </a:rPr>
                <a:t>Card+PIX TPV for a given period divided by the number of active clients as of the last day of the period. </a:t>
              </a:r>
            </a:p>
            <a:p>
              <a:pPr algn="just"/>
              <a:endParaRPr lang="en-US" sz="900" b="1">
                <a:latin typeface="Calibri" panose="020F05020202040302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xdr:txBody>
        </xdr:sp>
      </mc:Choice>
      <mc:Fallback xmlns="">
        <xdr:sp macro="" textlink="">
          <xdr:nvSpPr>
            <xdr:cNvPr id="12" name="Retângulo 4">
              <a:extLst>
                <a:ext uri="{FF2B5EF4-FFF2-40B4-BE49-F238E27FC236}">
                  <a16:creationId xmlns:a16="http://schemas.microsoft.com/office/drawing/2014/main" id="{F9DADA9B-998C-8ADD-51C9-5BE87BE52B55}"/>
                </a:ext>
              </a:extLst>
            </xdr:cNvPr>
            <xdr:cNvSpPr/>
          </xdr:nvSpPr>
          <xdr:spPr>
            <a:xfrm>
              <a:off x="188149" y="781538"/>
              <a:ext cx="5587052" cy="4949744"/>
            </a:xfrm>
            <a:prstGeom prst="rect">
              <a:avLst/>
            </a:prstGeom>
          </xdr:spPr>
          <xdr:txBody>
            <a:bodyPr wrap="square">
              <a:no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Activation Rate:</a:t>
              </a:r>
            </a:p>
            <a:p>
              <a:endParaRPr lang="en-US" sz="900" b="1">
                <a:latin typeface="Calibri" panose="020F0502020204030204" pitchFamily="34" charset="0"/>
                <a:cs typeface="Calibri" panose="020F0502020204030204" pitchFamily="34" charset="0"/>
              </a:endParaRPr>
            </a:p>
            <a:p>
              <a:pPr/>
              <a:r>
                <a:rPr lang="en-US" sz="900" i="0">
                  <a:solidFill>
                    <a:schemeClr val="tx1"/>
                  </a:solidFill>
                  <a:latin typeface="Cambria Math" panose="02040503050406030204" pitchFamily="18" charset="0"/>
                  <a:cs typeface="Sora" pitchFamily="2" charset="0"/>
                </a:rPr>
                <a:t>(</a:t>
              </a:r>
              <a:r>
                <a:rPr lang="pt-BR" sz="900" i="0">
                  <a:latin typeface="Cambria Math" panose="02040503050406030204" pitchFamily="18" charset="0"/>
                  <a:cs typeface="Sora" pitchFamily="2" charset="0"/>
                </a:rPr>
                <a:t>Number of active clients </a:t>
              </a:r>
              <a:r>
                <a:rPr lang="pt-BR" sz="900" b="0" i="0">
                  <a:latin typeface="Cambria Math" panose="02040503050406030204" pitchFamily="18" charset="0"/>
                  <a:cs typeface="Sora" pitchFamily="2" charset="0"/>
                </a:rPr>
                <a:t>at</a:t>
              </a:r>
              <a:r>
                <a:rPr lang="pt-BR" sz="900" i="0">
                  <a:latin typeface="Cambria Math" panose="02040503050406030204" pitchFamily="18" charset="0"/>
                  <a:cs typeface="Sora" pitchFamily="2" charset="0"/>
                </a:rPr>
                <a:t> the</a:t>
              </a:r>
              <a:r>
                <a:rPr lang="pt-BR" sz="900" b="0" i="0">
                  <a:latin typeface="Cambria Math" panose="02040503050406030204" pitchFamily="18" charset="0"/>
                  <a:cs typeface="Sora" pitchFamily="2" charset="0"/>
                </a:rPr>
                <a:t> end of the</a:t>
              </a:r>
              <a:r>
                <a:rPr lang="pt-BR" sz="900" i="0">
                  <a:latin typeface="Cambria Math" panose="02040503050406030204" pitchFamily="18" charset="0"/>
                  <a:cs typeface="Sora" pitchFamily="2" charset="0"/>
                </a:rPr>
                <a:t> quarter</a:t>
              </a:r>
              <a:r>
                <a:rPr lang="en-US" sz="900" i="0">
                  <a:solidFill>
                    <a:schemeClr val="tx1"/>
                  </a:solidFill>
                  <a:latin typeface="Cambria Math" panose="02040503050406030204" pitchFamily="18" charset="0"/>
                  <a:cs typeface="Sora" pitchFamily="2" charset="0"/>
                </a:rPr>
                <a:t>)/(</a:t>
              </a:r>
              <a:r>
                <a:rPr lang="pt-BR" sz="900" i="0">
                  <a:latin typeface="Cambria Math" panose="02040503050406030204" pitchFamily="18" charset="0"/>
                  <a:cs typeface="Sora" pitchFamily="2" charset="0"/>
                </a:rPr>
                <a:t>Total number of clients at the end of the quarter</a:t>
              </a:r>
              <a:r>
                <a:rPr lang="en-US" sz="900" i="0">
                  <a:solidFill>
                    <a:schemeClr val="tx1"/>
                  </a:solidFill>
                  <a:latin typeface="Cambria Math" panose="02040503050406030204" pitchFamily="18" charset="0"/>
                  <a:cs typeface="Sora" pitchFamily="2" charset="0"/>
                </a:rPr>
                <a:t>)</a:t>
              </a:r>
              <a:r>
                <a:rPr lang="pt-BR" sz="900" i="0">
                  <a:solidFill>
                    <a:schemeClr val="tx1"/>
                  </a:solidFill>
                  <a:latin typeface="Cambria Math" panose="02040503050406030204" pitchFamily="18" charset="0"/>
                  <a:cs typeface="Sora" pitchFamily="2" charset="0"/>
                </a:rPr>
                <a:t> </a:t>
              </a:r>
              <a:r>
                <a:rPr lang="pt-BR" sz="900" i="0">
                  <a:latin typeface="Cambria Math" panose="02040503050406030204" pitchFamily="18" charset="0"/>
                  <a:cs typeface="Sora" pitchFamily="2" charset="0"/>
                </a:rPr>
                <a:t> </a:t>
              </a:r>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Active clients:</a:t>
              </a:r>
            </a:p>
            <a:p>
              <a:pPr algn="just"/>
              <a:r>
                <a:rPr lang="en-US" sz="900">
                  <a:latin typeface="Calibri" panose="020F0502020204030204" pitchFamily="34" charset="0"/>
                  <a:ea typeface="Inter" panose="020B0502030000000004" pitchFamily="34" charset="0"/>
                  <a:cs typeface="Calibri" panose="020F0502020204030204" pitchFamily="34" charset="0"/>
                </a:rPr>
                <a:t>We define an active client  as a customer at any given date that was the source of any amount of revenue for us in the preceding three months, or/and a customer that used products in the preceding three months. For Inter insurance, we calculate the number of active clients for our insurance brokerage vertical as the number of beneficiaries of insurance policies effective as of a particular date. For Inter Invest, we calculate the number of active clients as the number of individual accounts that have invested on our platform over the applicable period. </a:t>
              </a:r>
            </a:p>
            <a:p>
              <a:pPr algn="just"/>
              <a:endParaRPr lang="en-US" sz="900">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Active clients per employee:</a:t>
              </a:r>
            </a:p>
            <a:p>
              <a:endParaRPr lang="en-US" sz="900" b="1">
                <a:latin typeface="Calibri" panose="020F0502020204030204" pitchFamily="34" charset="0"/>
                <a:cs typeface="Calibri" panose="020F0502020204030204" pitchFamily="34" charset="0"/>
              </a:endParaRPr>
            </a:p>
            <a:p>
              <a:pPr/>
              <a:r>
                <a:rPr lang="en-US" sz="900" i="0">
                  <a:solidFill>
                    <a:schemeClr val="tx1"/>
                  </a:solidFill>
                  <a:latin typeface="Cambria Math" panose="02040503050406030204" pitchFamily="18" charset="0"/>
                  <a:cs typeface="Sora" pitchFamily="2" charset="0"/>
                </a:rPr>
                <a:t>(</a:t>
              </a:r>
              <a:r>
                <a:rPr lang="pt-BR" sz="900" i="0">
                  <a:latin typeface="Cambria Math" panose="02040503050406030204" pitchFamily="18" charset="0"/>
                  <a:cs typeface="Sora" pitchFamily="2" charset="0"/>
                </a:rPr>
                <a:t>Number of active clients </a:t>
              </a:r>
              <a:r>
                <a:rPr lang="pt-BR" sz="900" b="0" i="0">
                  <a:latin typeface="Cambria Math" panose="02040503050406030204" pitchFamily="18" charset="0"/>
                  <a:cs typeface="Sora" pitchFamily="2" charset="0"/>
                </a:rPr>
                <a:t>at</a:t>
              </a:r>
              <a:r>
                <a:rPr lang="pt-BR" sz="900" i="0">
                  <a:latin typeface="Cambria Math" panose="02040503050406030204" pitchFamily="18" charset="0"/>
                  <a:cs typeface="Sora" pitchFamily="2" charset="0"/>
                </a:rPr>
                <a:t> the</a:t>
              </a:r>
              <a:r>
                <a:rPr lang="pt-BR" sz="900" b="0" i="0">
                  <a:latin typeface="Cambria Math" panose="02040503050406030204" pitchFamily="18" charset="0"/>
                  <a:cs typeface="Sora" pitchFamily="2" charset="0"/>
                </a:rPr>
                <a:t> end of the  </a:t>
              </a:r>
              <a:r>
                <a:rPr lang="pt-BR" sz="900" i="0">
                  <a:latin typeface="Cambria Math" panose="02040503050406030204" pitchFamily="18" charset="0"/>
                  <a:cs typeface="Sora" pitchFamily="2" charset="0"/>
                </a:rPr>
                <a:t>quarter</a:t>
              </a:r>
              <a:r>
                <a:rPr lang="en-US" sz="900" i="0">
                  <a:solidFill>
                    <a:schemeClr val="tx1"/>
                  </a:solidFill>
                  <a:latin typeface="Cambria Math" panose="02040503050406030204" pitchFamily="18" charset="0"/>
                  <a:cs typeface="Sora" pitchFamily="2" charset="0"/>
                </a:rPr>
                <a:t>)/(</a:t>
              </a:r>
              <a:r>
                <a:rPr lang="pt-BR" sz="900" i="0">
                  <a:latin typeface="Cambria Math" panose="02040503050406030204" pitchFamily="18" charset="0"/>
                  <a:cs typeface="Sora" pitchFamily="2" charset="0"/>
                </a:rPr>
                <a:t>Total number of employees at the end of the quarter, including interns</a:t>
              </a:r>
              <a:r>
                <a:rPr lang="en-US" sz="900" i="0">
                  <a:solidFill>
                    <a:schemeClr val="tx1"/>
                  </a:solidFill>
                  <a:latin typeface="Cambria Math" panose="02040503050406030204" pitchFamily="18" charset="0"/>
                  <a:cs typeface="Sora" pitchFamily="2" charset="0"/>
                </a:rPr>
                <a:t>)</a:t>
              </a:r>
              <a:endParaRPr lang="en-US" sz="900">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Card+PIX TPV:</a:t>
              </a:r>
            </a:p>
            <a:p>
              <a:pPr algn="just"/>
              <a:r>
                <a:rPr lang="en-US" sz="900">
                  <a:latin typeface="Calibri" panose="020F0502020204030204" pitchFamily="34" charset="0"/>
                  <a:ea typeface="Inter" panose="020B0502030000000004" pitchFamily="34" charset="0"/>
                  <a:cs typeface="Calibri" panose="020F0502020204030204" pitchFamily="34" charset="0"/>
                </a:rPr>
                <a:t>PIX, debit and credit cards and withdrawal transacted volumes of a given period. PIX is a Central Bank of Brazil solution to bring instant payments among banks and financial institutions in Brazil. </a:t>
              </a: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Card+PIX TPV per active client:</a:t>
              </a:r>
            </a:p>
            <a:p>
              <a:pPr algn="just"/>
              <a:r>
                <a:rPr lang="en-US" sz="900">
                  <a:latin typeface="Calibri" panose="020F0502020204030204" pitchFamily="34" charset="0"/>
                  <a:ea typeface="Inter" panose="020B0502030000000004" pitchFamily="34" charset="0"/>
                  <a:cs typeface="Calibri" panose="020F0502020204030204" pitchFamily="34" charset="0"/>
                </a:rPr>
                <a:t>Card+PIX TPV for a given period divided by the number of active clients as of the last day of the period. </a:t>
              </a:r>
            </a:p>
            <a:p>
              <a:pPr algn="just"/>
              <a:endParaRPr lang="en-US" sz="900" b="1">
                <a:latin typeface="Calibri" panose="020F05020202040302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xdr:txBody>
        </xdr:sp>
      </mc:Fallback>
    </mc:AlternateContent>
    <xdr:clientData/>
  </xdr:twoCellAnchor>
  <xdr:twoCellAnchor>
    <xdr:from>
      <xdr:col>0</xdr:col>
      <xdr:colOff>182608</xdr:colOff>
      <xdr:row>29</xdr:row>
      <xdr:rowOff>63922</xdr:rowOff>
    </xdr:from>
    <xdr:to>
      <xdr:col>6</xdr:col>
      <xdr:colOff>755210</xdr:colOff>
      <xdr:row>49</xdr:row>
      <xdr:rowOff>99933</xdr:rowOff>
    </xdr:to>
    <mc:AlternateContent xmlns:mc="http://schemas.openxmlformats.org/markup-compatibility/2006" xmlns:a14="http://schemas.microsoft.com/office/drawing/2010/main">
      <mc:Choice Requires="a14">
        <xdr:sp macro="" textlink="">
          <xdr:nvSpPr>
            <xdr:cNvPr id="15" name="Retângulo 4">
              <a:extLst>
                <a:ext uri="{FF2B5EF4-FFF2-40B4-BE49-F238E27FC236}">
                  <a16:creationId xmlns:a16="http://schemas.microsoft.com/office/drawing/2014/main" id="{00000000-0008-0000-1600-00000F000000}"/>
                </a:ext>
              </a:extLst>
            </xdr:cNvPr>
            <xdr:cNvSpPr/>
          </xdr:nvSpPr>
          <xdr:spPr>
            <a:xfrm>
              <a:off x="182608" y="5401603"/>
              <a:ext cx="5542167" cy="3717171"/>
            </a:xfrm>
            <a:prstGeom prst="rect">
              <a:avLst/>
            </a:prstGeom>
          </xdr:spPr>
          <xdr:txBody>
            <a:bodyPr wrap="square">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Client acquisition cost (CAC):</a:t>
              </a:r>
            </a:p>
            <a:p>
              <a:pPr algn="just"/>
              <a:r>
                <a:rPr lang="en-US" sz="900">
                  <a:latin typeface="Calibri" panose="020F0502020204030204" pitchFamily="34" charset="0"/>
                  <a:ea typeface="Inter" panose="020B0502030000000004" pitchFamily="34" charset="0"/>
                  <a:cs typeface="Calibri" panose="020F0502020204030204" pitchFamily="34" charset="0"/>
                </a:rPr>
                <a:t>The average cost to add a client to the platform, considering operating expenses for opening an account, such as onboarding personnel, embossing and sending cards and digital marketing expenses with a focus on client acquisition, divided by the number of accounts opened in the quarter. </a:t>
              </a: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merchandise volume (GMV):</a:t>
              </a:r>
            </a:p>
            <a:p>
              <a:pPr algn="just"/>
              <a:r>
                <a:rPr lang="en-US" sz="900">
                  <a:latin typeface="Calibri" panose="020F0502020204030204" pitchFamily="34" charset="0"/>
                  <a:ea typeface="Inter" panose="020B0502030000000004" pitchFamily="34" charset="0"/>
                  <a:cs typeface="Calibri" panose="020F0502020204030204" pitchFamily="34" charset="0"/>
                </a:rPr>
                <a:t>Gross merchandise value, or GMV, for a given period as the total value of all sales made or initiated through our Inter Shop &amp; Commerce Plus platform managed by Inter Shop &amp; Commerce Plus.</a:t>
              </a: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take rate:</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rPr>
                        </m:ctrlPr>
                      </m:fPr>
                      <m:num>
                        <m:r>
                          <m:rPr>
                            <m:sty m:val="p"/>
                          </m:rPr>
                          <a:rPr lang="pt-BR" sz="900">
                            <a:latin typeface="Cambria Math" panose="02040503050406030204" pitchFamily="18" charset="0"/>
                          </a:rPr>
                          <m:t>Inter</m:t>
                        </m:r>
                        <m:r>
                          <a:rPr lang="pt-BR" sz="900">
                            <a:latin typeface="Cambria Math" panose="02040503050406030204" pitchFamily="18" charset="0"/>
                          </a:rPr>
                          <m:t> </m:t>
                        </m:r>
                        <m:r>
                          <m:rPr>
                            <m:sty m:val="p"/>
                          </m:rPr>
                          <a:rPr lang="pt-BR" sz="900">
                            <a:latin typeface="Cambria Math" panose="02040503050406030204" pitchFamily="18" charset="0"/>
                          </a:rPr>
                          <m:t>Shop</m:t>
                        </m:r>
                        <m:r>
                          <a:rPr lang="pt-BR" sz="900">
                            <a:latin typeface="Cambria Math" panose="02040503050406030204" pitchFamily="18" charset="0"/>
                          </a:rPr>
                          <m:t> </m:t>
                        </m:r>
                        <m:r>
                          <m:rPr>
                            <m:sty m:val="p"/>
                          </m:rPr>
                          <a:rPr lang="pt-BR" sz="900">
                            <a:latin typeface="Cambria Math" panose="02040503050406030204" pitchFamily="18" charset="0"/>
                          </a:rPr>
                          <m:t>gross</m:t>
                        </m:r>
                        <m:r>
                          <a:rPr lang="pt-BR" sz="900">
                            <a:latin typeface="Cambria Math" panose="02040503050406030204" pitchFamily="18" charset="0"/>
                          </a:rPr>
                          <m:t> </m:t>
                        </m:r>
                        <m:r>
                          <m:rPr>
                            <m:sty m:val="p"/>
                          </m:rPr>
                          <a:rPr lang="pt-BR" sz="900" i="1">
                            <a:latin typeface="Cambria Math" panose="02040503050406030204" pitchFamily="18" charset="0"/>
                          </a:rPr>
                          <m:t>revenue</m:t>
                        </m:r>
                      </m:num>
                      <m:den>
                        <m:r>
                          <m:rPr>
                            <m:sty m:val="p"/>
                          </m:rPr>
                          <a:rPr lang="pt-BR" sz="900">
                            <a:latin typeface="Cambria Math" panose="02040503050406030204" pitchFamily="18" charset="0"/>
                          </a:rPr>
                          <m:t>GMV</m:t>
                        </m:r>
                      </m:den>
                    </m:f>
                  </m:oMath>
                </m:oMathPara>
              </a14:m>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Net take rate:</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rPr>
                        </m:ctrlPr>
                      </m:fPr>
                      <m:num>
                        <m:r>
                          <m:rPr>
                            <m:sty m:val="p"/>
                          </m:rPr>
                          <a:rPr lang="pt-BR" sz="900">
                            <a:latin typeface="Cambria Math" panose="02040503050406030204" pitchFamily="18" charset="0"/>
                          </a:rPr>
                          <m:t>Inter</m:t>
                        </m:r>
                        <m:r>
                          <a:rPr lang="pt-BR" sz="900">
                            <a:latin typeface="Cambria Math" panose="02040503050406030204" pitchFamily="18" charset="0"/>
                          </a:rPr>
                          <m:t> </m:t>
                        </m:r>
                        <m:r>
                          <m:rPr>
                            <m:sty m:val="p"/>
                          </m:rPr>
                          <a:rPr lang="pt-BR" sz="900">
                            <a:latin typeface="Cambria Math" panose="02040503050406030204" pitchFamily="18" charset="0"/>
                          </a:rPr>
                          <m:t>Shop</m:t>
                        </m:r>
                        <m:r>
                          <a:rPr lang="pt-BR" sz="900">
                            <a:latin typeface="Cambria Math" panose="02040503050406030204" pitchFamily="18" charset="0"/>
                          </a:rPr>
                          <m:t> </m:t>
                        </m:r>
                        <m:r>
                          <m:rPr>
                            <m:sty m:val="p"/>
                          </m:rPr>
                          <a:rPr lang="pt-BR" sz="900">
                            <a:latin typeface="Cambria Math" panose="02040503050406030204" pitchFamily="18" charset="0"/>
                          </a:rPr>
                          <m:t>net</m:t>
                        </m:r>
                        <m:r>
                          <a:rPr lang="pt-BR" sz="900">
                            <a:latin typeface="Cambria Math" panose="02040503050406030204" pitchFamily="18" charset="0"/>
                          </a:rPr>
                          <m:t> </m:t>
                        </m:r>
                        <m:r>
                          <m:rPr>
                            <m:sty m:val="p"/>
                          </m:rPr>
                          <a:rPr lang="pt-BR" sz="900" i="1">
                            <a:latin typeface="Cambria Math" panose="02040503050406030204" pitchFamily="18" charset="0"/>
                          </a:rPr>
                          <m:t>revenue</m:t>
                        </m:r>
                      </m:num>
                      <m:den>
                        <m:r>
                          <m:rPr>
                            <m:sty m:val="p"/>
                          </m:rPr>
                          <a:rPr lang="pt-BR" sz="900">
                            <a:latin typeface="Cambria Math" panose="02040503050406030204" pitchFamily="18" charset="0"/>
                          </a:rPr>
                          <m:t>GMV</m:t>
                        </m:r>
                      </m:den>
                    </m:f>
                  </m:oMath>
                </m:oMathPara>
              </a14:m>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xdr:txBody>
        </xdr:sp>
      </mc:Choice>
      <mc:Fallback xmlns="">
        <xdr:sp macro="" textlink="">
          <xdr:nvSpPr>
            <xdr:cNvPr id="15" name="Retângulo 4">
              <a:extLst>
                <a:ext uri="{FF2B5EF4-FFF2-40B4-BE49-F238E27FC236}">
                  <a16:creationId xmlns:a16="http://schemas.microsoft.com/office/drawing/2014/main" id="{6F5FBE76-732D-2025-5606-83466F1666EC}"/>
                </a:ext>
              </a:extLst>
            </xdr:cNvPr>
            <xdr:cNvSpPr/>
          </xdr:nvSpPr>
          <xdr:spPr>
            <a:xfrm>
              <a:off x="182608" y="5401603"/>
              <a:ext cx="5542167" cy="3717171"/>
            </a:xfrm>
            <a:prstGeom prst="rect">
              <a:avLst/>
            </a:prstGeom>
          </xdr:spPr>
          <xdr:txBody>
            <a:bodyPr wrap="square">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Client acquisition cost (CAC):</a:t>
              </a:r>
            </a:p>
            <a:p>
              <a:pPr algn="just"/>
              <a:r>
                <a:rPr lang="en-US" sz="900">
                  <a:latin typeface="Calibri" panose="020F0502020204030204" pitchFamily="34" charset="0"/>
                  <a:ea typeface="Inter" panose="020B0502030000000004" pitchFamily="34" charset="0"/>
                  <a:cs typeface="Calibri" panose="020F0502020204030204" pitchFamily="34" charset="0"/>
                </a:rPr>
                <a:t>The average cost to add a client to the platform, considering operating expenses for opening an account, such as onboarding personnel, embossing and sending cards and digital marketing expenses with a focus on client acquisition, divided by the number of accounts opened in the quarter. </a:t>
              </a: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merchandise volume (GMV):</a:t>
              </a:r>
            </a:p>
            <a:p>
              <a:pPr algn="just"/>
              <a:r>
                <a:rPr lang="en-US" sz="900">
                  <a:latin typeface="Calibri" panose="020F0502020204030204" pitchFamily="34" charset="0"/>
                  <a:ea typeface="Inter" panose="020B0502030000000004" pitchFamily="34" charset="0"/>
                  <a:cs typeface="Calibri" panose="020F0502020204030204" pitchFamily="34" charset="0"/>
                </a:rPr>
                <a:t>Gross merchandise value, or GMV, for a given period as the total value of all sales made or initiated through our Inter Shop &amp; Commerce Plus platform managed by Inter Shop &amp; Commerce Plus.</a:t>
              </a:r>
            </a:p>
            <a:p>
              <a:pPr algn="just"/>
              <a:endParaRPr lang="en-US" sz="9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take rate:</a:t>
              </a:r>
            </a:p>
            <a:p>
              <a:endParaRPr lang="en-US" sz="900" b="1">
                <a:latin typeface="Calibri" panose="020F0502020204030204" pitchFamily="34" charset="0"/>
                <a:cs typeface="Calibri" panose="020F0502020204030204" pitchFamily="34" charset="0"/>
              </a:endParaRPr>
            </a:p>
            <a:p>
              <a:pPr/>
              <a:r>
                <a:rPr lang="pt-BR" sz="900" i="0">
                  <a:latin typeface="Cambria Math" panose="02040503050406030204" pitchFamily="18" charset="0"/>
                </a:rPr>
                <a:t>(Inter Shop gross revenue)/GMV</a:t>
              </a:r>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Net take rate:</a:t>
              </a:r>
            </a:p>
            <a:p>
              <a:endParaRPr lang="en-US" sz="900" b="1">
                <a:latin typeface="Calibri" panose="020F0502020204030204" pitchFamily="34" charset="0"/>
                <a:cs typeface="Calibri" panose="020F0502020204030204" pitchFamily="34" charset="0"/>
              </a:endParaRPr>
            </a:p>
            <a:p>
              <a:pPr/>
              <a:r>
                <a:rPr lang="pt-BR" sz="900" i="0">
                  <a:latin typeface="Cambria Math" panose="02040503050406030204" pitchFamily="18" charset="0"/>
                </a:rPr>
                <a:t>(Inter Shop net revenue)/GMV</a:t>
              </a:r>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xdr:txBody>
        </xdr:sp>
      </mc:Fallback>
    </mc:AlternateContent>
    <xdr:clientData/>
  </xdr:twoCellAnchor>
  <xdr:twoCellAnchor>
    <xdr:from>
      <xdr:col>0</xdr:col>
      <xdr:colOff>177800</xdr:colOff>
      <xdr:row>53</xdr:row>
      <xdr:rowOff>0</xdr:rowOff>
    </xdr:from>
    <xdr:to>
      <xdr:col>7</xdr:col>
      <xdr:colOff>144745</xdr:colOff>
      <xdr:row>85</xdr:row>
      <xdr:rowOff>1180</xdr:rowOff>
    </xdr:to>
    <mc:AlternateContent xmlns:mc="http://schemas.openxmlformats.org/markup-compatibility/2006" xmlns:a14="http://schemas.microsoft.com/office/drawing/2010/main">
      <mc:Choice Requires="a14">
        <xdr:sp macro="" textlink="">
          <xdr:nvSpPr>
            <xdr:cNvPr id="21" name="Retângulo 9">
              <a:extLst>
                <a:ext uri="{FF2B5EF4-FFF2-40B4-BE49-F238E27FC236}">
                  <a16:creationId xmlns:a16="http://schemas.microsoft.com/office/drawing/2014/main" id="{00000000-0008-0000-1600-000015000000}"/>
                </a:ext>
              </a:extLst>
            </xdr:cNvPr>
            <xdr:cNvSpPr/>
          </xdr:nvSpPr>
          <xdr:spPr>
            <a:xfrm>
              <a:off x="177800" y="9755072"/>
              <a:ext cx="5764771" cy="5891036"/>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Administrative 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ea typeface="Cambria Math" panose="02040503050406030204" pitchFamily="18" charset="0"/>
                          </a:rPr>
                        </m:ctrlPr>
                      </m:fPr>
                      <m:num>
                        <m:r>
                          <m:rPr>
                            <m:sty m:val="p"/>
                          </m:rPr>
                          <a:rPr lang="pt-BR" sz="800">
                            <a:latin typeface="Cambria Math" panose="02040503050406030204" pitchFamily="18" charset="0"/>
                            <a:ea typeface="Cambria Math" panose="02040503050406030204" pitchFamily="18" charset="0"/>
                          </a:rPr>
                          <m:t>Administrative</m:t>
                        </m:r>
                        <m:r>
                          <a:rPr lang="pt-BR" sz="800">
                            <a:latin typeface="Cambria Math" panose="02040503050406030204" pitchFamily="18" charset="0"/>
                            <a:ea typeface="Cambria Math" panose="02040503050406030204" pitchFamily="18" charset="0"/>
                          </a:rPr>
                          <m:t> </m:t>
                        </m:r>
                        <m:r>
                          <m:rPr>
                            <m:sty m:val="p"/>
                          </m:rPr>
                          <a:rPr lang="pt-BR" sz="800">
                            <a:latin typeface="Cambria Math" panose="02040503050406030204" pitchFamily="18" charset="0"/>
                            <a:ea typeface="Cambria Math" panose="02040503050406030204" pitchFamily="18" charset="0"/>
                          </a:rPr>
                          <m:t>expenses</m:t>
                        </m:r>
                        <m:r>
                          <a:rPr lang="pt-BR" sz="800">
                            <a:latin typeface="Cambria Math" panose="02040503050406030204" pitchFamily="18" charset="0"/>
                            <a:ea typeface="Cambria Math" panose="02040503050406030204" pitchFamily="18" charset="0"/>
                          </a:rPr>
                          <m:t>+</m:t>
                        </m:r>
                        <m:r>
                          <m:rPr>
                            <m:sty m:val="p"/>
                          </m:rPr>
                          <a:rPr lang="pt-BR" sz="800">
                            <a:latin typeface="Cambria Math" panose="02040503050406030204" pitchFamily="18" charset="0"/>
                            <a:ea typeface="Cambria Math" panose="02040503050406030204" pitchFamily="18" charset="0"/>
                          </a:rPr>
                          <m:t>Depreciation</m:t>
                        </m:r>
                        <m:r>
                          <a:rPr lang="pt-BR" sz="800">
                            <a:latin typeface="Cambria Math" panose="02040503050406030204" pitchFamily="18" charset="0"/>
                            <a:ea typeface="Cambria Math" panose="02040503050406030204" pitchFamily="18" charset="0"/>
                          </a:rPr>
                          <m:t> </m:t>
                        </m:r>
                        <m:r>
                          <m:rPr>
                            <m:sty m:val="p"/>
                          </m:rPr>
                          <a:rPr lang="pt-BR" sz="800">
                            <a:latin typeface="Cambria Math" panose="02040503050406030204" pitchFamily="18" charset="0"/>
                            <a:ea typeface="Cambria Math" panose="02040503050406030204" pitchFamily="18" charset="0"/>
                          </a:rPr>
                          <m:t>and</m:t>
                        </m:r>
                        <m:r>
                          <a:rPr lang="pt-BR" sz="800">
                            <a:latin typeface="Cambria Math" panose="02040503050406030204" pitchFamily="18" charset="0"/>
                            <a:ea typeface="Cambria Math" panose="02040503050406030204" pitchFamily="18" charset="0"/>
                          </a:rPr>
                          <m:t> </m:t>
                        </m:r>
                        <m:r>
                          <m:rPr>
                            <m:sty m:val="p"/>
                          </m:rPr>
                          <a:rPr lang="pt-BR" sz="800">
                            <a:latin typeface="Cambria Math" panose="02040503050406030204" pitchFamily="18" charset="0"/>
                            <a:ea typeface="Cambria Math" panose="02040503050406030204" pitchFamily="18" charset="0"/>
                          </a:rPr>
                          <m:t>amortization</m:t>
                        </m:r>
                      </m:num>
                      <m:den>
                        <m:r>
                          <m:rPr>
                            <m:sty m:val="p"/>
                          </m:rPr>
                          <a:rPr lang="en-US" sz="800" b="0" i="0">
                            <a:latin typeface="Cambria Math" panose="02040503050406030204" pitchFamily="18" charset="0"/>
                            <a:ea typeface="Cambria Math" panose="02040503050406030204" pitchFamily="18" charset="0"/>
                          </a:rPr>
                          <m:t>Net</m:t>
                        </m:r>
                        <m:r>
                          <a:rPr lang="en-US" sz="800" b="0" i="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Interest</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Income</m:t>
                        </m:r>
                        <m:r>
                          <a:rPr lang="en-US" sz="800">
                            <a:latin typeface="Cambria Math" panose="02040503050406030204" pitchFamily="18" charset="0"/>
                            <a:ea typeface="Cambria Math" panose="02040503050406030204" pitchFamily="18" charset="0"/>
                          </a:rPr>
                          <m:t>+</m:t>
                        </m:r>
                        <m:r>
                          <m:rPr>
                            <m:sty m:val="p"/>
                          </m:rPr>
                          <a:rPr lang="en-US" sz="800">
                            <a:latin typeface="Cambria Math" panose="02040503050406030204" pitchFamily="18" charset="0"/>
                            <a:ea typeface="Cambria Math" panose="02040503050406030204" pitchFamily="18" charset="0"/>
                          </a:rPr>
                          <m:t>Net</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result</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from</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services</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and</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comissions</m:t>
                        </m:r>
                        <m:r>
                          <a:rPr lang="en-US" sz="800">
                            <a:latin typeface="Cambria Math" panose="02040503050406030204" pitchFamily="18" charset="0"/>
                            <a:ea typeface="Cambria Math" panose="02040503050406030204" pitchFamily="18" charset="0"/>
                          </a:rPr>
                          <m:t>+</m:t>
                        </m:r>
                        <m:r>
                          <m:rPr>
                            <m:sty m:val="p"/>
                          </m:rPr>
                          <a:rPr lang="en-US" sz="800">
                            <a:latin typeface="Cambria Math" panose="02040503050406030204" pitchFamily="18" charset="0"/>
                            <a:ea typeface="Cambria Math" panose="02040503050406030204" pitchFamily="18" charset="0"/>
                          </a:rPr>
                          <m:t>Other</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revenue</m:t>
                        </m:r>
                        <m:r>
                          <a:rPr lang="en-US" sz="800">
                            <a:latin typeface="Cambria Math" panose="02040503050406030204" pitchFamily="18" charset="0"/>
                            <a:ea typeface="Cambria Math" panose="02040503050406030204" pitchFamily="18" charset="0"/>
                          </a:rPr>
                          <m:t>−</m:t>
                        </m:r>
                        <m:r>
                          <m:rPr>
                            <m:sty m:val="p"/>
                          </m:rPr>
                          <a:rPr lang="en-US" sz="800">
                            <a:latin typeface="Cambria Math" panose="02040503050406030204" pitchFamily="18" charset="0"/>
                            <a:ea typeface="Cambria Math" panose="02040503050406030204" pitchFamily="18" charset="0"/>
                          </a:rPr>
                          <m:t>Tax</m:t>
                        </m:r>
                        <m:r>
                          <a:rPr lang="en-US" sz="800">
                            <a:latin typeface="Cambria Math" panose="02040503050406030204" pitchFamily="18" charset="0"/>
                            <a:ea typeface="Cambria Math" panose="02040503050406030204" pitchFamily="18" charset="0"/>
                          </a:rPr>
                          <m:t> </m:t>
                        </m:r>
                        <m:r>
                          <m:rPr>
                            <m:sty m:val="p"/>
                          </m:rPr>
                          <a:rPr lang="en-US" sz="800">
                            <a:latin typeface="Cambria Math" panose="02040503050406030204" pitchFamily="18" charset="0"/>
                            <a:ea typeface="Cambria Math" panose="02040503050406030204" pitchFamily="18" charset="0"/>
                          </a:rPr>
                          <m:t>expense</m:t>
                        </m:r>
                      </m:den>
                    </m:f>
                    <m:r>
                      <a:rPr lang="en-US" sz="800" i="1">
                        <a:latin typeface="Cambria Math" panose="02040503050406030204" pitchFamily="18" charset="0"/>
                        <a:ea typeface="Cambria Math" panose="02040503050406030204" pitchFamily="18" charset="0"/>
                      </a:rPr>
                      <m:t> </m:t>
                    </m:r>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Annualized interest rates:</a:t>
              </a:r>
            </a:p>
            <a:p>
              <a:pPr algn="just"/>
              <a:r>
                <a:rPr lang="en-US" sz="900">
                  <a:latin typeface="Calibri" panose="020F0502020204030204" pitchFamily="34" charset="0"/>
                  <a:ea typeface="Inter" panose="020B0502030000000004" pitchFamily="34" charset="0"/>
                  <a:cs typeface="Calibri" panose="020F0502020204030204" pitchFamily="34" charset="0"/>
                </a:rPr>
                <a:t>Yearly rate calculated by multiplying the quarterly interest by four, over the average portfolio of the last two quarters. All-in loans rate considers Real Estate, Personnal +FGTS, SMBs, Credit Card, excluding non-interest earnings credit card receivables, and Anticipation of Credit Card Receivables.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Anticipation of credit card receivables:</a:t>
              </a:r>
            </a:p>
            <a:p>
              <a:pPr algn="just"/>
              <a:r>
                <a:rPr lang="en-US" sz="900">
                  <a:latin typeface="Calibri" panose="020F0502020204030204" pitchFamily="34" charset="0"/>
                  <a:ea typeface="Inter" panose="020B0502030000000004" pitchFamily="34" charset="0"/>
                  <a:cs typeface="Calibri" panose="020F0502020204030204" pitchFamily="34" charset="0"/>
                </a:rPr>
                <a:t>Disclosed in note 9.a of the Financial Statements, line " "Loans to financial institutions”.</a:t>
              </a:r>
            </a:p>
            <a:p>
              <a:pPr algn="just"/>
              <a:endParaRPr lang="en-US" sz="900">
                <a:latin typeface="Calibri" panose="020F0502020204030204" pitchFamily="34" charset="0"/>
                <a:ea typeface="Inter" panose="020B0502030000000004" pitchFamily="34" charset="0"/>
                <a:cs typeface="Calibri" panose="020F0502020204030204" pitchFamily="34" charset="0"/>
              </a:endParaRPr>
            </a:p>
            <a:p>
              <a:pPr algn="just"/>
              <a:r>
                <a:rPr lang="en-US" sz="900" b="1">
                  <a:latin typeface="Calibri" panose="020F0502020204030204" pitchFamily="34" charset="0"/>
                  <a:cs typeface="Calibri" panose="020F0502020204030204" pitchFamily="34" charset="0"/>
                </a:rPr>
                <a:t>ARPAC gross of interest expenses:</a:t>
              </a:r>
            </a:p>
            <a:p>
              <a:pPr algn="just"/>
              <a:endParaRPr lang="en-US" sz="900">
                <a:latin typeface="Calibri" panose="020F0502020204030204" pitchFamily="34" charset="0"/>
                <a:ea typeface="Inter" panose="020B05020300000000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ea typeface="Cambria Math" panose="02040503050406030204" pitchFamily="18" charset="0"/>
                            <a:cs typeface="Sora" pitchFamily="2" charset="0"/>
                          </a:rPr>
                        </m:ctrlPr>
                      </m:fPr>
                      <m:num>
                        <m:eqArr>
                          <m:eqArrPr>
                            <m:ctrlPr>
                              <a:rPr lang="en-US" sz="800" b="0" i="1">
                                <a:solidFill>
                                  <a:schemeClr val="tx1"/>
                                </a:solidFill>
                                <a:latin typeface="Cambria Math" panose="02040503050406030204" pitchFamily="18" charset="0"/>
                                <a:ea typeface="Cambria Math" panose="02040503050406030204" pitchFamily="18" charset="0"/>
                                <a:cs typeface="Sora" pitchFamily="2" charset="0"/>
                              </a:rPr>
                            </m:ctrlPr>
                          </m:eqArrPr>
                          <m:e>
                            <m:r>
                              <a:rPr lang="en-US" sz="800" b="0" i="0">
                                <a:solidFill>
                                  <a:schemeClr val="tx1"/>
                                </a:solidFill>
                                <a:latin typeface="Cambria Math" panose="02040503050406030204" pitchFamily="18" charset="0"/>
                                <a:ea typeface="Cambria Math" panose="02040503050406030204" pitchFamily="18" charset="0"/>
                                <a:cs typeface="Sora" pitchFamily="2" charset="0"/>
                              </a:rPr>
                              <m:t>(</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Interest</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income</m:t>
                            </m:r>
                            <m:r>
                              <a:rPr lang="en-US" sz="800" b="0" i="0">
                                <a:solidFill>
                                  <a:schemeClr val="tx1"/>
                                </a:solidFill>
                                <a:latin typeface="Cambria Math" panose="02040503050406030204" pitchFamily="18" charset="0"/>
                                <a:ea typeface="Cambria Math" panose="02040503050406030204" pitchFamily="18" charset="0"/>
                                <a:cs typeface="Sora" pitchFamily="2" charset="0"/>
                              </a:rPr>
                              <m:t>+(</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Revenue</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from</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services</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and</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comissions</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Cashback</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Inter</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rewards</m:t>
                            </m:r>
                            <m:r>
                              <a:rPr lang="en-US" sz="800" b="0" i="0">
                                <a:solidFill>
                                  <a:schemeClr val="tx1"/>
                                </a:solidFill>
                                <a:latin typeface="Cambria Math" panose="02040503050406030204" pitchFamily="18" charset="0"/>
                                <a:ea typeface="Cambria Math" panose="02040503050406030204" pitchFamily="18" charset="0"/>
                                <a:cs typeface="Sora" pitchFamily="2" charset="0"/>
                              </a:rPr>
                              <m:t>)</m:t>
                            </m:r>
                          </m:e>
                          <m:e>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Income</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from</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securities</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and</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derivarives</m:t>
                            </m:r>
                            <m:r>
                              <a:rPr lang="en-US" sz="800" b="0" i="0">
                                <a:solidFill>
                                  <a:schemeClr val="tx1"/>
                                </a:solidFill>
                                <a:latin typeface="Cambria Math" panose="02040503050406030204" pitchFamily="18" charset="0"/>
                                <a:ea typeface="Cambria Math" panose="02040503050406030204" pitchFamily="18" charset="0"/>
                                <a:cs typeface="Sora" pitchFamily="2" charset="0"/>
                              </a:rPr>
                              <m:t>+</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Other</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revenue</m:t>
                            </m:r>
                            <m:r>
                              <a:rPr lang="en-US" sz="800" b="0" i="0">
                                <a:solidFill>
                                  <a:schemeClr val="tx1"/>
                                </a:solidFill>
                                <a:latin typeface="Cambria Math" panose="02040503050406030204" pitchFamily="18" charset="0"/>
                                <a:ea typeface="Cambria Math" panose="02040503050406030204" pitchFamily="18" charset="0"/>
                                <a:cs typeface="Sora" pitchFamily="2" charset="0"/>
                              </a:rPr>
                              <m:t>)÷3</m:t>
                            </m:r>
                          </m:e>
                        </m:eqArr>
                      </m:num>
                      <m:den>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Average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of</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the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last</m:t>
                        </m:r>
                        <m:r>
                          <a:rPr lang="en-US" sz="800" i="0">
                            <a:solidFill>
                              <a:schemeClr val="tx1"/>
                            </a:solidFill>
                            <a:latin typeface="Cambria Math" panose="02040503050406030204" pitchFamily="18" charset="0"/>
                            <a:ea typeface="Cambria Math" panose="02040503050406030204" pitchFamily="18" charset="0"/>
                            <a:cs typeface="Sora" pitchFamily="2" charset="0"/>
                          </a:rPr>
                          <m:t> 2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quarters</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Active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Clients</m:t>
                        </m:r>
                      </m:den>
                    </m:f>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ARPAC net of interest expenses:</a:t>
              </a:r>
            </a:p>
            <a:p>
              <a:pPr algn="ctr"/>
              <a:br>
                <a:rPr lang="en-US" sz="800" b="1">
                  <a:solidFill>
                    <a:schemeClr val="tx1"/>
                  </a:solidFill>
                  <a:latin typeface="Calibri" panose="020F0502020204030204" pitchFamily="34" charset="0"/>
                  <a:ea typeface="Cambria Math" panose="02040503050406030204" pitchFamily="18" charset="0"/>
                  <a:cs typeface="Calibri" panose="020F0502020204030204" pitchFamily="34" charset="0"/>
                </a:rPr>
              </a:br>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ea typeface="Cambria Math" panose="02040503050406030204" pitchFamily="18" charset="0"/>
                            <a:cs typeface="Sora" pitchFamily="2" charset="0"/>
                          </a:rPr>
                        </m:ctrlPr>
                      </m:fPr>
                      <m:num>
                        <m:r>
                          <a:rPr lang="en-US" sz="800" i="0">
                            <a:solidFill>
                              <a:schemeClr val="tx1"/>
                            </a:solidFill>
                            <a:latin typeface="Cambria Math" panose="02040503050406030204" pitchFamily="18" charset="0"/>
                            <a:ea typeface="Cambria Math" panose="02040503050406030204" pitchFamily="18" charset="0"/>
                            <a:cs typeface="Sora" pitchFamily="2" charset="0"/>
                          </a:rPr>
                          <m:t>(</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Revenue</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Interest</m:t>
                        </m:r>
                        <m:r>
                          <a:rPr lang="en-US" sz="800" b="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b="0" i="0">
                            <a:solidFill>
                              <a:schemeClr val="tx1"/>
                            </a:solidFill>
                            <a:latin typeface="Cambria Math" panose="02040503050406030204" pitchFamily="18" charset="0"/>
                            <a:ea typeface="Cambria Math" panose="02040503050406030204" pitchFamily="18" charset="0"/>
                            <a:cs typeface="Sora" pitchFamily="2" charset="0"/>
                          </a:rPr>
                          <m:t>expenses</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a:rPr lang="en-US" sz="800" b="0" i="0">
                            <a:solidFill>
                              <a:schemeClr val="tx1"/>
                            </a:solidFill>
                            <a:latin typeface="Cambria Math" panose="02040503050406030204" pitchFamily="18" charset="0"/>
                            <a:ea typeface="Cambria Math" panose="02040503050406030204" pitchFamily="18" charset="0"/>
                            <a:cs typeface="Sora" pitchFamily="2" charset="0"/>
                          </a:rPr>
                          <m:t>3</m:t>
                        </m:r>
                      </m:num>
                      <m:den>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Average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of</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the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last</m:t>
                        </m:r>
                        <m:r>
                          <a:rPr lang="en-US" sz="800" i="0">
                            <a:solidFill>
                              <a:schemeClr val="tx1"/>
                            </a:solidFill>
                            <a:latin typeface="Cambria Math" panose="02040503050406030204" pitchFamily="18" charset="0"/>
                            <a:ea typeface="Cambria Math" panose="02040503050406030204" pitchFamily="18" charset="0"/>
                            <a:cs typeface="Sora" pitchFamily="2" charset="0"/>
                          </a:rPr>
                          <m:t> 2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quarters</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Active</m:t>
                        </m:r>
                        <m:r>
                          <a:rPr lang="en-US" sz="800" i="0">
                            <a:solidFill>
                              <a:schemeClr val="tx1"/>
                            </a:solidFill>
                            <a:latin typeface="Cambria Math" panose="02040503050406030204" pitchFamily="18" charset="0"/>
                            <a:ea typeface="Cambria Math" panose="02040503050406030204" pitchFamily="18" charset="0"/>
                            <a:cs typeface="Sora" pitchFamily="2" charset="0"/>
                          </a:rPr>
                          <m:t> </m:t>
                        </m:r>
                        <m:r>
                          <m:rPr>
                            <m:sty m:val="p"/>
                          </m:rPr>
                          <a:rPr lang="en-US" sz="800" i="0">
                            <a:solidFill>
                              <a:schemeClr val="tx1"/>
                            </a:solidFill>
                            <a:latin typeface="Cambria Math" panose="02040503050406030204" pitchFamily="18" charset="0"/>
                            <a:ea typeface="Cambria Math" panose="02040503050406030204" pitchFamily="18" charset="0"/>
                            <a:cs typeface="Sora" pitchFamily="2" charset="0"/>
                          </a:rPr>
                          <m:t>Clients</m:t>
                        </m:r>
                      </m:den>
                    </m:f>
                  </m:oMath>
                </m:oMathPara>
              </a14:m>
              <a:endParaRPr lang="en-US" sz="800" b="1">
                <a:solidFill>
                  <a:schemeClr val="tx1"/>
                </a:solidFill>
                <a:latin typeface="Calibri" panose="020F0502020204030204" pitchFamily="34" charset="0"/>
                <a:ea typeface="Cambria Math" panose="02040503050406030204" pitchFamily="18" charset="0"/>
                <a:cs typeface="Calibri" panose="020F0502020204030204" pitchFamily="34" charset="0"/>
              </a:endParaRPr>
            </a:p>
            <a:p>
              <a:pPr algn="ctr"/>
              <a:endParaRPr lang="en-US" sz="800">
                <a:solidFill>
                  <a:schemeClr val="tx1"/>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ARPAC per quarterly cohort:</a:t>
              </a:r>
            </a:p>
            <a:p>
              <a:pPr algn="just"/>
              <a:r>
                <a:rPr lang="en-US" sz="900">
                  <a:latin typeface="Calibri" panose="020F0502020204030204" pitchFamily="34" charset="0"/>
                  <a:ea typeface="Inter" panose="020B0502030000000004" pitchFamily="34" charset="0"/>
                  <a:cs typeface="Calibri" panose="020F0502020204030204" pitchFamily="34" charset="0"/>
                </a:rPr>
                <a:t>Total Gross revenue net of interest expenses in a given cohort divided by the average number of active clients in the current and previous periods1. Cohort is defined as the period in which the client started his relationship with Inter.</a:t>
              </a:r>
              <a:br>
                <a:rPr lang="en-US" sz="900">
                  <a:latin typeface="Calibri" panose="020F0502020204030204" pitchFamily="34" charset="0"/>
                  <a:ea typeface="Inter" panose="020B0502030000000004" pitchFamily="34" charset="0"/>
                  <a:cs typeface="Calibri" panose="020F0502020204030204" pitchFamily="34" charset="0"/>
                </a:rPr>
              </a:br>
              <a:endParaRPr lang="en-US" sz="900">
                <a:latin typeface="Calibri" panose="020F0502020204030204" pitchFamily="34" charset="0"/>
                <a:ea typeface="Inter" panose="020B0502030000000004" pitchFamily="34" charset="0"/>
                <a:cs typeface="Calibri" panose="020F0502020204030204" pitchFamily="34" charset="0"/>
              </a:endParaRPr>
            </a:p>
            <a:p>
              <a:r>
                <a:rPr lang="en-US" sz="900" baseline="30000">
                  <a:latin typeface="Calibri" panose="020F0502020204030204" pitchFamily="34" charset="0"/>
                  <a:ea typeface="Cambria Math" panose="02040503050406030204" pitchFamily="18" charset="0"/>
                  <a:cs typeface="Calibri" panose="020F0502020204030204" pitchFamily="34" charset="0"/>
                </a:rPr>
                <a:t>1 - Average number of active clients in the current and previous periods: For the first period, is used the total number of active clients in the end of the period.</a:t>
              </a:r>
            </a:p>
            <a:p>
              <a:endParaRPr lang="en-US" sz="800" baseline="30000">
                <a:latin typeface="Calibri" panose="020F0502020204030204" pitchFamily="34" charset="0"/>
                <a:ea typeface="Cambria Math" panose="02040503050406030204" pitchFamily="18" charset="0"/>
                <a:cs typeface="Calibri" panose="020F0502020204030204" pitchFamily="34" charset="0"/>
              </a:endParaRPr>
            </a:p>
            <a:p>
              <a:endParaRPr lang="en-US" sz="800" baseline="30000">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Assets under custody (AuC):</a:t>
              </a:r>
            </a:p>
            <a:p>
              <a:pPr algn="just"/>
              <a:r>
                <a:rPr lang="en-US" sz="900">
                  <a:latin typeface="Calibri" panose="020F0502020204030204" pitchFamily="34" charset="0"/>
                  <a:ea typeface="Inter" panose="020B0502030000000004" pitchFamily="34" charset="0"/>
                  <a:cs typeface="Calibri" panose="020F0502020204030204" pitchFamily="34" charset="0"/>
                </a:rPr>
                <a:t>We calculate assets under custody, or AUC, at a given date as the market value of all retail clients’ assets invested through our investment platform as of that same date. We believe that AUC, as it reflects the total volume of assets invested in our investment platform without accounting for our operational efficiency, provides us useful insight on the appeal of our platform. We use this metric to monitor the size of our investment platform.</a:t>
              </a:r>
            </a:p>
            <a:p>
              <a:endParaRPr lang="en-US" sz="800">
                <a:latin typeface="Calibri" panose="020F0502020204030204" pitchFamily="34" charset="0"/>
                <a:ea typeface="Cambria Math" panose="02040503050406030204" pitchFamily="18" charset="0"/>
                <a:cs typeface="Calibri" panose="020F0502020204030204" pitchFamily="34" charset="0"/>
              </a:endParaRPr>
            </a:p>
          </xdr:txBody>
        </xdr:sp>
      </mc:Choice>
      <mc:Fallback xmlns="">
        <xdr:sp macro="" textlink="">
          <xdr:nvSpPr>
            <xdr:cNvPr id="21" name="Retângulo 9">
              <a:extLst>
                <a:ext uri="{FF2B5EF4-FFF2-40B4-BE49-F238E27FC236}">
                  <a16:creationId xmlns:a16="http://schemas.microsoft.com/office/drawing/2014/main" id="{70BBBFDC-97EA-DB78-9935-3D590DAA2910}"/>
                </a:ext>
              </a:extLst>
            </xdr:cNvPr>
            <xdr:cNvSpPr/>
          </xdr:nvSpPr>
          <xdr:spPr>
            <a:xfrm>
              <a:off x="177800" y="9755072"/>
              <a:ext cx="5764771" cy="5891036"/>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Administrative 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r>
                <a:rPr lang="en-US" sz="800" i="0">
                  <a:latin typeface="Cambria Math" panose="02040503050406030204" pitchFamily="18" charset="0"/>
                  <a:ea typeface="Cambria Math" panose="02040503050406030204" pitchFamily="18" charset="0"/>
                </a:rPr>
                <a:t>(</a:t>
              </a:r>
              <a:r>
                <a:rPr lang="pt-BR" sz="800" i="0">
                  <a:latin typeface="Cambria Math" panose="02040503050406030204" pitchFamily="18" charset="0"/>
                  <a:ea typeface="Cambria Math" panose="02040503050406030204" pitchFamily="18" charset="0"/>
                </a:rPr>
                <a:t>Administrative expenses+Depreciation and amortization</a:t>
              </a:r>
              <a:r>
                <a:rPr lang="en-US" sz="800" i="0">
                  <a:latin typeface="Cambria Math" panose="02040503050406030204" pitchFamily="18" charset="0"/>
                  <a:ea typeface="Cambria Math" panose="02040503050406030204" pitchFamily="18" charset="0"/>
                </a:rPr>
                <a:t>)/(</a:t>
              </a:r>
              <a:r>
                <a:rPr lang="en-US" sz="800" b="0" i="0">
                  <a:latin typeface="Cambria Math" panose="02040503050406030204" pitchFamily="18" charset="0"/>
                  <a:ea typeface="Cambria Math" panose="02040503050406030204" pitchFamily="18" charset="0"/>
                </a:rPr>
                <a:t>Net </a:t>
              </a:r>
              <a:r>
                <a:rPr lang="en-US" sz="800" i="0">
                  <a:latin typeface="Cambria Math" panose="02040503050406030204" pitchFamily="18" charset="0"/>
                  <a:ea typeface="Cambria Math" panose="02040503050406030204" pitchFamily="18" charset="0"/>
                </a:rPr>
                <a:t>Interest Income+Net result from services and comissions+Other revenue−Tax expense)  </a:t>
              </a: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Annualized interest rates:</a:t>
              </a:r>
            </a:p>
            <a:p>
              <a:pPr algn="just"/>
              <a:r>
                <a:rPr lang="en-US" sz="900">
                  <a:latin typeface="Calibri" panose="020F0502020204030204" pitchFamily="34" charset="0"/>
                  <a:ea typeface="Inter" panose="020B0502030000000004" pitchFamily="34" charset="0"/>
                  <a:cs typeface="Calibri" panose="020F0502020204030204" pitchFamily="34" charset="0"/>
                </a:rPr>
                <a:t>Yearly rate calculated by multiplying the quarterly interest by four, over the average portfolio of the last two quarters. All-in loans rate considers Real Estate, Personnal +FGTS, SMBs, Credit Card, excluding non-interest earnings credit card receivables, and Anticipation of Credit Card Receivables.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Anticipation of credit card receivables:</a:t>
              </a:r>
            </a:p>
            <a:p>
              <a:pPr algn="just"/>
              <a:r>
                <a:rPr lang="en-US" sz="900">
                  <a:latin typeface="Calibri" panose="020F0502020204030204" pitchFamily="34" charset="0"/>
                  <a:ea typeface="Inter" panose="020B0502030000000004" pitchFamily="34" charset="0"/>
                  <a:cs typeface="Calibri" panose="020F0502020204030204" pitchFamily="34" charset="0"/>
                </a:rPr>
                <a:t>Disclosed in note 9.a of the Financial Statements, line " "Loans to financial institutions”.</a:t>
              </a:r>
            </a:p>
            <a:p>
              <a:pPr algn="just"/>
              <a:endParaRPr lang="en-US" sz="900">
                <a:latin typeface="Calibri" panose="020F0502020204030204" pitchFamily="34" charset="0"/>
                <a:ea typeface="Inter" panose="020B0502030000000004" pitchFamily="34" charset="0"/>
                <a:cs typeface="Calibri" panose="020F0502020204030204" pitchFamily="34" charset="0"/>
              </a:endParaRPr>
            </a:p>
            <a:p>
              <a:pPr algn="just"/>
              <a:r>
                <a:rPr lang="en-US" sz="900" b="1">
                  <a:latin typeface="Calibri" panose="020F0502020204030204" pitchFamily="34" charset="0"/>
                  <a:cs typeface="Calibri" panose="020F0502020204030204" pitchFamily="34" charset="0"/>
                </a:rPr>
                <a:t>ARPAC gross of interest expenses:</a:t>
              </a:r>
            </a:p>
            <a:p>
              <a:pPr algn="just"/>
              <a:endParaRPr lang="en-US" sz="900">
                <a:latin typeface="Calibri" panose="020F0502020204030204" pitchFamily="34" charset="0"/>
                <a:ea typeface="Inter" panose="020B0502030000000004" pitchFamily="34" charset="0"/>
                <a:cs typeface="Calibri" panose="020F0502020204030204" pitchFamily="34" charset="0"/>
              </a:endParaRPr>
            </a:p>
            <a:p>
              <a:pPr/>
              <a:r>
                <a:rPr lang="en-US" sz="800" b="0" i="0">
                  <a:solidFill>
                    <a:schemeClr val="tx1"/>
                  </a:solidFill>
                  <a:latin typeface="Cambria Math" panose="02040503050406030204" pitchFamily="18" charset="0"/>
                  <a:ea typeface="Cambria Math" panose="02040503050406030204" pitchFamily="18" charset="0"/>
                  <a:cs typeface="Sora" pitchFamily="2" charset="0"/>
                </a:rPr>
                <a:t>█((Interest income+(Revenue from services and comissions −Cashback −Inter rewards)@+ Income from securities and derivarives+Other revenue)÷3)/(</a:t>
              </a:r>
              <a:r>
                <a:rPr lang="en-US" sz="800" i="0">
                  <a:solidFill>
                    <a:schemeClr val="tx1"/>
                  </a:solidFill>
                  <a:latin typeface="Cambria Math" panose="02040503050406030204" pitchFamily="18" charset="0"/>
                  <a:ea typeface="Cambria Math" panose="02040503050406030204" pitchFamily="18" charset="0"/>
                  <a:cs typeface="Sora" pitchFamily="2" charset="0"/>
                </a:rPr>
                <a:t>Average of the last 2 quarters Active Clients)</a:t>
              </a: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ARPAC net of interest expenses:</a:t>
              </a:r>
            </a:p>
            <a:p>
              <a:pPr algn="ctr"/>
              <a:br>
                <a:rPr lang="en-US" sz="800" b="1">
                  <a:solidFill>
                    <a:schemeClr val="tx1"/>
                  </a:solidFill>
                  <a:latin typeface="Calibri" panose="020F0502020204030204" pitchFamily="34" charset="0"/>
                  <a:ea typeface="Cambria Math" panose="02040503050406030204" pitchFamily="18" charset="0"/>
                  <a:cs typeface="Calibri" panose="020F0502020204030204" pitchFamily="34" charset="0"/>
                </a:rPr>
              </a:br>
              <a:r>
                <a:rPr lang="en-US" sz="800" i="0">
                  <a:solidFill>
                    <a:schemeClr val="tx1"/>
                  </a:solidFill>
                  <a:latin typeface="Cambria Math" panose="02040503050406030204" pitchFamily="18" charset="0"/>
                  <a:ea typeface="Cambria Math" panose="02040503050406030204" pitchFamily="18" charset="0"/>
                  <a:cs typeface="Sora" pitchFamily="2" charset="0"/>
                </a:rPr>
                <a:t>((</a:t>
              </a:r>
              <a:r>
                <a:rPr lang="en-US" sz="800" b="0" i="0">
                  <a:solidFill>
                    <a:schemeClr val="tx1"/>
                  </a:solidFill>
                  <a:latin typeface="Cambria Math" panose="02040503050406030204" pitchFamily="18" charset="0"/>
                  <a:ea typeface="Cambria Math" panose="02040503050406030204" pitchFamily="18" charset="0"/>
                  <a:cs typeface="Sora" pitchFamily="2" charset="0"/>
                </a:rPr>
                <a:t>Revenue −Interest expenses</a:t>
              </a:r>
              <a:r>
                <a:rPr lang="en-US" sz="800" i="0">
                  <a:solidFill>
                    <a:schemeClr val="tx1"/>
                  </a:solidFill>
                  <a:latin typeface="Cambria Math" panose="02040503050406030204" pitchFamily="18" charset="0"/>
                  <a:ea typeface="Cambria Math" panose="02040503050406030204" pitchFamily="18" charset="0"/>
                  <a:cs typeface="Sora" pitchFamily="2" charset="0"/>
                </a:rPr>
                <a:t>)  ÷</a:t>
              </a:r>
              <a:r>
                <a:rPr lang="en-US" sz="800" b="0" i="0">
                  <a:solidFill>
                    <a:schemeClr val="tx1"/>
                  </a:solidFill>
                  <a:latin typeface="Cambria Math" panose="02040503050406030204" pitchFamily="18" charset="0"/>
                  <a:ea typeface="Cambria Math" panose="02040503050406030204" pitchFamily="18" charset="0"/>
                  <a:cs typeface="Sora" pitchFamily="2" charset="0"/>
                </a:rPr>
                <a:t>3)/(</a:t>
              </a:r>
              <a:r>
                <a:rPr lang="en-US" sz="800" i="0">
                  <a:solidFill>
                    <a:schemeClr val="tx1"/>
                  </a:solidFill>
                  <a:latin typeface="Cambria Math" panose="02040503050406030204" pitchFamily="18" charset="0"/>
                  <a:ea typeface="Cambria Math" panose="02040503050406030204" pitchFamily="18" charset="0"/>
                  <a:cs typeface="Sora" pitchFamily="2" charset="0"/>
                </a:rPr>
                <a:t>Average of the last 2 quarters Active Clients)</a:t>
              </a:r>
              <a:endParaRPr lang="en-US" sz="800" b="1">
                <a:solidFill>
                  <a:schemeClr val="tx1"/>
                </a:solidFill>
                <a:latin typeface="Calibri" panose="020F0502020204030204" pitchFamily="34" charset="0"/>
                <a:ea typeface="Cambria Math" panose="02040503050406030204" pitchFamily="18" charset="0"/>
                <a:cs typeface="Calibri" panose="020F0502020204030204" pitchFamily="34" charset="0"/>
              </a:endParaRPr>
            </a:p>
            <a:p>
              <a:pPr algn="ctr"/>
              <a:endParaRPr lang="en-US" sz="800">
                <a:solidFill>
                  <a:schemeClr val="tx1"/>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ARPAC per quarterly cohort:</a:t>
              </a:r>
            </a:p>
            <a:p>
              <a:pPr algn="just"/>
              <a:r>
                <a:rPr lang="en-US" sz="900">
                  <a:latin typeface="Calibri" panose="020F0502020204030204" pitchFamily="34" charset="0"/>
                  <a:ea typeface="Inter" panose="020B0502030000000004" pitchFamily="34" charset="0"/>
                  <a:cs typeface="Calibri" panose="020F0502020204030204" pitchFamily="34" charset="0"/>
                </a:rPr>
                <a:t>Total Gross revenue net of interest expenses in a given cohort divided by the average number of active clients in the current and previous periods1. Cohort is defined as the period in which the client started his relationship with Inter.</a:t>
              </a:r>
              <a:br>
                <a:rPr lang="en-US" sz="900">
                  <a:latin typeface="Calibri" panose="020F0502020204030204" pitchFamily="34" charset="0"/>
                  <a:ea typeface="Inter" panose="020B0502030000000004" pitchFamily="34" charset="0"/>
                  <a:cs typeface="Calibri" panose="020F0502020204030204" pitchFamily="34" charset="0"/>
                </a:rPr>
              </a:br>
              <a:endParaRPr lang="en-US" sz="900">
                <a:latin typeface="Calibri" panose="020F0502020204030204" pitchFamily="34" charset="0"/>
                <a:ea typeface="Inter" panose="020B0502030000000004" pitchFamily="34" charset="0"/>
                <a:cs typeface="Calibri" panose="020F0502020204030204" pitchFamily="34" charset="0"/>
              </a:endParaRPr>
            </a:p>
            <a:p>
              <a:r>
                <a:rPr lang="en-US" sz="900" baseline="30000">
                  <a:latin typeface="Calibri" panose="020F0502020204030204" pitchFamily="34" charset="0"/>
                  <a:ea typeface="Cambria Math" panose="02040503050406030204" pitchFamily="18" charset="0"/>
                  <a:cs typeface="Calibri" panose="020F0502020204030204" pitchFamily="34" charset="0"/>
                </a:rPr>
                <a:t>1 - Average number of active clients in the current and previous periods: For the first period, is used the total number of active clients in the end of the period.</a:t>
              </a:r>
            </a:p>
            <a:p>
              <a:endParaRPr lang="en-US" sz="800" baseline="30000">
                <a:latin typeface="Calibri" panose="020F0502020204030204" pitchFamily="34" charset="0"/>
                <a:ea typeface="Cambria Math" panose="02040503050406030204" pitchFamily="18" charset="0"/>
                <a:cs typeface="Calibri" panose="020F0502020204030204" pitchFamily="34" charset="0"/>
              </a:endParaRPr>
            </a:p>
            <a:p>
              <a:endParaRPr lang="en-US" sz="800" baseline="30000">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Assets under custody (AuC):</a:t>
              </a:r>
            </a:p>
            <a:p>
              <a:pPr algn="just"/>
              <a:r>
                <a:rPr lang="en-US" sz="900">
                  <a:latin typeface="Calibri" panose="020F0502020204030204" pitchFamily="34" charset="0"/>
                  <a:ea typeface="Inter" panose="020B0502030000000004" pitchFamily="34" charset="0"/>
                  <a:cs typeface="Calibri" panose="020F0502020204030204" pitchFamily="34" charset="0"/>
                </a:rPr>
                <a:t>We calculate assets under custody, or AUC, at a given date as the market value of all retail clients’ assets invested through our investment platform as of that same date. We believe that AUC, as it reflects the total volume of assets invested in our investment platform without accounting for our operational efficiency, provides us useful insight on the appeal of our platform. We use this metric to monitor the size of our investment platform.</a:t>
              </a:r>
            </a:p>
            <a:p>
              <a:endParaRPr lang="en-US" sz="800">
                <a:latin typeface="Calibri" panose="020F0502020204030204" pitchFamily="34" charset="0"/>
                <a:ea typeface="Cambria Math" panose="02040503050406030204" pitchFamily="18" charset="0"/>
                <a:cs typeface="Calibri" panose="020F0502020204030204" pitchFamily="34" charset="0"/>
              </a:endParaRPr>
            </a:p>
          </xdr:txBody>
        </xdr:sp>
      </mc:Fallback>
    </mc:AlternateContent>
    <xdr:clientData/>
  </xdr:twoCellAnchor>
  <xdr:twoCellAnchor>
    <xdr:from>
      <xdr:col>0</xdr:col>
      <xdr:colOff>151610</xdr:colOff>
      <xdr:row>86</xdr:row>
      <xdr:rowOff>95088</xdr:rowOff>
    </xdr:from>
    <xdr:to>
      <xdr:col>7</xdr:col>
      <xdr:colOff>119810</xdr:colOff>
      <xdr:row>117</xdr:row>
      <xdr:rowOff>137211</xdr:rowOff>
    </xdr:to>
    <mc:AlternateContent xmlns:mc="http://schemas.openxmlformats.org/markup-compatibility/2006" xmlns:a14="http://schemas.microsoft.com/office/drawing/2010/main">
      <mc:Choice Requires="a14">
        <xdr:sp macro="" textlink="">
          <xdr:nvSpPr>
            <xdr:cNvPr id="22" name="Retângulo 9">
              <a:extLst>
                <a:ext uri="{FF2B5EF4-FFF2-40B4-BE49-F238E27FC236}">
                  <a16:creationId xmlns:a16="http://schemas.microsoft.com/office/drawing/2014/main" id="{00000000-0008-0000-1600-000016000000}"/>
                </a:ext>
              </a:extLst>
            </xdr:cNvPr>
            <xdr:cNvSpPr/>
          </xdr:nvSpPr>
          <xdr:spPr>
            <a:xfrm>
              <a:off x="151610" y="15924074"/>
              <a:ext cx="5766026" cy="5747920"/>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Card fee revenue:</a:t>
              </a:r>
            </a:p>
            <a:p>
              <a:r>
                <a:rPr lang="en-US" sz="900">
                  <a:latin typeface="Calibri" panose="020F0502020204030204" pitchFamily="34" charset="0"/>
                  <a:ea typeface="Inter" panose="020B0502030000000004" pitchFamily="34" charset="0"/>
                  <a:cs typeface="Calibri" panose="020F0502020204030204" pitchFamily="34" charset="0"/>
                </a:rPr>
                <a:t>It is part of the “Revenue from services and commission” and “Other revenue” on IFRS Income Statement.  </a:t>
              </a:r>
            </a:p>
            <a:p>
              <a:endParaRPr lang="en-US" sz="800">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funding:</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ea typeface="Cambria Math" panose="02040503050406030204" pitchFamily="18" charset="0"/>
                            <a:cs typeface="Sora" pitchFamily="2" charset="0"/>
                          </a:rPr>
                        </m:ctrlPr>
                      </m:fPr>
                      <m:num>
                        <m:r>
                          <m:rPr>
                            <m:sty m:val="p"/>
                          </m:rPr>
                          <a:rPr lang="en-US" sz="800" i="0">
                            <a:latin typeface="Cambria Math" panose="02040503050406030204" pitchFamily="18" charset="0"/>
                            <a:ea typeface="Cambria Math" panose="02040503050406030204" pitchFamily="18" charset="0"/>
                            <a:cs typeface="Sora" pitchFamily="2" charset="0"/>
                          </a:rPr>
                          <m:t>Interest</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expenses</m:t>
                        </m:r>
                        <m:r>
                          <a:rPr lang="pt-BR" sz="800" i="0">
                            <a:latin typeface="Cambria Math" panose="02040503050406030204" pitchFamily="18" charset="0"/>
                            <a:ea typeface="Cambria Math" panose="02040503050406030204" pitchFamily="18" charset="0"/>
                            <a:cs typeface="Sora" pitchFamily="2" charset="0"/>
                          </a:rPr>
                          <m:t> </m:t>
                        </m:r>
                        <m:r>
                          <a:rPr lang="pt-BR" sz="800" i="0">
                            <a:latin typeface="Cambria Math" panose="02040503050406030204" pitchFamily="18" charset="0"/>
                            <a:ea typeface="Cambria Math" panose="02040503050406030204" pitchFamily="18" charset="0"/>
                          </a:rPr>
                          <m:t>× </m:t>
                        </m:r>
                        <m:r>
                          <a:rPr lang="pt-BR" sz="800" i="0">
                            <a:latin typeface="Cambria Math" panose="02040503050406030204" pitchFamily="18" charset="0"/>
                            <a:ea typeface="Cambria Math" panose="02040503050406030204" pitchFamily="18" charset="0"/>
                            <a:cs typeface="Sora" pitchFamily="2" charset="0"/>
                          </a:rPr>
                          <m:t>4</m:t>
                        </m:r>
                      </m:num>
                      <m:den>
                        <m:eqArr>
                          <m:eqArrPr>
                            <m:ctrlPr>
                              <a:rPr lang="pt-BR" sz="800" i="1">
                                <a:latin typeface="Cambria Math" panose="02040503050406030204" pitchFamily="18" charset="0"/>
                                <a:ea typeface="Cambria Math" panose="02040503050406030204" pitchFamily="18" charset="0"/>
                                <a:cs typeface="Sora" pitchFamily="2" charset="0"/>
                              </a:rPr>
                            </m:ctrlPr>
                          </m:eqArrPr>
                          <m:e>
                            <m:r>
                              <m:rPr>
                                <m:sty m:val="p"/>
                              </m:rPr>
                              <a:rPr lang="pt-BR" sz="800" i="0">
                                <a:latin typeface="Cambria Math" panose="02040503050406030204" pitchFamily="18" charset="0"/>
                                <a:ea typeface="Cambria Math" panose="02040503050406030204" pitchFamily="18" charset="0"/>
                                <a:cs typeface="Sora" pitchFamily="2" charset="0"/>
                              </a:rPr>
                              <m:t>Average</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of</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last</m:t>
                            </m:r>
                            <m:r>
                              <a:rPr lang="pt-BR" sz="800" i="0">
                                <a:latin typeface="Cambria Math" panose="02040503050406030204" pitchFamily="18" charset="0"/>
                                <a:ea typeface="Cambria Math" panose="02040503050406030204" pitchFamily="18" charset="0"/>
                                <a:cs typeface="Sora" pitchFamily="2" charset="0"/>
                              </a:rPr>
                              <m:t> 2 </m:t>
                            </m:r>
                            <m:r>
                              <m:rPr>
                                <m:sty m:val="p"/>
                              </m:rPr>
                              <a:rPr lang="pt-BR" sz="800" i="0">
                                <a:latin typeface="Cambria Math" panose="02040503050406030204" pitchFamily="18" charset="0"/>
                                <a:ea typeface="Cambria Math" panose="02040503050406030204" pitchFamily="18" charset="0"/>
                                <a:cs typeface="Sora" pitchFamily="2" charset="0"/>
                              </a:rPr>
                              <m:t>quarters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Interest</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bearing</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liabilities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demand</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deposits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time</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deposits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savings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deposits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creditors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by</m:t>
                            </m:r>
                          </m:e>
                          <m:e>
                            <m:r>
                              <m:rPr>
                                <m:sty m:val="p"/>
                              </m:rPr>
                              <a:rPr lang="pt-BR" sz="800" i="0">
                                <a:latin typeface="Cambria Math" panose="02040503050406030204" pitchFamily="18" charset="0"/>
                                <a:ea typeface="Cambria Math" panose="02040503050406030204" pitchFamily="18" charset="0"/>
                                <a:cs typeface="Sora" pitchFamily="2" charset="0"/>
                              </a:rPr>
                              <m:t>resources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to</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release</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securities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issued</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securities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sold</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under</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agreements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to</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repurchase</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interbank</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deposits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and</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others</m:t>
                            </m:r>
                            <m:r>
                              <a:rPr lang="pt-BR" sz="800" b="0" i="0">
                                <a:latin typeface="Cambria Math" panose="02040503050406030204" pitchFamily="18" charset="0"/>
                                <a:ea typeface="Cambria Math" panose="02040503050406030204" pitchFamily="18" charset="0"/>
                                <a:cs typeface="Sora" pitchFamily="2" charset="0"/>
                              </a:rPr>
                              <m:t>)</m:t>
                            </m:r>
                          </m:e>
                        </m:eqArr>
                      </m:den>
                    </m:f>
                    <m:r>
                      <a:rPr lang="pt-BR" sz="800" b="0" i="1">
                        <a:latin typeface="Cambria Math" panose="02040503050406030204" pitchFamily="18" charset="0"/>
                        <a:ea typeface="Cambria Math" panose="02040503050406030204" pitchFamily="18" charset="0"/>
                        <a:cs typeface="Sora" pitchFamily="2" charset="0"/>
                      </a:rPr>
                      <m:t> </m:t>
                    </m:r>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ea typeface="Cambria Math" panose="02040503050406030204" pitchFamily="18" charset="0"/>
                            <a:cs typeface="Sora" pitchFamily="2" charset="0"/>
                          </a:rPr>
                        </m:ctrlPr>
                      </m:fPr>
                      <m:num>
                        <m:r>
                          <m:rPr>
                            <m:sty m:val="p"/>
                          </m:rPr>
                          <a:rPr lang="en-US" sz="800" i="0">
                            <a:latin typeface="Cambria Math" panose="02040503050406030204" pitchFamily="18" charset="0"/>
                            <a:ea typeface="Cambria Math" panose="02040503050406030204" pitchFamily="18" charset="0"/>
                            <a:cs typeface="Sora" pitchFamily="2" charset="0"/>
                          </a:rPr>
                          <m:t>Impairment</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losses</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on</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financial</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assets</m:t>
                        </m:r>
                        <m:r>
                          <a:rPr lang="pt-BR" sz="800" b="0" i="0">
                            <a:latin typeface="Cambria Math" panose="02040503050406030204" pitchFamily="18" charset="0"/>
                            <a:ea typeface="Cambria Math" panose="02040503050406030204" pitchFamily="18" charset="0"/>
                            <a:cs typeface="Sora" pitchFamily="2" charset="0"/>
                          </a:rPr>
                          <m:t> </m:t>
                        </m:r>
                        <m:r>
                          <a:rPr lang="pt-BR" sz="800" i="0">
                            <a:latin typeface="Cambria Math" panose="02040503050406030204" pitchFamily="18" charset="0"/>
                            <a:ea typeface="Cambria Math" panose="02040503050406030204" pitchFamily="18" charset="0"/>
                          </a:rPr>
                          <m:t>× </m:t>
                        </m:r>
                        <m:r>
                          <a:rPr lang="pt-BR" sz="800" i="0">
                            <a:latin typeface="Cambria Math" panose="02040503050406030204" pitchFamily="18" charset="0"/>
                            <a:ea typeface="Cambria Math" panose="02040503050406030204" pitchFamily="18" charset="0"/>
                            <a:cs typeface="Sora" pitchFamily="2" charset="0"/>
                          </a:rPr>
                          <m:t>4</m:t>
                        </m:r>
                      </m:num>
                      <m:den>
                        <m:r>
                          <m:rPr>
                            <m:sty m:val="p"/>
                          </m:rPr>
                          <a:rPr lang="pt-BR" sz="800" i="0">
                            <a:latin typeface="Cambria Math" panose="02040503050406030204" pitchFamily="18" charset="0"/>
                            <a:ea typeface="Cambria Math" panose="02040503050406030204" pitchFamily="18" charset="0"/>
                            <a:cs typeface="Sora" pitchFamily="2" charset="0"/>
                          </a:rPr>
                          <m:t>Average</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of</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last</m:t>
                        </m:r>
                        <m:r>
                          <a:rPr lang="pt-BR" sz="800" i="0">
                            <a:latin typeface="Cambria Math" panose="02040503050406030204" pitchFamily="18" charset="0"/>
                            <a:ea typeface="Cambria Math" panose="02040503050406030204" pitchFamily="18" charset="0"/>
                            <a:cs typeface="Sora" pitchFamily="2" charset="0"/>
                          </a:rPr>
                          <m:t> 2 </m:t>
                        </m:r>
                        <m:r>
                          <m:rPr>
                            <m:sty m:val="p"/>
                          </m:rPr>
                          <a:rPr lang="pt-BR" sz="800" i="0">
                            <a:latin typeface="Cambria Math" panose="02040503050406030204" pitchFamily="18" charset="0"/>
                            <a:ea typeface="Cambria Math" panose="02040503050406030204" pitchFamily="18" charset="0"/>
                            <a:cs typeface="Sora" pitchFamily="2" charset="0"/>
                          </a:rPr>
                          <m:t>quarters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of</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Loans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and</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advances</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to</m:t>
                        </m:r>
                        <m:r>
                          <a:rPr lang="pt-BR" sz="800" i="0">
                            <a:latin typeface="Cambria Math" panose="02040503050406030204" pitchFamily="18" charset="0"/>
                            <a:ea typeface="Cambria Math" panose="02040503050406030204" pitchFamily="18" charset="0"/>
                            <a:cs typeface="Sora" pitchFamily="2" charset="0"/>
                          </a:rPr>
                          <m:t> </m:t>
                        </m:r>
                        <m:r>
                          <m:rPr>
                            <m:sty m:val="p"/>
                          </m:rPr>
                          <a:rPr lang="pt-BR" sz="800" i="0">
                            <a:latin typeface="Cambria Math" panose="02040503050406030204" pitchFamily="18" charset="0"/>
                            <a:ea typeface="Cambria Math" panose="02040503050406030204" pitchFamily="18" charset="0"/>
                            <a:cs typeface="Sora" pitchFamily="2" charset="0"/>
                          </a:rPr>
                          <m:t>customers</m:t>
                        </m: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 excluding anticipation of credit card receivables: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ea typeface="Cambria Math" panose="02040503050406030204" pitchFamily="18" charset="0"/>
                            <a:cs typeface="Sora" pitchFamily="2" charset="0"/>
                          </a:rPr>
                        </m:ctrlPr>
                      </m:fPr>
                      <m:num>
                        <m:r>
                          <m:rPr>
                            <m:sty m:val="p"/>
                          </m:rPr>
                          <a:rPr lang="en-US" sz="800" i="0">
                            <a:latin typeface="Cambria Math" panose="02040503050406030204" pitchFamily="18" charset="0"/>
                            <a:ea typeface="Cambria Math" panose="02040503050406030204" pitchFamily="18" charset="0"/>
                            <a:cs typeface="Sora" pitchFamily="2" charset="0"/>
                          </a:rPr>
                          <m:t>Impairment</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losses</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on</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financial</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assets</m:t>
                        </m:r>
                        <m:r>
                          <a:rPr lang="pt-BR" sz="800" b="0" i="0">
                            <a:latin typeface="Cambria Math" panose="02040503050406030204" pitchFamily="18" charset="0"/>
                            <a:ea typeface="Cambria Math" panose="02040503050406030204" pitchFamily="18" charset="0"/>
                            <a:cs typeface="Sora" pitchFamily="2" charset="0"/>
                          </a:rPr>
                          <m:t> </m:t>
                        </m:r>
                        <m:r>
                          <a:rPr lang="pt-BR" sz="800" i="0">
                            <a:latin typeface="Cambria Math" panose="02040503050406030204" pitchFamily="18" charset="0"/>
                            <a:ea typeface="Cambria Math" panose="02040503050406030204" pitchFamily="18" charset="0"/>
                          </a:rPr>
                          <m:t>× </m:t>
                        </m:r>
                        <m:r>
                          <a:rPr lang="pt-BR" sz="800" i="0">
                            <a:latin typeface="Cambria Math" panose="02040503050406030204" pitchFamily="18" charset="0"/>
                            <a:ea typeface="Cambria Math" panose="02040503050406030204" pitchFamily="18" charset="0"/>
                            <a:cs typeface="Sora" pitchFamily="2" charset="0"/>
                          </a:rPr>
                          <m:t>4</m:t>
                        </m:r>
                      </m:num>
                      <m:den>
                        <m:r>
                          <m:rPr>
                            <m:sty m:val="p"/>
                          </m:rPr>
                          <a:rPr lang="pt-BR" sz="800">
                            <a:latin typeface="Cambria Math" panose="02040503050406030204" pitchFamily="18" charset="0"/>
                            <a:ea typeface="Cambria Math" panose="02040503050406030204" pitchFamily="18" charset="0"/>
                            <a:cs typeface="Sora" pitchFamily="2" charset="0"/>
                          </a:rPr>
                          <m:t>Average</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of</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last</m:t>
                        </m:r>
                        <m:r>
                          <a:rPr lang="pt-BR" sz="800">
                            <a:latin typeface="Cambria Math" panose="02040503050406030204" pitchFamily="18" charset="0"/>
                            <a:ea typeface="Cambria Math" panose="02040503050406030204" pitchFamily="18" charset="0"/>
                            <a:cs typeface="Sora" pitchFamily="2" charset="0"/>
                          </a:rPr>
                          <m:t> 2 </m:t>
                        </m:r>
                        <m:r>
                          <m:rPr>
                            <m:sty m:val="p"/>
                          </m:rPr>
                          <a:rPr lang="pt-BR" sz="800">
                            <a:latin typeface="Cambria Math" panose="02040503050406030204" pitchFamily="18" charset="0"/>
                            <a:ea typeface="Cambria Math" panose="02040503050406030204" pitchFamily="18" charset="0"/>
                            <a:cs typeface="Sora" pitchFamily="2" charset="0"/>
                          </a:rPr>
                          <m:t>quarters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of</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Loans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and</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advances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to</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customers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excluding</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anticipation</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of</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credit</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card</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receivables</m:t>
                        </m: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 excluding credit card:</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ea typeface="Cambria Math" panose="02040503050406030204" pitchFamily="18" charset="0"/>
                            <a:cs typeface="Sora" pitchFamily="2" charset="0"/>
                          </a:rPr>
                        </m:ctrlPr>
                      </m:fPr>
                      <m:num>
                        <m:r>
                          <m:rPr>
                            <m:sty m:val="p"/>
                          </m:rPr>
                          <a:rPr lang="en-US" sz="800" i="0">
                            <a:latin typeface="Cambria Math" panose="02040503050406030204" pitchFamily="18" charset="0"/>
                            <a:ea typeface="Cambria Math" panose="02040503050406030204" pitchFamily="18" charset="0"/>
                            <a:cs typeface="Sora" pitchFamily="2" charset="0"/>
                          </a:rPr>
                          <m:t>Impairment</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losses</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on</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financial</m:t>
                        </m:r>
                        <m:r>
                          <a:rPr lang="en-US" sz="800" i="0">
                            <a:latin typeface="Cambria Math" panose="02040503050406030204" pitchFamily="18" charset="0"/>
                            <a:ea typeface="Cambria Math" panose="02040503050406030204" pitchFamily="18" charset="0"/>
                            <a:cs typeface="Sora" pitchFamily="2" charset="0"/>
                          </a:rPr>
                          <m:t> </m:t>
                        </m:r>
                        <m:r>
                          <m:rPr>
                            <m:sty m:val="p"/>
                          </m:rPr>
                          <a:rPr lang="en-US" sz="800" i="0">
                            <a:latin typeface="Cambria Math" panose="02040503050406030204" pitchFamily="18" charset="0"/>
                            <a:ea typeface="Cambria Math" panose="02040503050406030204" pitchFamily="18" charset="0"/>
                            <a:cs typeface="Sora" pitchFamily="2" charset="0"/>
                          </a:rPr>
                          <m:t>assets</m:t>
                        </m:r>
                        <m:r>
                          <a:rPr lang="pt-BR" sz="800" b="0" i="0">
                            <a:latin typeface="Cambria Math" panose="02040503050406030204" pitchFamily="18" charset="0"/>
                            <a:ea typeface="Cambria Math" panose="02040503050406030204" pitchFamily="18" charset="0"/>
                            <a:cs typeface="Sora" pitchFamily="2" charset="0"/>
                          </a:rPr>
                          <m:t> </m:t>
                        </m:r>
                        <m:r>
                          <a:rPr lang="pt-BR" sz="800" i="0">
                            <a:latin typeface="Cambria Math" panose="02040503050406030204" pitchFamily="18" charset="0"/>
                            <a:ea typeface="Cambria Math" panose="02040503050406030204" pitchFamily="18" charset="0"/>
                          </a:rPr>
                          <m:t>× </m:t>
                        </m:r>
                        <m:r>
                          <a:rPr lang="pt-BR" sz="800" i="0">
                            <a:latin typeface="Cambria Math" panose="02040503050406030204" pitchFamily="18" charset="0"/>
                            <a:ea typeface="Cambria Math" panose="02040503050406030204" pitchFamily="18" charset="0"/>
                            <a:cs typeface="Sora" pitchFamily="2" charset="0"/>
                          </a:rPr>
                          <m:t>4</m:t>
                        </m:r>
                      </m:num>
                      <m:den>
                        <m:r>
                          <m:rPr>
                            <m:sty m:val="p"/>
                          </m:rPr>
                          <a:rPr lang="pt-BR" sz="800">
                            <a:latin typeface="Cambria Math" panose="02040503050406030204" pitchFamily="18" charset="0"/>
                            <a:ea typeface="Cambria Math" panose="02040503050406030204" pitchFamily="18" charset="0"/>
                            <a:cs typeface="Sora" pitchFamily="2" charset="0"/>
                          </a:rPr>
                          <m:t>Average</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of</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last</m:t>
                        </m:r>
                        <m:r>
                          <a:rPr lang="pt-BR" sz="800">
                            <a:latin typeface="Cambria Math" panose="02040503050406030204" pitchFamily="18" charset="0"/>
                            <a:ea typeface="Cambria Math" panose="02040503050406030204" pitchFamily="18" charset="0"/>
                            <a:cs typeface="Sora" pitchFamily="2" charset="0"/>
                          </a:rPr>
                          <m:t> 2 </m:t>
                        </m:r>
                        <m:r>
                          <m:rPr>
                            <m:sty m:val="p"/>
                          </m:rPr>
                          <a:rPr lang="pt-BR" sz="800">
                            <a:latin typeface="Cambria Math" panose="02040503050406030204" pitchFamily="18" charset="0"/>
                            <a:ea typeface="Cambria Math" panose="02040503050406030204" pitchFamily="18" charset="0"/>
                            <a:cs typeface="Sora" pitchFamily="2" charset="0"/>
                          </a:rPr>
                          <m:t>quarters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of</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Loans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and</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advances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to</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customers</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excluding</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credit</m:t>
                        </m:r>
                        <m:r>
                          <a:rPr lang="pt-BR" sz="800">
                            <a:latin typeface="Cambria Math" panose="02040503050406030204" pitchFamily="18" charset="0"/>
                            <a:ea typeface="Cambria Math" panose="02040503050406030204" pitchFamily="18" charset="0"/>
                            <a:cs typeface="Sora" pitchFamily="2" charset="0"/>
                          </a:rPr>
                          <m:t> </m:t>
                        </m:r>
                        <m:r>
                          <m:rPr>
                            <m:sty m:val="p"/>
                          </m:rPr>
                          <a:rPr lang="pt-BR" sz="800">
                            <a:latin typeface="Cambria Math" panose="02040503050406030204" pitchFamily="18" charset="0"/>
                            <a:ea typeface="Cambria Math" panose="02040503050406030204" pitchFamily="18" charset="0"/>
                            <a:cs typeface="Sora" pitchFamily="2" charset="0"/>
                          </a:rPr>
                          <m:t>card</m:t>
                        </m: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Cost-to-serve (CTS):</a:t>
              </a:r>
            </a:p>
            <a:p>
              <a:pPr algn="ctr"/>
              <a:endParaRPr lang="en-US"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en-US" sz="800" i="1">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ctrlPr>
                      </m:fPr>
                      <m:num>
                        <m:d>
                          <m:dPr>
                            <m:ctrlPr>
                              <a:rPr lang="en-US" sz="800" i="1">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ctrlPr>
                          </m:dPr>
                          <m:e>
                            <m:r>
                              <m:rPr>
                                <m:sty m:val="p"/>
                              </m:rP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Personnel</m:t>
                            </m:r>
                            <m: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Expense</m:t>
                            </m:r>
                            <m: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Administrative</m:t>
                            </m:r>
                            <m: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Expenses</m:t>
                            </m:r>
                            <m: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Total</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CAC</m:t>
                            </m:r>
                          </m:e>
                        </m:d>
                        <m:r>
                          <a:rPr lang="en-US"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÷3</m:t>
                        </m:r>
                      </m:num>
                      <m:den>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Average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of</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the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last</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2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quarters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Active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Clients</m:t>
                        </m:r>
                      </m:den>
                    </m:f>
                    <m:r>
                      <a:rPr lang="pt-BR" sz="800" i="1">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pt-BR" sz="100" i="1">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xdr:txBody>
        </xdr:sp>
      </mc:Choice>
      <mc:Fallback xmlns="">
        <xdr:sp macro="" textlink="">
          <xdr:nvSpPr>
            <xdr:cNvPr id="22" name="Retângulo 9">
              <a:extLst>
                <a:ext uri="{FF2B5EF4-FFF2-40B4-BE49-F238E27FC236}">
                  <a16:creationId xmlns:a16="http://schemas.microsoft.com/office/drawing/2014/main" id="{E053E71D-69F7-C852-2686-4DDCCC5EB831}"/>
                </a:ext>
              </a:extLst>
            </xdr:cNvPr>
            <xdr:cNvSpPr/>
          </xdr:nvSpPr>
          <xdr:spPr>
            <a:xfrm>
              <a:off x="151610" y="15924074"/>
              <a:ext cx="5766026" cy="5747920"/>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Card fee revenue:</a:t>
              </a:r>
            </a:p>
            <a:p>
              <a:r>
                <a:rPr lang="en-US" sz="900">
                  <a:latin typeface="Calibri" panose="020F0502020204030204" pitchFamily="34" charset="0"/>
                  <a:ea typeface="Inter" panose="020B0502030000000004" pitchFamily="34" charset="0"/>
                  <a:cs typeface="Calibri" panose="020F0502020204030204" pitchFamily="34" charset="0"/>
                </a:rPr>
                <a:t>It is part of the “Revenue from services and commission” and “Other revenue” on IFRS Income Statement.  </a:t>
              </a:r>
            </a:p>
            <a:p>
              <a:endParaRPr lang="en-US" sz="800">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funding:</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800" i="0">
                  <a:latin typeface="Cambria Math" panose="02040503050406030204" pitchFamily="18" charset="0"/>
                  <a:ea typeface="Cambria Math" panose="02040503050406030204" pitchFamily="18" charset="0"/>
                  <a:cs typeface="Sora" pitchFamily="2" charset="0"/>
                </a:rPr>
                <a:t>(Interest expenses</a:t>
              </a:r>
              <a:r>
                <a:rPr lang="pt-BR" sz="800" i="0">
                  <a:latin typeface="Cambria Math" panose="02040503050406030204" pitchFamily="18" charset="0"/>
                  <a:ea typeface="Cambria Math" panose="02040503050406030204" pitchFamily="18" charset="0"/>
                  <a:cs typeface="Sora" pitchFamily="2" charset="0"/>
                </a:rPr>
                <a:t> </a:t>
              </a:r>
              <a:r>
                <a:rPr lang="pt-BR" sz="800" i="0">
                  <a:latin typeface="Cambria Math" panose="02040503050406030204" pitchFamily="18" charset="0"/>
                  <a:ea typeface="Cambria Math" panose="02040503050406030204" pitchFamily="18" charset="0"/>
                </a:rPr>
                <a:t>× </a:t>
              </a:r>
              <a:r>
                <a:rPr lang="pt-BR" sz="800" i="0">
                  <a:latin typeface="Cambria Math" panose="02040503050406030204" pitchFamily="18" charset="0"/>
                  <a:ea typeface="Cambria Math" panose="02040503050406030204" pitchFamily="18" charset="0"/>
                  <a:cs typeface="Sora" pitchFamily="2" charset="0"/>
                </a:rPr>
                <a:t>4</a:t>
              </a:r>
              <a:r>
                <a:rPr lang="en-US" sz="800" i="0">
                  <a:latin typeface="Cambria Math" panose="02040503050406030204" pitchFamily="18" charset="0"/>
                  <a:ea typeface="Cambria Math" panose="02040503050406030204" pitchFamily="18" charset="0"/>
                  <a:cs typeface="Sora" pitchFamily="2" charset="0"/>
                </a:rPr>
                <a:t>)/</a:t>
              </a:r>
              <a:r>
                <a:rPr lang="pt-BR" sz="800" i="0">
                  <a:latin typeface="Cambria Math" panose="02040503050406030204" pitchFamily="18" charset="0"/>
                  <a:ea typeface="Cambria Math" panose="02040503050406030204" pitchFamily="18" charset="0"/>
                  <a:cs typeface="Sora" pitchFamily="2" charset="0"/>
                </a:rPr>
                <a:t>█(Average of last 2 quarters Interest bearing liabilities (demand deposits, time deposits, savings </a:t>
              </a:r>
              <a:r>
                <a:rPr lang="pt-BR" sz="800" b="0" i="0">
                  <a:latin typeface="Cambria Math" panose="02040503050406030204" pitchFamily="18" charset="0"/>
                  <a:ea typeface="Cambria Math" panose="02040503050406030204" pitchFamily="18" charset="0"/>
                  <a:cs typeface="Sora" pitchFamily="2" charset="0"/>
                </a:rPr>
                <a:t>deposits, creditors by@</a:t>
              </a:r>
              <a:r>
                <a:rPr lang="pt-BR" sz="800" i="0">
                  <a:latin typeface="Cambria Math" panose="02040503050406030204" pitchFamily="18" charset="0"/>
                  <a:ea typeface="Cambria Math" panose="02040503050406030204" pitchFamily="18" charset="0"/>
                  <a:cs typeface="Sora" pitchFamily="2" charset="0"/>
                </a:rPr>
                <a:t>resources to release</a:t>
              </a:r>
              <a:r>
                <a:rPr lang="pt-BR" sz="800" b="0" i="0">
                  <a:latin typeface="Cambria Math" panose="02040503050406030204" pitchFamily="18" charset="0"/>
                  <a:ea typeface="Cambria Math" panose="02040503050406030204" pitchFamily="18" charset="0"/>
                  <a:cs typeface="Sora" pitchFamily="2" charset="0"/>
                </a:rPr>
                <a:t>, </a:t>
              </a:r>
              <a:r>
                <a:rPr lang="pt-BR" sz="800" i="0">
                  <a:latin typeface="Cambria Math" panose="02040503050406030204" pitchFamily="18" charset="0"/>
                  <a:ea typeface="Cambria Math" panose="02040503050406030204" pitchFamily="18" charset="0"/>
                  <a:cs typeface="Sora" pitchFamily="2" charset="0"/>
                </a:rPr>
                <a:t>securities issued</a:t>
              </a:r>
              <a:r>
                <a:rPr lang="pt-BR" sz="800" b="0" i="0">
                  <a:latin typeface="Cambria Math" panose="02040503050406030204" pitchFamily="18" charset="0"/>
                  <a:ea typeface="Cambria Math" panose="02040503050406030204" pitchFamily="18" charset="0"/>
                  <a:cs typeface="Sora" pitchFamily="2" charset="0"/>
                </a:rPr>
                <a:t>, securities sold under agreements to repurchase, interbank deposits and others))  </a:t>
              </a: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800" i="0">
                  <a:latin typeface="Cambria Math" panose="02040503050406030204" pitchFamily="18" charset="0"/>
                  <a:ea typeface="Cambria Math" panose="02040503050406030204" pitchFamily="18" charset="0"/>
                  <a:cs typeface="Sora" pitchFamily="2" charset="0"/>
                </a:rPr>
                <a:t>(Impairment losses on financial assets</a:t>
              </a:r>
              <a:r>
                <a:rPr lang="pt-BR" sz="800" b="0" i="0">
                  <a:latin typeface="Cambria Math" panose="02040503050406030204" pitchFamily="18" charset="0"/>
                  <a:ea typeface="Cambria Math" panose="02040503050406030204" pitchFamily="18" charset="0"/>
                  <a:cs typeface="Sora" pitchFamily="2" charset="0"/>
                </a:rPr>
                <a:t> </a:t>
              </a:r>
              <a:r>
                <a:rPr lang="pt-BR" sz="800" i="0">
                  <a:latin typeface="Cambria Math" panose="02040503050406030204" pitchFamily="18" charset="0"/>
                  <a:ea typeface="Cambria Math" panose="02040503050406030204" pitchFamily="18" charset="0"/>
                </a:rPr>
                <a:t>× </a:t>
              </a:r>
              <a:r>
                <a:rPr lang="pt-BR" sz="800" i="0">
                  <a:latin typeface="Cambria Math" panose="02040503050406030204" pitchFamily="18" charset="0"/>
                  <a:ea typeface="Cambria Math" panose="02040503050406030204" pitchFamily="18" charset="0"/>
                  <a:cs typeface="Sora" pitchFamily="2" charset="0"/>
                </a:rPr>
                <a:t>4</a:t>
              </a:r>
              <a:r>
                <a:rPr lang="en-US" sz="800" i="0">
                  <a:latin typeface="Cambria Math" panose="02040503050406030204" pitchFamily="18" charset="0"/>
                  <a:ea typeface="Cambria Math" panose="02040503050406030204" pitchFamily="18" charset="0"/>
                  <a:cs typeface="Sora" pitchFamily="2" charset="0"/>
                </a:rPr>
                <a:t>)/(</a:t>
              </a:r>
              <a:r>
                <a:rPr lang="pt-BR" sz="800" i="0">
                  <a:latin typeface="Cambria Math" panose="02040503050406030204" pitchFamily="18" charset="0"/>
                  <a:ea typeface="Cambria Math" panose="02040503050406030204" pitchFamily="18" charset="0"/>
                  <a:cs typeface="Sora" pitchFamily="2" charset="0"/>
                </a:rPr>
                <a:t>Average of last 2 quarters</a:t>
              </a:r>
              <a:r>
                <a:rPr lang="pt-BR" sz="800" b="0" i="0">
                  <a:latin typeface="Cambria Math" panose="02040503050406030204" pitchFamily="18" charset="0"/>
                  <a:ea typeface="Cambria Math" panose="02040503050406030204" pitchFamily="18" charset="0"/>
                  <a:cs typeface="Sora" pitchFamily="2" charset="0"/>
                </a:rPr>
                <a:t> of Loans</a:t>
              </a:r>
              <a:r>
                <a:rPr lang="pt-BR" sz="800" i="0">
                  <a:latin typeface="Cambria Math" panose="02040503050406030204" pitchFamily="18" charset="0"/>
                  <a:ea typeface="Cambria Math" panose="02040503050406030204" pitchFamily="18" charset="0"/>
                  <a:cs typeface="Sora" pitchFamily="2" charset="0"/>
                </a:rPr>
                <a:t> and advances to c</a:t>
              </a:r>
              <a:r>
                <a:rPr lang="pt-BR" sz="800" b="0" i="0">
                  <a:latin typeface="Cambria Math" panose="02040503050406030204" pitchFamily="18" charset="0"/>
                  <a:ea typeface="Cambria Math" panose="02040503050406030204" pitchFamily="18" charset="0"/>
                  <a:cs typeface="Sora" pitchFamily="2" charset="0"/>
                </a:rPr>
                <a:t>ustomer</a:t>
              </a:r>
              <a:r>
                <a:rPr lang="pt-BR" sz="800" i="0">
                  <a:latin typeface="Cambria Math" panose="02040503050406030204" pitchFamily="18" charset="0"/>
                  <a:ea typeface="Cambria Math" panose="02040503050406030204" pitchFamily="18" charset="0"/>
                  <a:cs typeface="Sora" pitchFamily="2" charset="0"/>
                </a:rPr>
                <a:t>s</a:t>
              </a:r>
              <a:r>
                <a:rPr lang="en-US" sz="800" i="0">
                  <a:latin typeface="Cambria Math" panose="02040503050406030204" pitchFamily="18" charset="0"/>
                  <a:ea typeface="Cambria Math" panose="02040503050406030204" pitchFamily="18" charset="0"/>
                  <a:cs typeface="Sora" pitchFamily="2" charset="0"/>
                </a:rPr>
                <a:t>)</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 excluding anticipation of credit card receivables: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800" i="0">
                  <a:latin typeface="Cambria Math" panose="02040503050406030204" pitchFamily="18" charset="0"/>
                  <a:ea typeface="Cambria Math" panose="02040503050406030204" pitchFamily="18" charset="0"/>
                  <a:cs typeface="Sora" pitchFamily="2" charset="0"/>
                </a:rPr>
                <a:t>(Impairment losses on financial assets</a:t>
              </a:r>
              <a:r>
                <a:rPr lang="pt-BR" sz="800" b="0" i="0">
                  <a:latin typeface="Cambria Math" panose="02040503050406030204" pitchFamily="18" charset="0"/>
                  <a:ea typeface="Cambria Math" panose="02040503050406030204" pitchFamily="18" charset="0"/>
                  <a:cs typeface="Sora" pitchFamily="2" charset="0"/>
                </a:rPr>
                <a:t> </a:t>
              </a:r>
              <a:r>
                <a:rPr lang="pt-BR" sz="800" i="0">
                  <a:latin typeface="Cambria Math" panose="02040503050406030204" pitchFamily="18" charset="0"/>
                  <a:ea typeface="Cambria Math" panose="02040503050406030204" pitchFamily="18" charset="0"/>
                </a:rPr>
                <a:t>× </a:t>
              </a:r>
              <a:r>
                <a:rPr lang="pt-BR" sz="800" i="0">
                  <a:latin typeface="Cambria Math" panose="02040503050406030204" pitchFamily="18" charset="0"/>
                  <a:ea typeface="Cambria Math" panose="02040503050406030204" pitchFamily="18" charset="0"/>
                  <a:cs typeface="Sora" pitchFamily="2" charset="0"/>
                </a:rPr>
                <a:t>4</a:t>
              </a:r>
              <a:r>
                <a:rPr lang="en-US" sz="800" i="0">
                  <a:latin typeface="Cambria Math" panose="02040503050406030204" pitchFamily="18" charset="0"/>
                  <a:ea typeface="Cambria Math" panose="02040503050406030204" pitchFamily="18" charset="0"/>
                  <a:cs typeface="Sora" pitchFamily="2" charset="0"/>
                </a:rPr>
                <a:t>)/(</a:t>
              </a:r>
              <a:r>
                <a:rPr lang="pt-BR" sz="800" i="0">
                  <a:latin typeface="Cambria Math" panose="02040503050406030204" pitchFamily="18" charset="0"/>
                  <a:ea typeface="Cambria Math" panose="02040503050406030204" pitchFamily="18" charset="0"/>
                  <a:cs typeface="Sora" pitchFamily="2" charset="0"/>
                </a:rPr>
                <a:t>Average of last 2 quarters of Loans and advances to customers excluding anticipation of credit card receivables</a:t>
              </a:r>
              <a:r>
                <a:rPr lang="en-US" sz="800" i="0">
                  <a:latin typeface="Cambria Math" panose="02040503050406030204" pitchFamily="18" charset="0"/>
                  <a:ea typeface="Cambria Math" panose="02040503050406030204" pitchFamily="18" charset="0"/>
                  <a:cs typeface="Sora" pitchFamily="2" charset="0"/>
                </a:rPr>
                <a:t>)</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 of risk excluding credit card:</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800" i="0">
                  <a:latin typeface="Cambria Math" panose="02040503050406030204" pitchFamily="18" charset="0"/>
                  <a:ea typeface="Cambria Math" panose="02040503050406030204" pitchFamily="18" charset="0"/>
                  <a:cs typeface="Sora" pitchFamily="2" charset="0"/>
                </a:rPr>
                <a:t>(Impairment losses on financial assets</a:t>
              </a:r>
              <a:r>
                <a:rPr lang="pt-BR" sz="800" b="0" i="0">
                  <a:latin typeface="Cambria Math" panose="02040503050406030204" pitchFamily="18" charset="0"/>
                  <a:ea typeface="Cambria Math" panose="02040503050406030204" pitchFamily="18" charset="0"/>
                  <a:cs typeface="Sora" pitchFamily="2" charset="0"/>
                </a:rPr>
                <a:t> </a:t>
              </a:r>
              <a:r>
                <a:rPr lang="pt-BR" sz="800" i="0">
                  <a:latin typeface="Cambria Math" panose="02040503050406030204" pitchFamily="18" charset="0"/>
                  <a:ea typeface="Cambria Math" panose="02040503050406030204" pitchFamily="18" charset="0"/>
                </a:rPr>
                <a:t>× </a:t>
              </a:r>
              <a:r>
                <a:rPr lang="pt-BR" sz="800" i="0">
                  <a:latin typeface="Cambria Math" panose="02040503050406030204" pitchFamily="18" charset="0"/>
                  <a:ea typeface="Cambria Math" panose="02040503050406030204" pitchFamily="18" charset="0"/>
                  <a:cs typeface="Sora" pitchFamily="2" charset="0"/>
                </a:rPr>
                <a:t>4</a:t>
              </a:r>
              <a:r>
                <a:rPr lang="en-US" sz="800" i="0">
                  <a:latin typeface="Cambria Math" panose="02040503050406030204" pitchFamily="18" charset="0"/>
                  <a:ea typeface="Cambria Math" panose="02040503050406030204" pitchFamily="18" charset="0"/>
                  <a:cs typeface="Sora" pitchFamily="2" charset="0"/>
                </a:rPr>
                <a:t>)/(</a:t>
              </a:r>
              <a:r>
                <a:rPr lang="pt-BR" sz="800" i="0">
                  <a:latin typeface="Cambria Math" panose="02040503050406030204" pitchFamily="18" charset="0"/>
                  <a:ea typeface="Cambria Math" panose="02040503050406030204" pitchFamily="18" charset="0"/>
                  <a:cs typeface="Sora" pitchFamily="2" charset="0"/>
                </a:rPr>
                <a:t>Average of last 2 quarters of Loans and advances to customers excluding credit card</a:t>
              </a:r>
              <a:r>
                <a:rPr lang="en-US" sz="800" i="0">
                  <a:latin typeface="Cambria Math" panose="02040503050406030204" pitchFamily="18" charset="0"/>
                  <a:ea typeface="Cambria Math" panose="02040503050406030204" pitchFamily="18" charset="0"/>
                  <a:cs typeface="Sora" pitchFamily="2" charset="0"/>
                </a:rPr>
                <a:t>)</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Cost-to-serve (CTS):</a:t>
              </a:r>
            </a:p>
            <a:p>
              <a:pPr algn="ctr"/>
              <a:endParaRPr lang="en-US"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r>
                <a:rPr lang="en-US"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((Personnel Expense+Administrative Expenses −</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Total CAC)</a:t>
              </a:r>
              <a:r>
                <a:rPr lang="en-US"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÷3)/(</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Average of the last 2 quarters Active Clients</a:t>
              </a:r>
              <a:r>
                <a:rPr lang="en-US"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  </a:t>
              </a: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pt-BR" sz="100" i="1">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xdr:txBody>
        </xdr:sp>
      </mc:Fallback>
    </mc:AlternateContent>
    <xdr:clientData/>
  </xdr:twoCellAnchor>
  <xdr:twoCellAnchor>
    <xdr:from>
      <xdr:col>7</xdr:col>
      <xdr:colOff>254000</xdr:colOff>
      <xdr:row>0</xdr:row>
      <xdr:rowOff>127258</xdr:rowOff>
    </xdr:from>
    <xdr:to>
      <xdr:col>7</xdr:col>
      <xdr:colOff>254000</xdr:colOff>
      <xdr:row>226</xdr:row>
      <xdr:rowOff>76200</xdr:rowOff>
    </xdr:to>
    <xdr:cxnSp macro="">
      <xdr:nvCxnSpPr>
        <xdr:cNvPr id="29" name="Straight Connector 28">
          <a:extLst>
            <a:ext uri="{FF2B5EF4-FFF2-40B4-BE49-F238E27FC236}">
              <a16:creationId xmlns:a16="http://schemas.microsoft.com/office/drawing/2014/main" id="{00000000-0008-0000-1600-00001D000000}"/>
            </a:ext>
          </a:extLst>
        </xdr:cNvPr>
        <xdr:cNvCxnSpPr>
          <a:cxnSpLocks/>
        </xdr:cNvCxnSpPr>
      </xdr:nvCxnSpPr>
      <xdr:spPr>
        <a:xfrm flipH="1">
          <a:off x="6121400" y="127258"/>
          <a:ext cx="0" cy="45872142"/>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0</xdr:col>
      <xdr:colOff>161844</xdr:colOff>
      <xdr:row>116</xdr:row>
      <xdr:rowOff>169334</xdr:rowOff>
    </xdr:from>
    <xdr:to>
      <xdr:col>7</xdr:col>
      <xdr:colOff>128789</xdr:colOff>
      <xdr:row>146</xdr:row>
      <xdr:rowOff>166606</xdr:rowOff>
    </xdr:to>
    <mc:AlternateContent xmlns:mc="http://schemas.openxmlformats.org/markup-compatibility/2006" xmlns:a14="http://schemas.microsoft.com/office/drawing/2010/main">
      <mc:Choice Requires="a14">
        <xdr:sp macro="" textlink="">
          <xdr:nvSpPr>
            <xdr:cNvPr id="30" name="Retângulo 9">
              <a:extLst>
                <a:ext uri="{FF2B5EF4-FFF2-40B4-BE49-F238E27FC236}">
                  <a16:creationId xmlns:a16="http://schemas.microsoft.com/office/drawing/2014/main" id="{00000000-0008-0000-1600-00001E000000}"/>
                </a:ext>
              </a:extLst>
            </xdr:cNvPr>
            <xdr:cNvSpPr/>
          </xdr:nvSpPr>
          <xdr:spPr>
            <a:xfrm>
              <a:off x="161844" y="21520059"/>
              <a:ext cx="5764771" cy="5519011"/>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Coverage ratio:</a:t>
              </a:r>
            </a:p>
            <a:p>
              <a:endParaRPr lang="en-US" sz="5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r>
                          <m:rPr>
                            <m:sty m:val="p"/>
                          </m:rPr>
                          <a:rPr lang="pt-BR" sz="900" i="0">
                            <a:latin typeface="Cambria Math" panose="02040503050406030204" pitchFamily="18" charset="0"/>
                            <a:ea typeface="Cambria Math" panose="02040503050406030204" pitchFamily="18" charset="0"/>
                          </a:rPr>
                          <m:t>Provision</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for</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expected</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credit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loss</m:t>
                        </m:r>
                      </m:num>
                      <m:den>
                        <m:r>
                          <m:rPr>
                            <m:sty m:val="p"/>
                          </m:rPr>
                          <a:rPr lang="pt-BR" sz="900" b="0" i="0">
                            <a:latin typeface="Cambria Math" panose="02040503050406030204" pitchFamily="18" charset="0"/>
                            <a:ea typeface="Cambria Math" panose="02040503050406030204" pitchFamily="18" charset="0"/>
                          </a:rPr>
                          <m:t>O</m:t>
                        </m:r>
                        <m:r>
                          <m:rPr>
                            <m:sty m:val="p"/>
                          </m:rPr>
                          <a:rPr lang="pt-BR" sz="900" i="0">
                            <a:latin typeface="Cambria Math" panose="02040503050406030204" pitchFamily="18" charset="0"/>
                            <a:ea typeface="Cambria Math" panose="02040503050406030204" pitchFamily="18" charset="0"/>
                          </a:rPr>
                          <m:t>verdue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higher</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than</m:t>
                        </m:r>
                        <m:r>
                          <a:rPr lang="pt-BR" sz="900" i="0">
                            <a:latin typeface="Cambria Math" panose="02040503050406030204" pitchFamily="18" charset="0"/>
                            <a:ea typeface="Cambria Math" panose="02040503050406030204" pitchFamily="18" charset="0"/>
                          </a:rPr>
                          <m:t> 90 </m:t>
                        </m:r>
                        <m:r>
                          <m:rPr>
                            <m:sty m:val="p"/>
                          </m:rPr>
                          <a:rPr lang="pt-BR" sz="900" i="0">
                            <a:latin typeface="Cambria Math" panose="02040503050406030204" pitchFamily="18" charset="0"/>
                            <a:ea typeface="Cambria Math" panose="02040503050406030204" pitchFamily="18" charset="0"/>
                          </a:rPr>
                          <m:t>days</m:t>
                        </m:r>
                      </m:den>
                    </m:f>
                  </m:oMath>
                </m:oMathPara>
              </a14:m>
              <a:endParaRPr lang="en-US" sz="900">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Earning portfolio (IEP):</a:t>
              </a:r>
            </a:p>
            <a:p>
              <a:pPr algn="ctr"/>
              <a:r>
                <a:rPr lang="pt-BR" sz="900">
                  <a:latin typeface="Calibri" panose="020F0502020204030204" pitchFamily="34" charset="0"/>
                  <a:ea typeface="Inter" panose="020B0502030000000004" pitchFamily="34" charset="0"/>
                  <a:cs typeface="Calibri" panose="020F0502020204030204" pitchFamily="34" charset="0"/>
                </a:rPr>
                <a:t>Earnings Portfolio includes “Amounts due from financial institutions” + “Loans and advances to customers” + “Securities” + “Derivatives” from the IFRS Balance Sheet</a:t>
              </a: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eqArr>
                          <m:eqArrPr>
                            <m:ctrlPr>
                              <a:rPr lang="pt-BR" sz="900" i="1">
                                <a:latin typeface="Cambria Math" panose="02040503050406030204" pitchFamily="18" charset="0"/>
                                <a:ea typeface="Cambria Math" panose="02040503050406030204" pitchFamily="18" charset="0"/>
                              </a:rPr>
                            </m:ctrlPr>
                          </m:eqArrPr>
                          <m:e>
                            <m:r>
                              <a:rPr lang="pt-BR" sz="900" i="0">
                                <a:latin typeface="Cambria Math" panose="02040503050406030204" pitchFamily="18" charset="0"/>
                                <a:ea typeface="Cambria Math" panose="02040503050406030204" pitchFamily="18" charset="0"/>
                              </a:rPr>
                              <m:t> </m:t>
                            </m:r>
                          </m:e>
                          <m:e>
                            <m:r>
                              <m:rPr>
                                <m:sty m:val="p"/>
                              </m:rPr>
                              <a:rPr lang="pt-BR" sz="900" i="0">
                                <a:latin typeface="Cambria Math" panose="02040503050406030204" pitchFamily="18" charset="0"/>
                                <a:ea typeface="Cambria Math" panose="02040503050406030204" pitchFamily="18" charset="0"/>
                              </a:rPr>
                              <m:t>Personnel</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expense</m:t>
                            </m:r>
                            <m:r>
                              <a:rPr lang="pt-BR" sz="900" i="0">
                                <a:latin typeface="Cambria Math" panose="02040503050406030204" pitchFamily="18" charset="0"/>
                                <a:ea typeface="Cambria Math" panose="02040503050406030204" pitchFamily="18" charset="0"/>
                              </a:rPr>
                              <m:t>+</m:t>
                            </m:r>
                            <m:r>
                              <m:rPr>
                                <m:sty m:val="p"/>
                              </m:rPr>
                              <a:rPr lang="pt-BR" sz="900" i="0">
                                <a:latin typeface="Cambria Math" panose="02040503050406030204" pitchFamily="18" charset="0"/>
                                <a:ea typeface="Cambria Math" panose="02040503050406030204" pitchFamily="18" charset="0"/>
                              </a:rPr>
                              <m:t>Administrative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expenses</m:t>
                            </m:r>
                            <m:r>
                              <a:rPr lang="pt-BR" sz="900" b="0" i="0">
                                <a:latin typeface="Cambria Math" panose="02040503050406030204" pitchFamily="18" charset="0"/>
                                <a:ea typeface="Cambria Math" panose="02040503050406030204" pitchFamily="18" charset="0"/>
                              </a:rPr>
                              <m:t>+</m:t>
                            </m:r>
                            <m:r>
                              <m:rPr>
                                <m:sty m:val="p"/>
                              </m:rPr>
                              <a:rPr lang="pt-BR" sz="900" b="0" i="0">
                                <a:latin typeface="Cambria Math" panose="02040503050406030204" pitchFamily="18" charset="0"/>
                                <a:ea typeface="Cambria Math" panose="02040503050406030204" pitchFamily="18" charset="0"/>
                              </a:rPr>
                              <m:t>Depreciation</m:t>
                            </m:r>
                            <m:r>
                              <a:rPr lang="pt-BR" sz="900" b="0" i="0">
                                <a:latin typeface="Cambria Math" panose="02040503050406030204" pitchFamily="18" charset="0"/>
                                <a:ea typeface="Cambria Math" panose="02040503050406030204" pitchFamily="18" charset="0"/>
                              </a:rPr>
                              <m:t> </m:t>
                            </m:r>
                            <m:r>
                              <m:rPr>
                                <m:sty m:val="p"/>
                              </m:rPr>
                              <a:rPr lang="pt-BR" sz="900" b="0" i="0">
                                <a:latin typeface="Cambria Math" panose="02040503050406030204" pitchFamily="18" charset="0"/>
                                <a:ea typeface="Cambria Math" panose="02040503050406030204" pitchFamily="18" charset="0"/>
                              </a:rPr>
                              <m:t>and</m:t>
                            </m:r>
                            <m:r>
                              <a:rPr lang="pt-BR" sz="900" b="0" i="0">
                                <a:latin typeface="Cambria Math" panose="02040503050406030204" pitchFamily="18" charset="0"/>
                                <a:ea typeface="Cambria Math" panose="02040503050406030204" pitchFamily="18" charset="0"/>
                              </a:rPr>
                              <m:t> </m:t>
                            </m:r>
                            <m:r>
                              <m:rPr>
                                <m:sty m:val="p"/>
                              </m:rPr>
                              <a:rPr lang="pt-BR" sz="900" b="0" i="0">
                                <a:latin typeface="Cambria Math" panose="02040503050406030204" pitchFamily="18" charset="0"/>
                                <a:ea typeface="Cambria Math" panose="02040503050406030204" pitchFamily="18" charset="0"/>
                              </a:rPr>
                              <m:t>amortization</m:t>
                            </m:r>
                            <m:r>
                              <a:rPr lang="pt-BR" sz="900" b="0" i="0">
                                <a:latin typeface="Cambria Math" panose="02040503050406030204" pitchFamily="18" charset="0"/>
                                <a:ea typeface="Cambria Math" panose="02040503050406030204" pitchFamily="18" charset="0"/>
                              </a:rPr>
                              <m:t> </m:t>
                            </m:r>
                          </m:e>
                        </m:eqArr>
                      </m:num>
                      <m:den>
                        <m:r>
                          <m:rPr>
                            <m:sty m:val="p"/>
                          </m:rPr>
                          <a:rPr lang="pt-BR" sz="900" i="1">
                            <a:latin typeface="Cambria Math" panose="02040503050406030204" pitchFamily="18" charset="0"/>
                            <a:ea typeface="Cambria Math" panose="02040503050406030204" pitchFamily="18" charset="0"/>
                          </a:rPr>
                          <m:t>Net</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Interest</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Income</m:t>
                        </m:r>
                        <m:r>
                          <a:rPr lang="pt-BR" sz="900" i="1">
                            <a:latin typeface="Cambria Math" panose="02040503050406030204" pitchFamily="18" charset="0"/>
                            <a:ea typeface="Cambria Math" panose="02040503050406030204" pitchFamily="18" charset="0"/>
                          </a:rPr>
                          <m:t>+</m:t>
                        </m:r>
                        <m:r>
                          <m:rPr>
                            <m:sty m:val="p"/>
                          </m:rPr>
                          <a:rPr lang="pt-BR" sz="900" i="1">
                            <a:latin typeface="Cambria Math" panose="02040503050406030204" pitchFamily="18" charset="0"/>
                            <a:ea typeface="Cambria Math" panose="02040503050406030204" pitchFamily="18" charset="0"/>
                          </a:rPr>
                          <m:t>Net</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result</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from</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services</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and</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comissions</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Other</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revenue</m:t>
                        </m:r>
                        <m:r>
                          <a:rPr lang="pt-BR" sz="900" i="1">
                            <a:latin typeface="Cambria Math" panose="02040503050406030204" pitchFamily="18" charset="0"/>
                            <a:ea typeface="Cambria Math" panose="02040503050406030204" pitchFamily="18" charset="0"/>
                          </a:rPr>
                          <m:t>−</m:t>
                        </m:r>
                        <m:r>
                          <m:rPr>
                            <m:sty m:val="p"/>
                          </m:rPr>
                          <a:rPr lang="pt-BR" sz="900" i="1">
                            <a:latin typeface="Cambria Math" panose="02040503050406030204" pitchFamily="18" charset="0"/>
                            <a:ea typeface="Cambria Math" panose="02040503050406030204" pitchFamily="18" charset="0"/>
                          </a:rPr>
                          <m:t>Tax</m:t>
                        </m:r>
                        <m:r>
                          <a:rPr lang="pt-BR" sz="900" i="1">
                            <a:latin typeface="Cambria Math" panose="02040503050406030204" pitchFamily="18" charset="0"/>
                            <a:ea typeface="Cambria Math" panose="02040503050406030204" pitchFamily="18" charset="0"/>
                          </a:rPr>
                          <m:t> </m:t>
                        </m:r>
                        <m:r>
                          <m:rPr>
                            <m:sty m:val="p"/>
                          </m:rPr>
                          <a:rPr lang="pt-BR" sz="900" i="1">
                            <a:latin typeface="Cambria Math" panose="02040503050406030204" pitchFamily="18" charset="0"/>
                            <a:ea typeface="Cambria Math" panose="02040503050406030204" pitchFamily="18" charset="0"/>
                          </a:rPr>
                          <m:t>expense</m:t>
                        </m:r>
                      </m:den>
                    </m:f>
                    <m:r>
                      <a:rPr lang="pt-BR" sz="900" i="1">
                        <a:latin typeface="Cambria Math" panose="02040503050406030204" pitchFamily="18" charset="0"/>
                        <a:ea typeface="Cambria Math" panose="02040503050406030204" pitchFamily="18" charset="0"/>
                      </a:rPr>
                      <m:t> </m:t>
                    </m:r>
                  </m:oMath>
                </m:oMathPara>
              </a14:m>
              <a:endParaRPr lang="pt-BR" sz="900" i="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Fee income ratio:</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Net</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result</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from</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services</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and</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commissions</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Other</m:t>
                        </m:r>
                        <m: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revenue</m:t>
                        </m:r>
                      </m:num>
                      <m:den>
                        <m:r>
                          <m:rPr>
                            <m:sty m:val="p"/>
                          </m:rPr>
                          <a:rPr lang="pt-BR" sz="900">
                            <a:latin typeface="Cambria Math" panose="02040503050406030204" pitchFamily="18" charset="0"/>
                            <a:ea typeface="Cambria Math" panose="02040503050406030204" pitchFamily="18" charset="0"/>
                          </a:rPr>
                          <m:t>Net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Interest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Income</m:t>
                        </m:r>
                        <m:r>
                          <a:rPr lang="pt-BR" sz="900">
                            <a:latin typeface="Cambria Math" panose="02040503050406030204" pitchFamily="18" charset="0"/>
                            <a:ea typeface="Cambria Math" panose="02040503050406030204" pitchFamily="18" charset="0"/>
                          </a:rPr>
                          <m:t>+</m:t>
                        </m:r>
                        <m:r>
                          <m:rPr>
                            <m:sty m:val="p"/>
                          </m:rPr>
                          <a:rPr lang="pt-BR" sz="900">
                            <a:latin typeface="Cambria Math" panose="02040503050406030204" pitchFamily="18" charset="0"/>
                            <a:ea typeface="Cambria Math" panose="02040503050406030204" pitchFamily="18" charset="0"/>
                          </a:rPr>
                          <m:t>Net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result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from</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services</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and</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comissions</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Other</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revenue</m:t>
                        </m:r>
                        <m:r>
                          <a:rPr lang="pt-BR" sz="900">
                            <a:latin typeface="Cambria Math" panose="02040503050406030204" pitchFamily="18" charset="0"/>
                            <a:ea typeface="Cambria Math" panose="02040503050406030204" pitchFamily="18" charset="0"/>
                          </a:rPr>
                          <m:t>−</m:t>
                        </m:r>
                        <m:r>
                          <m:rPr>
                            <m:sty m:val="p"/>
                          </m:rPr>
                          <a:rPr lang="pt-BR" sz="900">
                            <a:latin typeface="Cambria Math" panose="02040503050406030204" pitchFamily="18" charset="0"/>
                            <a:ea typeface="Cambria Math" panose="02040503050406030204" pitchFamily="18" charset="0"/>
                          </a:rPr>
                          <m:t>Tax</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expense</m:t>
                        </m:r>
                      </m:den>
                    </m:f>
                  </m:oMath>
                </m:oMathPara>
              </a14:m>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Funding:</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14:m>
                <m:oMath xmlns:m="http://schemas.openxmlformats.org/officeDocument/2006/math">
                  <m:r>
                    <m:rPr>
                      <m:nor/>
                    </m:rPr>
                    <a:rPr lang="pt-BR" sz="900">
                      <a:latin typeface="Calibri" panose="020F0502020204030204" pitchFamily="34" charset="0"/>
                      <a:ea typeface="Inter" panose="020B0502030000000004" pitchFamily="34" charset="0"/>
                      <a:cs typeface="Calibri" panose="020F0502020204030204" pitchFamily="34" charset="0"/>
                    </a:rPr>
                    <m:t>Demand</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Deposits</m:t>
                  </m:r>
                  <m:r>
                    <m:rPr>
                      <m:nor/>
                    </m:rPr>
                    <a:rPr lang="pt-BR" sz="900">
                      <a:latin typeface="Calibri" panose="020F0502020204030204" pitchFamily="34" charset="0"/>
                      <a:ea typeface="Inter" panose="020B0502030000000004" pitchFamily="34" charset="0"/>
                      <a:cs typeface="Calibri" panose="020F0502020204030204" pitchFamily="34" charset="0"/>
                    </a:rPr>
                    <m:t> + </m:t>
                  </m:r>
                  <m:r>
                    <m:rPr>
                      <m:nor/>
                    </m:rPr>
                    <a:rPr lang="pt-BR" sz="900">
                      <a:latin typeface="Calibri" panose="020F0502020204030204" pitchFamily="34" charset="0"/>
                      <a:ea typeface="Inter" panose="020B0502030000000004" pitchFamily="34" charset="0"/>
                      <a:cs typeface="Calibri" panose="020F0502020204030204" pitchFamily="34" charset="0"/>
                    </a:rPr>
                    <m:t>Time</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Deposits</m:t>
                  </m:r>
                  <m:r>
                    <m:rPr>
                      <m:nor/>
                    </m:rPr>
                    <a:rPr lang="pt-BR" sz="900">
                      <a:latin typeface="Calibri" panose="020F0502020204030204" pitchFamily="34" charset="0"/>
                      <a:ea typeface="Inter" panose="020B0502030000000004" pitchFamily="34" charset="0"/>
                      <a:cs typeface="Calibri" panose="020F0502020204030204" pitchFamily="34" charset="0"/>
                    </a:rPr>
                    <m:t> + </m:t>
                  </m:r>
                  <m:r>
                    <m:rPr>
                      <m:nor/>
                    </m:rPr>
                    <a:rPr lang="pt-BR" sz="900">
                      <a:latin typeface="Calibri" panose="020F0502020204030204" pitchFamily="34" charset="0"/>
                      <a:ea typeface="Inter" panose="020B0502030000000004" pitchFamily="34" charset="0"/>
                      <a:cs typeface="Calibri" panose="020F0502020204030204" pitchFamily="34" charset="0"/>
                    </a:rPr>
                    <m:t>Securities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Issued</m:t>
                  </m:r>
                  <m:r>
                    <m:rPr>
                      <m:nor/>
                    </m:rPr>
                    <a:rPr lang="pt-BR" sz="900">
                      <a:latin typeface="Calibri" panose="020F0502020204030204" pitchFamily="34" charset="0"/>
                      <a:ea typeface="Inter" panose="020B0502030000000004" pitchFamily="34" charset="0"/>
                      <a:cs typeface="Calibri" panose="020F0502020204030204" pitchFamily="34" charset="0"/>
                    </a:rPr>
                    <m:t> + </m:t>
                  </m:r>
                  <m:r>
                    <m:rPr>
                      <m:nor/>
                    </m:rPr>
                    <a:rPr lang="pt-BR" sz="900">
                      <a:latin typeface="Calibri" panose="020F0502020204030204" pitchFamily="34" charset="0"/>
                      <a:ea typeface="Inter" panose="020B0502030000000004" pitchFamily="34" charset="0"/>
                      <a:cs typeface="Calibri" panose="020F0502020204030204" pitchFamily="34" charset="0"/>
                    </a:rPr>
                    <m:t>Savings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Deposits</m:t>
                  </m:r>
                  <m:r>
                    <m:rPr>
                      <m:nor/>
                    </m:rPr>
                    <a:rPr lang="pt-BR" sz="900">
                      <a:latin typeface="Calibri" panose="020F0502020204030204" pitchFamily="34" charset="0"/>
                      <a:ea typeface="Inter" panose="020B0502030000000004" pitchFamily="34" charset="0"/>
                      <a:cs typeface="Calibri" panose="020F0502020204030204" pitchFamily="34" charset="0"/>
                    </a:rPr>
                    <m:t> + </m:t>
                  </m:r>
                  <m:r>
                    <m:rPr>
                      <m:nor/>
                    </m:rPr>
                    <a:rPr lang="pt-BR" sz="900">
                      <a:latin typeface="Calibri" panose="020F0502020204030204" pitchFamily="34" charset="0"/>
                      <a:ea typeface="Inter" panose="020B0502030000000004" pitchFamily="34" charset="0"/>
                      <a:cs typeface="Calibri" panose="020F0502020204030204" pitchFamily="34" charset="0"/>
                    </a:rPr>
                    <m:t>Creditors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by</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Resources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to</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Release</m:t>
                  </m:r>
                </m:oMath>
              </a14:m>
              <a:r>
                <a:rPr lang="en-US" sz="900">
                  <a:latin typeface="Calibri" panose="020F0502020204030204" pitchFamily="34" charset="0"/>
                  <a:ea typeface="Inter" panose="020B0502030000000004" pitchFamily="34" charset="0"/>
                  <a:cs typeface="Calibri" panose="020F0502020204030204" pitchFamily="34" charset="0"/>
                </a:rPr>
                <a:t> +</a:t>
              </a:r>
              <a:br>
                <a:rPr lang="en-US" sz="900">
                  <a:latin typeface="Calibri" panose="020F0502020204030204" pitchFamily="34" charset="0"/>
                  <a:ea typeface="Inter" panose="020B0502030000000004" pitchFamily="34" charset="0"/>
                  <a:cs typeface="Calibri" panose="020F0502020204030204" pitchFamily="34" charset="0"/>
                </a:rPr>
              </a:br>
              <a:r>
                <a:rPr lang="en-US" sz="900">
                  <a:latin typeface="Calibri" panose="020F0502020204030204" pitchFamily="34" charset="0"/>
                  <a:ea typeface="Inter" panose="020B0502030000000004" pitchFamily="34" charset="0"/>
                  <a:cs typeface="Calibri" panose="020F0502020204030204" pitchFamily="34" charset="0"/>
                </a:rPr>
                <a:t>Securities sold under agreements to repurchase + Interbank deposits + Borrowing and onlending</a:t>
              </a:r>
            </a:p>
            <a:p>
              <a:endParaRPr lang="en-US" sz="500">
                <a:solidFill>
                  <a:schemeClr val="tx1"/>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loan portfolio:</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lgn="just"/>
              <a14:m>
                <m:oMathPara xmlns:m="http://schemas.openxmlformats.org/officeDocument/2006/math">
                  <m:oMathParaPr>
                    <m:jc m:val="centerGroup"/>
                  </m:oMathParaPr>
                  <m:oMath xmlns:m="http://schemas.openxmlformats.org/officeDocument/2006/math">
                    <m:r>
                      <m:rPr>
                        <m:nor/>
                      </m:rPr>
                      <a:rPr lang="pt-BR" sz="900">
                        <a:latin typeface="Calibri" panose="020F0502020204030204" pitchFamily="34" charset="0"/>
                        <a:ea typeface="Inter" panose="020B0502030000000004" pitchFamily="34" charset="0"/>
                        <a:cs typeface="Calibri" panose="020F0502020204030204" pitchFamily="34" charset="0"/>
                      </a:rPr>
                      <m:t>Loans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and</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Advance</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to</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Customers</m:t>
                    </m:r>
                    <m:r>
                      <m:rPr>
                        <m:nor/>
                      </m:rPr>
                      <a:rPr lang="pt-BR" sz="900">
                        <a:latin typeface="Calibri" panose="020F0502020204030204" pitchFamily="34" charset="0"/>
                        <a:ea typeface="Inter" panose="020B0502030000000004" pitchFamily="34" charset="0"/>
                        <a:cs typeface="Calibri" panose="020F0502020204030204" pitchFamily="34" charset="0"/>
                      </a:rPr>
                      <m:t> + </m:t>
                    </m:r>
                    <m:r>
                      <m:rPr>
                        <m:nor/>
                      </m:rPr>
                      <a:rPr lang="pt-BR" sz="900">
                        <a:latin typeface="Calibri" panose="020F0502020204030204" pitchFamily="34" charset="0"/>
                        <a:ea typeface="Inter" panose="020B0502030000000004" pitchFamily="34" charset="0"/>
                        <a:cs typeface="Calibri" panose="020F0502020204030204" pitchFamily="34" charset="0"/>
                      </a:rPr>
                      <m:t>Loans</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to</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financial</m:t>
                    </m:r>
                    <m:r>
                      <m:rPr>
                        <m:nor/>
                      </m:rPr>
                      <a:rPr lang="pt-BR" sz="900">
                        <a:latin typeface="Calibri" panose="020F0502020204030204" pitchFamily="34" charset="0"/>
                        <a:ea typeface="Inter" panose="020B0502030000000004" pitchFamily="34" charset="0"/>
                        <a:cs typeface="Calibri" panose="020F0502020204030204" pitchFamily="34" charset="0"/>
                      </a:rPr>
                      <m:t> </m:t>
                    </m:r>
                    <m:r>
                      <m:rPr>
                        <m:nor/>
                      </m:rPr>
                      <a:rPr lang="pt-BR" sz="900">
                        <a:latin typeface="Calibri" panose="020F0502020204030204" pitchFamily="34" charset="0"/>
                        <a:ea typeface="Inter" panose="020B0502030000000004" pitchFamily="34" charset="0"/>
                        <a:cs typeface="Calibri" panose="020F0502020204030204" pitchFamily="34" charset="0"/>
                      </a:rPr>
                      <m:t>institutions</m:t>
                    </m:r>
                    <m:r>
                      <m:rPr>
                        <m:nor/>
                      </m:rPr>
                      <a:rPr lang="pt-BR" sz="900">
                        <a:latin typeface="Calibri" panose="020F0502020204030204" pitchFamily="34" charset="0"/>
                        <a:ea typeface="Inter" panose="020B0502030000000004" pitchFamily="34" charset="0"/>
                        <a:cs typeface="Calibri" panose="020F0502020204030204" pitchFamily="34" charset="0"/>
                      </a:rPr>
                      <m:t>  </m:t>
                    </m:r>
                  </m:oMath>
                </m:oMathPara>
              </a14:m>
              <a:endParaRPr lang="en-US" sz="900">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margin per active client gross of interest expenses:</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900">
                        <a:latin typeface="Cambria Math" panose="02040503050406030204" pitchFamily="18" charset="0"/>
                        <a:ea typeface="Inter" panose="020B0502030000000004" pitchFamily="34" charset="0"/>
                      </a:rPr>
                      <m:t>ARPAC</m:t>
                    </m:r>
                    <m:r>
                      <a:rPr lang="pt-BR" sz="90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g</m:t>
                    </m:r>
                    <m:r>
                      <m:rPr>
                        <m:sty m:val="p"/>
                      </m:rPr>
                      <a:rPr lang="pt-BR" sz="900">
                        <a:latin typeface="Cambria Math" panose="02040503050406030204" pitchFamily="18" charset="0"/>
                        <a:ea typeface="Inter" panose="020B0502030000000004" pitchFamily="34" charset="0"/>
                      </a:rPr>
                      <m:t>ross</m:t>
                    </m:r>
                    <m:r>
                      <a:rPr lang="pt-BR" sz="900">
                        <a:latin typeface="Cambria Math" panose="02040503050406030204" pitchFamily="18" charset="0"/>
                        <a:ea typeface="Inter" panose="020B0502030000000004" pitchFamily="34" charset="0"/>
                      </a:rPr>
                      <m:t> </m:t>
                    </m:r>
                    <m:r>
                      <m:rPr>
                        <m:sty m:val="p"/>
                      </m:rPr>
                      <a:rPr lang="pt-BR" sz="900">
                        <a:latin typeface="Cambria Math" panose="02040503050406030204" pitchFamily="18" charset="0"/>
                        <a:ea typeface="Inter" panose="020B0502030000000004" pitchFamily="34" charset="0"/>
                      </a:rPr>
                      <m:t>of</m:t>
                    </m:r>
                    <m:r>
                      <a:rPr lang="pt-BR" sz="90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interest</m:t>
                    </m:r>
                    <m:r>
                      <a:rPr lang="pt-BR" sz="900" b="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expenses</m:t>
                    </m:r>
                    <m:r>
                      <a:rPr lang="pt-BR" sz="90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C</m:t>
                    </m:r>
                    <m:r>
                      <m:rPr>
                        <m:sty m:val="p"/>
                      </m:rPr>
                      <a:rPr lang="pt-BR" sz="900">
                        <a:latin typeface="Cambria Math" panose="02040503050406030204" pitchFamily="18" charset="0"/>
                        <a:ea typeface="Inter" panose="020B0502030000000004" pitchFamily="34" charset="0"/>
                      </a:rPr>
                      <m:t>ost</m:t>
                    </m:r>
                    <m:r>
                      <a:rPr lang="pt-BR" sz="900" b="0" i="0">
                        <a:latin typeface="Cambria Math" panose="02040503050406030204" pitchFamily="18" charset="0"/>
                        <a:ea typeface="Inter" panose="020B0502030000000004" pitchFamily="34" charset="0"/>
                      </a:rPr>
                      <m:t> </m:t>
                    </m:r>
                    <m:r>
                      <m:rPr>
                        <m:sty m:val="p"/>
                      </m:rPr>
                      <a:rPr lang="pt-BR" sz="900">
                        <a:latin typeface="Cambria Math" panose="02040503050406030204" pitchFamily="18" charset="0"/>
                        <a:ea typeface="Inter" panose="020B0502030000000004" pitchFamily="34" charset="0"/>
                      </a:rPr>
                      <m:t>to</m:t>
                    </m:r>
                    <m:r>
                      <a:rPr lang="pt-BR" sz="900" b="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Serve</m:t>
                    </m:r>
                  </m:oMath>
                </m:oMathPara>
              </a14:m>
              <a:endParaRPr lang="pt-BR" sz="900" b="1">
                <a:latin typeface="Calibri" panose="020F0502020204030204" pitchFamily="34"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xdr:txBody>
        </xdr:sp>
      </mc:Choice>
      <mc:Fallback xmlns="">
        <xdr:sp macro="" textlink="">
          <xdr:nvSpPr>
            <xdr:cNvPr id="30" name="Retângulo 9">
              <a:extLst>
                <a:ext uri="{FF2B5EF4-FFF2-40B4-BE49-F238E27FC236}">
                  <a16:creationId xmlns:a16="http://schemas.microsoft.com/office/drawing/2014/main" id="{70BBBFDC-97EA-DB78-9935-3D590DAA2910}"/>
                </a:ext>
              </a:extLst>
            </xdr:cNvPr>
            <xdr:cNvSpPr/>
          </xdr:nvSpPr>
          <xdr:spPr>
            <a:xfrm>
              <a:off x="161844" y="21520059"/>
              <a:ext cx="5764771" cy="5519011"/>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Coverage ratio:</a:t>
              </a:r>
            </a:p>
            <a:p>
              <a:endParaRPr lang="en-US" sz="5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r>
                <a:rPr lang="pt-BR" sz="900" i="0">
                  <a:latin typeface="Cambria Math" panose="02040503050406030204" pitchFamily="18" charset="0"/>
                  <a:ea typeface="Cambria Math" panose="02040503050406030204" pitchFamily="18" charset="0"/>
                </a:rPr>
                <a:t>(Provision for expected credit loss)/(</a:t>
              </a:r>
              <a:r>
                <a:rPr lang="pt-BR" sz="900" b="0" i="0">
                  <a:latin typeface="Cambria Math" panose="02040503050406030204" pitchFamily="18" charset="0"/>
                  <a:ea typeface="Cambria Math" panose="02040503050406030204" pitchFamily="18" charset="0"/>
                </a:rPr>
                <a:t>O</a:t>
              </a:r>
              <a:r>
                <a:rPr lang="pt-BR" sz="900" i="0">
                  <a:latin typeface="Cambria Math" panose="02040503050406030204" pitchFamily="18" charset="0"/>
                  <a:ea typeface="Cambria Math" panose="02040503050406030204" pitchFamily="18" charset="0"/>
                </a:rPr>
                <a:t>verdue higher than 90 days)</a:t>
              </a:r>
              <a:endParaRPr lang="en-US" sz="900">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Earning portfolio (IEP):</a:t>
              </a:r>
            </a:p>
            <a:p>
              <a:pPr algn="ctr"/>
              <a:r>
                <a:rPr lang="pt-BR" sz="900">
                  <a:latin typeface="Calibri" panose="020F0502020204030204" pitchFamily="34" charset="0"/>
                  <a:ea typeface="Inter" panose="020B0502030000000004" pitchFamily="34" charset="0"/>
                  <a:cs typeface="Calibri" panose="020F0502020204030204" pitchFamily="34" charset="0"/>
                </a:rPr>
                <a:t>Earnings Portfolio includes “Amounts due from financial institutions” + “Loans and advances to customers” + “Securities” + “Derivatives” from the IFRS Balance Sheet</a:t>
              </a: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r>
                <a:rPr lang="pt-BR" sz="900" i="0">
                  <a:latin typeface="Cambria Math" panose="02040503050406030204" pitchFamily="18" charset="0"/>
                  <a:ea typeface="Cambria Math" panose="02040503050406030204" pitchFamily="18" charset="0"/>
                </a:rPr>
                <a:t>█( @Personnel expense+Administrative expenses</a:t>
              </a:r>
              <a:r>
                <a:rPr lang="pt-BR" sz="900" b="0" i="0">
                  <a:latin typeface="Cambria Math" panose="02040503050406030204" pitchFamily="18" charset="0"/>
                  <a:ea typeface="Cambria Math" panose="02040503050406030204" pitchFamily="18" charset="0"/>
                </a:rPr>
                <a:t>+Depreciation and amortization )/(</a:t>
              </a:r>
              <a:r>
                <a:rPr lang="pt-BR" sz="900" i="0">
                  <a:latin typeface="Cambria Math" panose="02040503050406030204" pitchFamily="18" charset="0"/>
                  <a:ea typeface="Cambria Math" panose="02040503050406030204" pitchFamily="18" charset="0"/>
                </a:rPr>
                <a:t>Net Interest Income+Net result from services and comissions+ Other revenue−Tax expense)  </a:t>
              </a:r>
              <a:endParaRPr lang="pt-BR" sz="900" i="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Fee income ratio:</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r>
                <a:rPr lang="pt-BR" sz="900" i="0">
                  <a:latin typeface="Cambria Math" panose="02040503050406030204" pitchFamily="18" charset="0"/>
                  <a:ea typeface="Cambria Math" panose="02040503050406030204" pitchFamily="18" charset="0"/>
                </a:rPr>
                <a:t>(</a:t>
              </a:r>
              <a: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Net result from services and commissions + Other revenue)/(</a:t>
              </a:r>
              <a:r>
                <a:rPr lang="pt-BR" sz="900" i="0">
                  <a:latin typeface="Cambria Math" panose="02040503050406030204" pitchFamily="18" charset="0"/>
                  <a:ea typeface="Cambria Math" panose="02040503050406030204" pitchFamily="18" charset="0"/>
                </a:rPr>
                <a:t>Net Interest Income+Net result from services and comissions+ Other revenue−Tax expense)</a:t>
              </a:r>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Funding:</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r>
                <a:rPr lang="pt-BR" sz="900" i="0">
                  <a:latin typeface="Cambria Math" panose="02040503050406030204" pitchFamily="18" charset="0"/>
                  <a:ea typeface="Inter" panose="020B0502030000000004" pitchFamily="34" charset="0"/>
                  <a:cs typeface="Calibri" panose="020F0502020204030204" pitchFamily="34" charset="0"/>
                </a:rPr>
                <a:t>"Demand Deposits + Time Deposits + Securities Issued + Savings Deposits + Creditors by Resources to Release</a:t>
              </a:r>
              <a:r>
                <a:rPr lang="en-US" sz="900" i="0">
                  <a:latin typeface="Calibri" panose="020F0502020204030204" pitchFamily="34" charset="0"/>
                  <a:ea typeface="Inter" panose="020B0502030000000004" pitchFamily="34" charset="0"/>
                  <a:cs typeface="Calibri" panose="020F0502020204030204" pitchFamily="34" charset="0"/>
                </a:rPr>
                <a:t>"</a:t>
              </a:r>
              <a:r>
                <a:rPr lang="en-US" sz="900">
                  <a:latin typeface="Calibri" panose="020F0502020204030204" pitchFamily="34" charset="0"/>
                  <a:ea typeface="Inter" panose="020B0502030000000004" pitchFamily="34" charset="0"/>
                  <a:cs typeface="Calibri" panose="020F0502020204030204" pitchFamily="34" charset="0"/>
                </a:rPr>
                <a:t> +</a:t>
              </a:r>
              <a:br>
                <a:rPr lang="en-US" sz="900">
                  <a:latin typeface="Calibri" panose="020F0502020204030204" pitchFamily="34" charset="0"/>
                  <a:ea typeface="Inter" panose="020B0502030000000004" pitchFamily="34" charset="0"/>
                  <a:cs typeface="Calibri" panose="020F0502020204030204" pitchFamily="34" charset="0"/>
                </a:rPr>
              </a:br>
              <a:r>
                <a:rPr lang="en-US" sz="900">
                  <a:latin typeface="Calibri" panose="020F0502020204030204" pitchFamily="34" charset="0"/>
                  <a:ea typeface="Inter" panose="020B0502030000000004" pitchFamily="34" charset="0"/>
                  <a:cs typeface="Calibri" panose="020F0502020204030204" pitchFamily="34" charset="0"/>
                </a:rPr>
                <a:t>Securities sold under agreements to repurchase + Interbank deposits + Borrowing and onlending</a:t>
              </a:r>
            </a:p>
            <a:p>
              <a:endParaRPr lang="en-US" sz="500">
                <a:solidFill>
                  <a:schemeClr val="tx1"/>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loan portfolio:</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lgn="just"/>
              <a:r>
                <a:rPr lang="pt-BR" sz="900" i="0">
                  <a:latin typeface="Cambria Math" panose="02040503050406030204" pitchFamily="18" charset="0"/>
                  <a:ea typeface="Inter" panose="020B0502030000000004" pitchFamily="34" charset="0"/>
                  <a:cs typeface="Calibri" panose="020F0502020204030204" pitchFamily="34" charset="0"/>
                </a:rPr>
                <a:t>"Loans and Advance to Customers + Loans to  financial institutions  </a:t>
              </a:r>
              <a:r>
                <a:rPr lang="en-US" sz="900" i="0">
                  <a:latin typeface="Calibri" panose="020F0502020204030204" pitchFamily="34" charset="0"/>
                  <a:ea typeface="Inter" panose="020B0502030000000004" pitchFamily="34" charset="0"/>
                  <a:cs typeface="Calibri" panose="020F0502020204030204" pitchFamily="34" charset="0"/>
                </a:rPr>
                <a:t>"</a:t>
              </a:r>
              <a:endParaRPr lang="en-US" sz="900">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Gross margin per active client gross of interest expenses:</a:t>
              </a:r>
            </a:p>
            <a:p>
              <a:endParaRPr lang="en-US" sz="900" b="1">
                <a:latin typeface="Calibri" panose="020F0502020204030204" pitchFamily="34" charset="0"/>
                <a:cs typeface="Calibri" panose="020F0502020204030204" pitchFamily="34" charset="0"/>
              </a:endParaRPr>
            </a:p>
            <a:p>
              <a:pPr/>
              <a:r>
                <a:rPr lang="pt-BR" sz="900" i="0">
                  <a:latin typeface="Cambria Math" panose="02040503050406030204" pitchFamily="18" charset="0"/>
                  <a:ea typeface="Inter" panose="020B0502030000000004" pitchFamily="34" charset="0"/>
                </a:rPr>
                <a:t>ARPAC </a:t>
              </a:r>
              <a:r>
                <a:rPr lang="pt-BR" sz="900" b="0" i="0">
                  <a:latin typeface="Cambria Math" panose="02040503050406030204" pitchFamily="18" charset="0"/>
                  <a:ea typeface="Inter" panose="020B0502030000000004" pitchFamily="34" charset="0"/>
                </a:rPr>
                <a:t>g</a:t>
              </a:r>
              <a:r>
                <a:rPr lang="pt-BR" sz="900" i="0">
                  <a:latin typeface="Cambria Math" panose="02040503050406030204" pitchFamily="18" charset="0"/>
                  <a:ea typeface="Inter" panose="020B0502030000000004" pitchFamily="34" charset="0"/>
                </a:rPr>
                <a:t>ross of </a:t>
              </a:r>
              <a:r>
                <a:rPr lang="pt-BR" sz="900" b="0" i="0">
                  <a:latin typeface="Cambria Math" panose="02040503050406030204" pitchFamily="18" charset="0"/>
                  <a:ea typeface="Inter" panose="020B0502030000000004" pitchFamily="34" charset="0"/>
                </a:rPr>
                <a:t>interest expenses</a:t>
              </a:r>
              <a:r>
                <a:rPr lang="pt-BR" sz="900" i="0">
                  <a:latin typeface="Cambria Math" panose="02040503050406030204" pitchFamily="18" charset="0"/>
                  <a:ea typeface="Inter" panose="020B0502030000000004" pitchFamily="34" charset="0"/>
                </a:rPr>
                <a:t> –</a:t>
              </a:r>
              <a:r>
                <a:rPr lang="pt-BR" sz="900" b="0" i="0">
                  <a:latin typeface="Cambria Math" panose="02040503050406030204" pitchFamily="18" charset="0"/>
                  <a:ea typeface="Inter" panose="020B0502030000000004" pitchFamily="34" charset="0"/>
                </a:rPr>
                <a:t>C</a:t>
              </a:r>
              <a:r>
                <a:rPr lang="pt-BR" sz="900" i="0">
                  <a:latin typeface="Cambria Math" panose="02040503050406030204" pitchFamily="18" charset="0"/>
                  <a:ea typeface="Inter" panose="020B0502030000000004" pitchFamily="34" charset="0"/>
                </a:rPr>
                <a:t>ost</a:t>
              </a:r>
              <a:r>
                <a:rPr lang="pt-BR" sz="900" b="0" i="0">
                  <a:latin typeface="Cambria Math" panose="02040503050406030204" pitchFamily="18" charset="0"/>
                  <a:ea typeface="Inter" panose="020B0502030000000004" pitchFamily="34" charset="0"/>
                </a:rPr>
                <a:t> </a:t>
              </a:r>
              <a:r>
                <a:rPr lang="pt-BR" sz="900" i="0">
                  <a:latin typeface="Cambria Math" panose="02040503050406030204" pitchFamily="18" charset="0"/>
                  <a:ea typeface="Inter" panose="020B0502030000000004" pitchFamily="34" charset="0"/>
                </a:rPr>
                <a:t>to</a:t>
              </a:r>
              <a:r>
                <a:rPr lang="pt-BR" sz="900" b="0" i="0">
                  <a:latin typeface="Cambria Math" panose="02040503050406030204" pitchFamily="18" charset="0"/>
                  <a:ea typeface="Inter" panose="020B0502030000000004" pitchFamily="34" charset="0"/>
                </a:rPr>
                <a:t> Serve</a:t>
              </a:r>
              <a:endParaRPr lang="pt-BR" sz="900" b="1">
                <a:latin typeface="Calibri" panose="020F0502020204030204" pitchFamily="34"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xdr:txBody>
        </xdr:sp>
      </mc:Fallback>
    </mc:AlternateContent>
    <xdr:clientData/>
  </xdr:twoCellAnchor>
  <xdr:twoCellAnchor>
    <xdr:from>
      <xdr:col>0</xdr:col>
      <xdr:colOff>177988</xdr:colOff>
      <xdr:row>146</xdr:row>
      <xdr:rowOff>79457</xdr:rowOff>
    </xdr:from>
    <xdr:to>
      <xdr:col>7</xdr:col>
      <xdr:colOff>146188</xdr:colOff>
      <xdr:row>176</xdr:row>
      <xdr:rowOff>128025</xdr:rowOff>
    </xdr:to>
    <mc:AlternateContent xmlns:mc="http://schemas.openxmlformats.org/markup-compatibility/2006" xmlns:a14="http://schemas.microsoft.com/office/drawing/2010/main">
      <mc:Choice Requires="a14">
        <xdr:sp macro="" textlink="">
          <xdr:nvSpPr>
            <xdr:cNvPr id="31" name="Retângulo 9">
              <a:extLst>
                <a:ext uri="{FF2B5EF4-FFF2-40B4-BE49-F238E27FC236}">
                  <a16:creationId xmlns:a16="http://schemas.microsoft.com/office/drawing/2014/main" id="{00000000-0008-0000-1600-00001F000000}"/>
                </a:ext>
              </a:extLst>
            </xdr:cNvPr>
            <xdr:cNvSpPr/>
          </xdr:nvSpPr>
          <xdr:spPr>
            <a:xfrm>
              <a:off x="177988" y="26951921"/>
              <a:ext cx="5766026" cy="5570307"/>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Gross margin per active client net of interest expenses:</a:t>
              </a:r>
            </a:p>
            <a:p>
              <a:endParaRPr lang="en-US" sz="9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900" i="0">
                        <a:latin typeface="Cambria Math" panose="02040503050406030204" pitchFamily="18" charset="0"/>
                        <a:ea typeface="Inter" panose="020B0502030000000004" pitchFamily="34" charset="0"/>
                      </a:rPr>
                      <m:t>ARPAC</m:t>
                    </m:r>
                    <m:r>
                      <a:rPr lang="pt-BR" sz="90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net</m:t>
                    </m:r>
                    <m:r>
                      <a:rPr lang="pt-BR" sz="900" b="0" i="0">
                        <a:latin typeface="Cambria Math" panose="02040503050406030204" pitchFamily="18" charset="0"/>
                        <a:ea typeface="Inter" panose="020B0502030000000004" pitchFamily="34" charset="0"/>
                      </a:rPr>
                      <m:t>  </m:t>
                    </m:r>
                    <m:r>
                      <m:rPr>
                        <m:sty m:val="p"/>
                      </m:rPr>
                      <a:rPr lang="pt-BR" sz="900" i="0">
                        <a:latin typeface="Cambria Math" panose="02040503050406030204" pitchFamily="18" charset="0"/>
                        <a:ea typeface="Inter" panose="020B0502030000000004" pitchFamily="34" charset="0"/>
                      </a:rPr>
                      <m:t>of</m:t>
                    </m:r>
                    <m:r>
                      <a:rPr lang="pt-BR" sz="90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interest</m:t>
                    </m:r>
                    <m:r>
                      <a:rPr lang="pt-BR" sz="900" b="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expenses</m:t>
                    </m:r>
                    <m:r>
                      <a:rPr lang="pt-BR" sz="90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C</m:t>
                    </m:r>
                    <m:r>
                      <m:rPr>
                        <m:sty m:val="p"/>
                      </m:rPr>
                      <a:rPr lang="pt-BR" sz="900" i="0">
                        <a:latin typeface="Cambria Math" panose="02040503050406030204" pitchFamily="18" charset="0"/>
                        <a:ea typeface="Inter" panose="020B0502030000000004" pitchFamily="34" charset="0"/>
                      </a:rPr>
                      <m:t>ost</m:t>
                    </m:r>
                    <m:r>
                      <a:rPr lang="pt-BR" sz="900" b="0" i="0">
                        <a:latin typeface="Cambria Math" panose="02040503050406030204" pitchFamily="18" charset="0"/>
                        <a:ea typeface="Inter" panose="020B0502030000000004" pitchFamily="34" charset="0"/>
                      </a:rPr>
                      <m:t> </m:t>
                    </m:r>
                    <m:r>
                      <m:rPr>
                        <m:sty m:val="p"/>
                      </m:rPr>
                      <a:rPr lang="pt-BR" sz="900" i="0">
                        <a:latin typeface="Cambria Math" panose="02040503050406030204" pitchFamily="18" charset="0"/>
                        <a:ea typeface="Inter" panose="020B0502030000000004" pitchFamily="34" charset="0"/>
                      </a:rPr>
                      <m:t>to</m:t>
                    </m:r>
                    <m:r>
                      <a:rPr lang="pt-BR" sz="900" b="0" i="0">
                        <a:latin typeface="Cambria Math" panose="02040503050406030204" pitchFamily="18" charset="0"/>
                        <a:ea typeface="Inter" panose="020B0502030000000004" pitchFamily="34" charset="0"/>
                      </a:rPr>
                      <m:t> </m:t>
                    </m:r>
                    <m:r>
                      <m:rPr>
                        <m:sty m:val="p"/>
                      </m:rPr>
                      <a:rPr lang="pt-BR" sz="900" b="0" i="0">
                        <a:latin typeface="Cambria Math" panose="02040503050406030204" pitchFamily="18" charset="0"/>
                        <a:ea typeface="Inter" panose="020B0502030000000004" pitchFamily="34" charset="0"/>
                      </a:rPr>
                      <m:t>Serve</m:t>
                    </m:r>
                  </m:oMath>
                </m:oMathPara>
              </a14:m>
              <a:endParaRPr lang="pt-BR" sz="900" b="1">
                <a:latin typeface="Calibri" panose="020F0502020204030204" pitchFamily="34"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Net fee income:</a:t>
              </a:r>
            </a:p>
            <a:p>
              <a:endParaRPr lang="pt-BR" sz="900" b="1">
                <a:latin typeface="Calibri" panose="020F0502020204030204" pitchFamily="34" charset="0"/>
                <a:cs typeface="Calibri" panose="020F0502020204030204" pitchFamily="34" charset="0"/>
              </a:endParaRPr>
            </a:p>
            <a:p>
              <a:pPr algn="ctr"/>
              <a:r>
                <a:rPr lang="pt-BR" sz="900">
                  <a:latin typeface="Calibri" panose="020F0502020204030204" pitchFamily="34" charset="0"/>
                  <a:ea typeface="Inter" panose="020B0502030000000004" pitchFamily="34" charset="0"/>
                  <a:cs typeface="Calibri" panose="020F0502020204030204" pitchFamily="34" charset="0"/>
                </a:rPr>
                <a:t>Net result from services and commissions + Other Revenue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Net interest income: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14:m>
                <m:oMath xmlns:m="http://schemas.openxmlformats.org/officeDocument/2006/math">
                  <m:r>
                    <m:rPr>
                      <m:sty m:val="p"/>
                    </m:rP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I</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nterest</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Income</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Interest</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Expenses</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Income</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from</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securities</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and</m:t>
                  </m:r>
                  <m: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derivatives</m:t>
                  </m:r>
                </m:oMath>
              </a14:m>
              <a:r>
                <a:rPr lang="pt-BR" sz="900" b="1">
                  <a:latin typeface="Calibri" panose="020F0502020204030204" pitchFamily="34" charset="0"/>
                  <a:ea typeface="Cambria Math" panose="02040503050406030204" pitchFamily="18" charset="0"/>
                  <a:cs typeface="Calibri" panose="020F0502020204030204" pitchFamily="34" charset="0"/>
                </a:rPr>
                <a:t> </a:t>
              </a: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Net revenue: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r>
                <a:rPr lang="pt-BR" sz="9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rPr>
                <a:t>Net interest income + Net result from services and commissions + Other revenue</a:t>
              </a:r>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NIM 1.0 – IEP + Non-interest Credit Cards Receivables:</a:t>
              </a:r>
              <a:br>
                <a:rPr lang="en-US" sz="800" b="1">
                  <a:latin typeface="Calibri" panose="020F0502020204030204" pitchFamily="34" charset="0"/>
                  <a:ea typeface="Cambria Math" panose="02040503050406030204" pitchFamily="18" charset="0"/>
                  <a:cs typeface="Calibri" panose="020F0502020204030204" pitchFamily="34" charset="0"/>
                </a:rPr>
              </a:b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r>
                          <m:rPr>
                            <m:sty m:val="p"/>
                          </m:rPr>
                          <a:rPr lang="pt-BR" sz="900" b="0" i="0">
                            <a:latin typeface="Cambria Math" panose="02040503050406030204" pitchFamily="18" charset="0"/>
                            <a:ea typeface="Cambria Math" panose="02040503050406030204" pitchFamily="18" charset="0"/>
                          </a:rPr>
                          <m:t>Net</m:t>
                        </m:r>
                        <m:r>
                          <a:rPr lang="pt-BR" sz="900" b="0" i="0">
                            <a:latin typeface="Cambria Math" panose="02040503050406030204" pitchFamily="18" charset="0"/>
                            <a:ea typeface="Cambria Math" panose="02040503050406030204" pitchFamily="18" charset="0"/>
                          </a:rPr>
                          <m:t> </m:t>
                        </m:r>
                        <m:r>
                          <m:rPr>
                            <m:sty m:val="p"/>
                          </m:rPr>
                          <a:rPr lang="pt-BR" sz="900" b="0" i="0">
                            <a:latin typeface="Cambria Math" panose="02040503050406030204" pitchFamily="18" charset="0"/>
                            <a:ea typeface="Cambria Math" panose="02040503050406030204" pitchFamily="18" charset="0"/>
                          </a:rPr>
                          <m:t>interest</m:t>
                        </m:r>
                        <m:r>
                          <a:rPr lang="pt-BR" sz="900" b="0" i="0">
                            <a:latin typeface="Cambria Math" panose="02040503050406030204" pitchFamily="18" charset="0"/>
                            <a:ea typeface="Cambria Math" panose="02040503050406030204" pitchFamily="18" charset="0"/>
                          </a:rPr>
                          <m:t> </m:t>
                        </m:r>
                        <m:r>
                          <m:rPr>
                            <m:sty m:val="p"/>
                          </m:rPr>
                          <a:rPr lang="pt-BR" sz="900" b="0" i="0">
                            <a:latin typeface="Cambria Math" panose="02040503050406030204" pitchFamily="18" charset="0"/>
                            <a:ea typeface="Cambria Math" panose="02040503050406030204" pitchFamily="18" charset="0"/>
                          </a:rPr>
                          <m:t>income</m:t>
                        </m:r>
                        <m:r>
                          <a:rPr lang="pt-BR" sz="900" b="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x</m:t>
                        </m:r>
                        <m:r>
                          <a:rPr lang="pt-BR" sz="900" i="0">
                            <a:latin typeface="Cambria Math" panose="02040503050406030204" pitchFamily="18" charset="0"/>
                            <a:ea typeface="Cambria Math" panose="02040503050406030204" pitchFamily="18" charset="0"/>
                          </a:rPr>
                          <m:t> 4</m:t>
                        </m:r>
                      </m:num>
                      <m:den>
                        <m:eqArr>
                          <m:eqArrPr>
                            <m:ctrlPr>
                              <a:rPr lang="pt-BR" sz="900" i="1">
                                <a:latin typeface="Cambria Math" panose="02040503050406030204" pitchFamily="18" charset="0"/>
                                <a:ea typeface="Cambria Math" panose="02040503050406030204" pitchFamily="18" charset="0"/>
                              </a:rPr>
                            </m:ctrlPr>
                          </m:eqArrPr>
                          <m:e>
                            <m:r>
                              <m:rPr>
                                <m:sty m:val="p"/>
                              </m:rPr>
                              <a:rPr lang="pt-BR" sz="900" i="0">
                                <a:latin typeface="Cambria Math" panose="02040503050406030204" pitchFamily="18" charset="0"/>
                                <a:ea typeface="Cambria Math" panose="02040503050406030204" pitchFamily="18" charset="0"/>
                              </a:rPr>
                              <m:t>Average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of</m:t>
                            </m:r>
                            <m:r>
                              <a:rPr lang="pt-BR" sz="900" i="0">
                                <a:latin typeface="Cambria Math" panose="02040503050406030204" pitchFamily="18" charset="0"/>
                                <a:ea typeface="Cambria Math" panose="02040503050406030204" pitchFamily="18" charset="0"/>
                              </a:rPr>
                              <m:t> 2 </m:t>
                            </m:r>
                            <m:r>
                              <m:rPr>
                                <m:sty m:val="p"/>
                              </m:rPr>
                              <a:rPr lang="pt-BR" sz="900" i="0">
                                <a:latin typeface="Cambria Math" panose="02040503050406030204" pitchFamily="18" charset="0"/>
                                <a:ea typeface="Cambria Math" panose="02040503050406030204" pitchFamily="18" charset="0"/>
                              </a:rPr>
                              <m:t>Last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Quarters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Earning</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Portfolio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Loans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financial</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institutions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Securities</m:t>
                            </m:r>
                            <m:r>
                              <a:rPr lang="pt-BR" sz="900" i="0">
                                <a:latin typeface="Cambria Math" panose="02040503050406030204" pitchFamily="18" charset="0"/>
                                <a:ea typeface="Cambria Math" panose="02040503050406030204" pitchFamily="18" charset="0"/>
                              </a:rPr>
                              <m:t> + </m:t>
                            </m:r>
                          </m:e>
                          <m:e>
                            <m:r>
                              <m:rPr>
                                <m:sty m:val="p"/>
                              </m:rPr>
                              <a:rPr lang="pt-BR" sz="900" i="0">
                                <a:latin typeface="Cambria Math" panose="02040503050406030204" pitchFamily="18" charset="0"/>
                                <a:ea typeface="Cambria Math" panose="02040503050406030204" pitchFamily="18" charset="0"/>
                              </a:rPr>
                              <m:t>Derivatives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Net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loans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and</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advances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customers</m:t>
                            </m:r>
                          </m:e>
                        </m:eqArr>
                      </m:den>
                    </m:f>
                  </m:oMath>
                </m:oMathPara>
              </a14:m>
              <a:endParaRPr lang="en-US" sz="900">
                <a:latin typeface="Calibri" panose="020F0502020204030204" pitchFamily="34" charset="0"/>
                <a:ea typeface="Cambria Math" panose="02040503050406030204" pitchFamily="18" charset="0"/>
                <a:cs typeface="Calibri" panose="020F0502020204030204" pitchFamily="34" charset="0"/>
              </a:endParaRPr>
            </a:p>
            <a:p>
              <a:pPr algn="ct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NIM 2.0 – IEP Only:</a:t>
              </a:r>
            </a:p>
            <a:p>
              <a:endParaRPr lang="en-US" sz="800" b="1" i="1">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r>
                          <m:rPr>
                            <m:sty m:val="p"/>
                          </m:rPr>
                          <a:rPr lang="pt-BR" sz="900">
                            <a:latin typeface="Cambria Math" panose="02040503050406030204" pitchFamily="18" charset="0"/>
                            <a:ea typeface="Cambria Math" panose="02040503050406030204" pitchFamily="18" charset="0"/>
                          </a:rPr>
                          <m:t>Net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interest</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income</m:t>
                        </m:r>
                        <m:r>
                          <a:rPr lang="pt-BR" sz="900">
                            <a:latin typeface="Cambria Math" panose="02040503050406030204" pitchFamily="18" charset="0"/>
                            <a:ea typeface="Cambria Math" panose="02040503050406030204" pitchFamily="18" charset="0"/>
                          </a:rPr>
                          <m:t> </m:t>
                        </m:r>
                        <m:r>
                          <m:rPr>
                            <m:sty m:val="p"/>
                          </m:rPr>
                          <a:rPr lang="pt-BR" sz="900">
                            <a:latin typeface="Cambria Math" panose="02040503050406030204" pitchFamily="18" charset="0"/>
                            <a:ea typeface="Cambria Math" panose="02040503050406030204" pitchFamily="18" charset="0"/>
                          </a:rPr>
                          <m:t>x</m:t>
                        </m:r>
                        <m:r>
                          <a:rPr lang="pt-BR" sz="900">
                            <a:latin typeface="Cambria Math" panose="02040503050406030204" pitchFamily="18" charset="0"/>
                            <a:ea typeface="Cambria Math" panose="02040503050406030204" pitchFamily="18" charset="0"/>
                          </a:rPr>
                          <m:t> 4</m:t>
                        </m:r>
                      </m:num>
                      <m:den>
                        <m:eqArr>
                          <m:eqArrPr>
                            <m:ctrlPr>
                              <a:rPr lang="pt-BR" sz="900" i="1">
                                <a:latin typeface="Cambria Math" panose="02040503050406030204" pitchFamily="18" charset="0"/>
                                <a:ea typeface="Cambria Math" panose="02040503050406030204" pitchFamily="18" charset="0"/>
                              </a:rPr>
                            </m:ctrlPr>
                          </m:eqArrPr>
                          <m:e>
                            <m:r>
                              <m:rPr>
                                <m:sty m:val="p"/>
                              </m:rPr>
                              <a:rPr lang="pt-BR" sz="900" i="0">
                                <a:latin typeface="Cambria Math" panose="02040503050406030204" pitchFamily="18" charset="0"/>
                                <a:ea typeface="Cambria Math" panose="02040503050406030204" pitchFamily="18" charset="0"/>
                              </a:rPr>
                              <m:t>Average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of</m:t>
                            </m:r>
                            <m:r>
                              <a:rPr lang="pt-BR" sz="900" i="0">
                                <a:latin typeface="Cambria Math" panose="02040503050406030204" pitchFamily="18" charset="0"/>
                                <a:ea typeface="Cambria Math" panose="02040503050406030204" pitchFamily="18" charset="0"/>
                              </a:rPr>
                              <m:t> 2 </m:t>
                            </m:r>
                            <m:r>
                              <m:rPr>
                                <m:sty m:val="p"/>
                              </m:rPr>
                              <a:rPr lang="pt-BR" sz="900" i="0">
                                <a:latin typeface="Cambria Math" panose="02040503050406030204" pitchFamily="18" charset="0"/>
                                <a:ea typeface="Cambria Math" panose="02040503050406030204" pitchFamily="18" charset="0"/>
                              </a:rPr>
                              <m:t>Last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Quarters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Earning</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Portfolio</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Non</m:t>
                            </m:r>
                            <m:r>
                              <a:rPr lang="pt-BR" sz="900" i="0">
                                <a:latin typeface="Cambria Math" panose="02040503050406030204" pitchFamily="18" charset="0"/>
                                <a:ea typeface="Cambria Math" panose="02040503050406030204" pitchFamily="18" charset="0"/>
                              </a:rPr>
                              <m:t>−</m:t>
                            </m:r>
                            <m:r>
                              <m:rPr>
                                <m:sty m:val="p"/>
                              </m:rPr>
                              <a:rPr lang="pt-BR" sz="900" i="0">
                                <a:latin typeface="Cambria Math" panose="02040503050406030204" pitchFamily="18" charset="0"/>
                                <a:ea typeface="Cambria Math" panose="02040503050406030204" pitchFamily="18" charset="0"/>
                              </a:rPr>
                              <m:t>interest</m:t>
                            </m:r>
                            <m:r>
                              <a:rPr lang="pt-BR" sz="900" i="0">
                                <a:latin typeface="Cambria Math" panose="02040503050406030204" pitchFamily="18" charset="0"/>
                                <a:ea typeface="Cambria Math" panose="02040503050406030204" pitchFamily="18" charset="0"/>
                              </a:rPr>
                              <m:t>−</m:t>
                            </m:r>
                            <m:r>
                              <m:rPr>
                                <m:sty m:val="p"/>
                              </m:rPr>
                              <a:rPr lang="pt-BR" sz="900" i="0">
                                <a:latin typeface="Cambria Math" panose="02040503050406030204" pitchFamily="18" charset="0"/>
                                <a:ea typeface="Cambria Math" panose="02040503050406030204" pitchFamily="18" charset="0"/>
                              </a:rPr>
                              <m:t>Bearing</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Credit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Cards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Receivables</m:t>
                            </m:r>
                            <m:r>
                              <a:rPr lang="pt-BR" sz="900" i="0">
                                <a:latin typeface="Cambria Math" panose="02040503050406030204" pitchFamily="18" charset="0"/>
                                <a:ea typeface="Cambria Math" panose="02040503050406030204" pitchFamily="18" charset="0"/>
                              </a:rPr>
                              <m:t> </m:t>
                            </m:r>
                          </m:e>
                          <m:e>
                            <m:r>
                              <a:rPr lang="pt-BR" sz="900" i="0">
                                <a:latin typeface="Cambria Math" panose="02040503050406030204" pitchFamily="18" charset="0"/>
                                <a:ea typeface="Cambria Math" panose="02040503050406030204" pitchFamily="18" charset="0"/>
                              </a:rPr>
                              <m:t>(</m:t>
                            </m:r>
                            <m:r>
                              <m:rPr>
                                <m:sty m:val="p"/>
                              </m:rPr>
                              <a:rPr lang="pt-BR" sz="900" i="0">
                                <a:latin typeface="Cambria Math" panose="02040503050406030204" pitchFamily="18" charset="0"/>
                                <a:ea typeface="Cambria Math" panose="02040503050406030204" pitchFamily="18" charset="0"/>
                              </a:rPr>
                              <m:t>Amounts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due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from</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financial</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institutions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Securities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Derivatives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Net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loans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and</m:t>
                            </m:r>
                            <m:r>
                              <a:rPr lang="pt-BR" sz="900" i="0">
                                <a:latin typeface="Cambria Math" panose="02040503050406030204" pitchFamily="18" charset="0"/>
                                <a:ea typeface="Cambria Math" panose="02040503050406030204" pitchFamily="18" charset="0"/>
                              </a:rPr>
                              <m:t> </m:t>
                            </m:r>
                          </m:e>
                          <m:e>
                            <m:r>
                              <m:rPr>
                                <m:sty m:val="p"/>
                              </m:rPr>
                              <a:rPr lang="pt-BR" sz="900" i="0">
                                <a:latin typeface="Cambria Math" panose="02040503050406030204" pitchFamily="18" charset="0"/>
                                <a:ea typeface="Cambria Math" panose="02040503050406030204" pitchFamily="18" charset="0"/>
                              </a:rPr>
                              <m:t>advances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customers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Credit</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card</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transactor</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portfolio</m:t>
                            </m:r>
                            <m:r>
                              <a:rPr lang="pt-BR" sz="900" i="0">
                                <a:latin typeface="Cambria Math" panose="02040503050406030204" pitchFamily="18" charset="0"/>
                                <a:ea typeface="Cambria Math" panose="02040503050406030204" pitchFamily="18" charset="0"/>
                              </a:rPr>
                              <m:t>)</m:t>
                            </m:r>
                          </m:e>
                        </m:eqArr>
                      </m:den>
                    </m:f>
                    <m:r>
                      <a:rPr lang="pt-BR" sz="900" i="1">
                        <a:latin typeface="Cambria Math" panose="02040503050406030204" pitchFamily="18" charset="0"/>
                        <a:ea typeface="Cambria Math" panose="02040503050406030204" pitchFamily="18" charset="0"/>
                      </a:rPr>
                      <m:t> </m:t>
                    </m:r>
                  </m:oMath>
                </m:oMathPara>
              </a14:m>
              <a:endParaRPr lang="en-US" sz="900" b="1" i="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NPL 15 to 90 days: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900" i="1">
                            <a:latin typeface="Cambria Math" panose="02040503050406030204" pitchFamily="18" charset="0"/>
                            <a:ea typeface="Cambria Math" panose="02040503050406030204" pitchFamily="18" charset="0"/>
                          </a:rPr>
                        </m:ctrlPr>
                      </m:fPr>
                      <m:num>
                        <m:r>
                          <m:rPr>
                            <m:sty m:val="p"/>
                          </m:rPr>
                          <a:rPr lang="pt-BR" sz="900" i="0">
                            <a:latin typeface="Cambria Math" panose="02040503050406030204" pitchFamily="18" charset="0"/>
                            <a:ea typeface="Cambria Math" panose="02040503050406030204" pitchFamily="18" charset="0"/>
                          </a:rPr>
                          <m:t>Overdue</m:t>
                        </m:r>
                        <m:r>
                          <a:rPr lang="pt-BR" sz="900" i="0">
                            <a:latin typeface="Cambria Math" panose="02040503050406030204" pitchFamily="18" charset="0"/>
                            <a:ea typeface="Cambria Math" panose="02040503050406030204" pitchFamily="18" charset="0"/>
                          </a:rPr>
                          <m:t> 15 </m:t>
                        </m:r>
                        <m:r>
                          <m:rPr>
                            <m:sty m:val="p"/>
                          </m:rPr>
                          <a:rPr lang="pt-BR" sz="900" b="0" i="0">
                            <a:latin typeface="Cambria Math" panose="02040503050406030204" pitchFamily="18" charset="0"/>
                            <a:ea typeface="Cambria Math" panose="02040503050406030204" pitchFamily="18" charset="0"/>
                          </a:rPr>
                          <m:t>to</m:t>
                        </m:r>
                        <m:r>
                          <a:rPr lang="pt-BR" sz="900" b="0" i="0">
                            <a:latin typeface="Cambria Math" panose="02040503050406030204" pitchFamily="18" charset="0"/>
                            <a:ea typeface="Cambria Math" panose="02040503050406030204" pitchFamily="18" charset="0"/>
                          </a:rPr>
                          <m:t> 90 </m:t>
                        </m:r>
                        <m:r>
                          <m:rPr>
                            <m:sty m:val="p"/>
                          </m:rPr>
                          <a:rPr lang="pt-BR" sz="900" i="0">
                            <a:latin typeface="Cambria Math" panose="02040503050406030204" pitchFamily="18" charset="0"/>
                            <a:ea typeface="Cambria Math" panose="02040503050406030204" pitchFamily="18" charset="0"/>
                          </a:rPr>
                          <m:t>days</m:t>
                        </m:r>
                      </m:num>
                      <m:den>
                        <m:r>
                          <m:rPr>
                            <m:sty m:val="p"/>
                          </m:rPr>
                          <a:rPr lang="pt-BR" sz="900" i="0">
                            <a:latin typeface="Cambria Math" panose="02040503050406030204" pitchFamily="18" charset="0"/>
                            <a:ea typeface="Cambria Math" panose="02040503050406030204" pitchFamily="18" charset="0"/>
                          </a:rPr>
                          <m:t>Loans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and</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Advance</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Costumers</m:t>
                        </m:r>
                        <m:r>
                          <a:rPr lang="pt-BR" sz="900" i="0">
                            <a:latin typeface="Cambria Math" panose="02040503050406030204" pitchFamily="18" charset="0"/>
                            <a:ea typeface="Cambria Math" panose="02040503050406030204" pitchFamily="18" charset="0"/>
                          </a:rPr>
                          <m:t> + </m:t>
                        </m:r>
                        <m:r>
                          <m:rPr>
                            <m:sty m:val="p"/>
                          </m:rPr>
                          <a:rPr lang="pt-BR" sz="900" i="0">
                            <a:latin typeface="Cambria Math" panose="02040503050406030204" pitchFamily="18" charset="0"/>
                            <a:ea typeface="Cambria Math" panose="02040503050406030204" pitchFamily="18" charset="0"/>
                          </a:rPr>
                          <m:t>Loans</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to</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financial</m:t>
                        </m:r>
                        <m:r>
                          <a:rPr lang="pt-BR" sz="900" i="0">
                            <a:latin typeface="Cambria Math" panose="02040503050406030204" pitchFamily="18" charset="0"/>
                            <a:ea typeface="Cambria Math" panose="02040503050406030204" pitchFamily="18" charset="0"/>
                          </a:rPr>
                          <m:t> </m:t>
                        </m:r>
                        <m:r>
                          <m:rPr>
                            <m:sty m:val="p"/>
                          </m:rPr>
                          <a:rPr lang="pt-BR" sz="900" i="0">
                            <a:latin typeface="Cambria Math" panose="02040503050406030204" pitchFamily="18" charset="0"/>
                            <a:ea typeface="Cambria Math" panose="02040503050406030204" pitchFamily="18" charset="0"/>
                          </a:rPr>
                          <m:t>institutions</m:t>
                        </m:r>
                        <m:r>
                          <a:rPr lang="pt-BR" sz="900" i="0">
                            <a:latin typeface="Cambria Math" panose="02040503050406030204" pitchFamily="18" charset="0"/>
                            <a:ea typeface="Cambria Math" panose="02040503050406030204" pitchFamily="18" charset="0"/>
                          </a:rPr>
                          <m:t>  </m:t>
                        </m:r>
                      </m:den>
                    </m:f>
                    <m:r>
                      <a:rPr lang="pt-BR" sz="900" b="0" i="1">
                        <a:latin typeface="Cambria Math" panose="02040503050406030204" pitchFamily="18" charset="0"/>
                        <a:ea typeface="Cambria Math" panose="02040503050406030204" pitchFamily="18" charset="0"/>
                      </a:rPr>
                      <m:t> </m:t>
                    </m:r>
                  </m:oMath>
                </m:oMathPara>
              </a14:m>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pt-BR" sz="100">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xdr:txBody>
        </xdr:sp>
      </mc:Choice>
      <mc:Fallback xmlns="">
        <xdr:sp macro="" textlink="">
          <xdr:nvSpPr>
            <xdr:cNvPr id="31" name="Retângulo 9">
              <a:extLst>
                <a:ext uri="{FF2B5EF4-FFF2-40B4-BE49-F238E27FC236}">
                  <a16:creationId xmlns:a16="http://schemas.microsoft.com/office/drawing/2014/main" id="{E053E71D-69F7-C852-2686-4DDCCC5EB831}"/>
                </a:ext>
              </a:extLst>
            </xdr:cNvPr>
            <xdr:cNvSpPr/>
          </xdr:nvSpPr>
          <xdr:spPr>
            <a:xfrm>
              <a:off x="177988" y="26951921"/>
              <a:ext cx="5766026" cy="5570307"/>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Gross margin per active client net of interest expenses:</a:t>
              </a:r>
            </a:p>
            <a:p>
              <a:endParaRPr lang="en-US" sz="900" b="1">
                <a:latin typeface="Calibri" panose="020F0502020204030204" pitchFamily="34" charset="0"/>
                <a:cs typeface="Calibri" panose="020F0502020204030204" pitchFamily="34" charset="0"/>
              </a:endParaRPr>
            </a:p>
            <a:p>
              <a:pPr/>
              <a:r>
                <a:rPr lang="pt-BR" sz="900" i="0">
                  <a:latin typeface="Cambria Math" panose="02040503050406030204" pitchFamily="18" charset="0"/>
                  <a:ea typeface="Inter" panose="020B0502030000000004" pitchFamily="34" charset="0"/>
                </a:rPr>
                <a:t>ARPAC </a:t>
              </a:r>
              <a:r>
                <a:rPr lang="pt-BR" sz="900" b="0" i="0">
                  <a:latin typeface="Cambria Math" panose="02040503050406030204" pitchFamily="18" charset="0"/>
                  <a:ea typeface="Inter" panose="020B0502030000000004" pitchFamily="34" charset="0"/>
                </a:rPr>
                <a:t>net  </a:t>
              </a:r>
              <a:r>
                <a:rPr lang="pt-BR" sz="900" i="0">
                  <a:latin typeface="Cambria Math" panose="02040503050406030204" pitchFamily="18" charset="0"/>
                  <a:ea typeface="Inter" panose="020B0502030000000004" pitchFamily="34" charset="0"/>
                </a:rPr>
                <a:t>of </a:t>
              </a:r>
              <a:r>
                <a:rPr lang="pt-BR" sz="900" b="0" i="0">
                  <a:latin typeface="Cambria Math" panose="02040503050406030204" pitchFamily="18" charset="0"/>
                  <a:ea typeface="Inter" panose="020B0502030000000004" pitchFamily="34" charset="0"/>
                </a:rPr>
                <a:t>interest expenses</a:t>
              </a:r>
              <a:r>
                <a:rPr lang="pt-BR" sz="900" i="0">
                  <a:latin typeface="Cambria Math" panose="02040503050406030204" pitchFamily="18" charset="0"/>
                  <a:ea typeface="Inter" panose="020B0502030000000004" pitchFamily="34" charset="0"/>
                </a:rPr>
                <a:t> –</a:t>
              </a:r>
              <a:r>
                <a:rPr lang="pt-BR" sz="900" b="0" i="0">
                  <a:latin typeface="Cambria Math" panose="02040503050406030204" pitchFamily="18" charset="0"/>
                  <a:ea typeface="Inter" panose="020B0502030000000004" pitchFamily="34" charset="0"/>
                </a:rPr>
                <a:t>C</a:t>
              </a:r>
              <a:r>
                <a:rPr lang="pt-BR" sz="900" i="0">
                  <a:latin typeface="Cambria Math" panose="02040503050406030204" pitchFamily="18" charset="0"/>
                  <a:ea typeface="Inter" panose="020B0502030000000004" pitchFamily="34" charset="0"/>
                </a:rPr>
                <a:t>ost</a:t>
              </a:r>
              <a:r>
                <a:rPr lang="pt-BR" sz="900" b="0" i="0">
                  <a:latin typeface="Cambria Math" panose="02040503050406030204" pitchFamily="18" charset="0"/>
                  <a:ea typeface="Inter" panose="020B0502030000000004" pitchFamily="34" charset="0"/>
                </a:rPr>
                <a:t> </a:t>
              </a:r>
              <a:r>
                <a:rPr lang="pt-BR" sz="900" i="0">
                  <a:latin typeface="Cambria Math" panose="02040503050406030204" pitchFamily="18" charset="0"/>
                  <a:ea typeface="Inter" panose="020B0502030000000004" pitchFamily="34" charset="0"/>
                </a:rPr>
                <a:t>to</a:t>
              </a:r>
              <a:r>
                <a:rPr lang="pt-BR" sz="900" b="0" i="0">
                  <a:latin typeface="Cambria Math" panose="02040503050406030204" pitchFamily="18" charset="0"/>
                  <a:ea typeface="Inter" panose="020B0502030000000004" pitchFamily="34" charset="0"/>
                </a:rPr>
                <a:t> Serve</a:t>
              </a:r>
              <a:endParaRPr lang="pt-BR" sz="900" b="1">
                <a:latin typeface="Calibri" panose="020F0502020204030204" pitchFamily="34" charset="0"/>
                <a:cs typeface="Calibri" panose="020F0502020204030204" pitchFamily="34" charset="0"/>
              </a:endParaRPr>
            </a:p>
            <a:p>
              <a:endParaRPr lang="pt-BR" sz="900" b="1">
                <a:latin typeface="Calibri" panose="020F0502020204030204" pitchFamily="34" charset="0"/>
                <a:cs typeface="Calibri" panose="020F0502020204030204" pitchFamily="34" charset="0"/>
              </a:endParaRPr>
            </a:p>
            <a:p>
              <a:r>
                <a:rPr lang="pt-BR" sz="900" b="1">
                  <a:latin typeface="Calibri" panose="020F0502020204030204" pitchFamily="34" charset="0"/>
                  <a:cs typeface="Calibri" panose="020F0502020204030204" pitchFamily="34" charset="0"/>
                </a:rPr>
                <a:t>Net fee income:</a:t>
              </a:r>
            </a:p>
            <a:p>
              <a:endParaRPr lang="pt-BR" sz="900" b="1">
                <a:latin typeface="Calibri" panose="020F0502020204030204" pitchFamily="34" charset="0"/>
                <a:cs typeface="Calibri" panose="020F0502020204030204" pitchFamily="34" charset="0"/>
              </a:endParaRPr>
            </a:p>
            <a:p>
              <a:pPr algn="ctr"/>
              <a:r>
                <a:rPr lang="pt-BR" sz="900">
                  <a:latin typeface="Calibri" panose="020F0502020204030204" pitchFamily="34" charset="0"/>
                  <a:ea typeface="Inter" panose="020B0502030000000004" pitchFamily="34" charset="0"/>
                  <a:cs typeface="Calibri" panose="020F0502020204030204" pitchFamily="34" charset="0"/>
                </a:rPr>
                <a:t>Net result from services and commissions + Other Revenue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Net interest income: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r>
                <a:rPr lang="pt-BR" sz="9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I</a:t>
              </a:r>
              <a:r>
                <a:rPr lang="pt-BR" sz="9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nterest Income+Interest Expenses+Income from securities and derivatives</a:t>
              </a:r>
              <a:r>
                <a:rPr lang="pt-BR" sz="900" b="1">
                  <a:latin typeface="Calibri" panose="020F0502020204030204" pitchFamily="34" charset="0"/>
                  <a:ea typeface="Cambria Math" panose="02040503050406030204" pitchFamily="18" charset="0"/>
                  <a:cs typeface="Calibri" panose="020F0502020204030204" pitchFamily="34" charset="0"/>
                </a:rPr>
                <a:t> </a:t>
              </a:r>
            </a:p>
            <a:p>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b="1">
                <a:latin typeface="Calibri" panose="020F0502020204030204" pitchFamily="34" charset="0"/>
                <a:ea typeface="Cambria Math" panose="02040503050406030204" pitchFamily="18" charset="0"/>
                <a:cs typeface="Calibri" panose="020F0502020204030204" pitchFamily="34" charset="0"/>
              </a:endParaRPr>
            </a:p>
            <a:p>
              <a:r>
                <a:rPr lang="pt-BR" sz="900" b="1">
                  <a:latin typeface="Calibri" panose="020F0502020204030204" pitchFamily="34" charset="0"/>
                  <a:cs typeface="Calibri" panose="020F0502020204030204" pitchFamily="34" charset="0"/>
                </a:rPr>
                <a:t>Net revenue:</a:t>
              </a:r>
            </a:p>
            <a:p>
              <a:endParaRPr lang="pt-BR" sz="800" b="1">
                <a:latin typeface="Calibri" panose="020F0502020204030204" pitchFamily="34" charset="0"/>
                <a:ea typeface="Cambria Math" panose="02040503050406030204" pitchFamily="18" charset="0"/>
                <a:cs typeface="Calibri" panose="020F0502020204030204" pitchFamily="34" charset="0"/>
              </a:endParaRPr>
            </a:p>
            <a:p>
              <a:pPr algn="ctr"/>
              <a:r>
                <a:rPr lang="pt-BR" sz="9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rPr>
                <a:t>Net interest income + Net result from services and commissions + Other revenue</a:t>
              </a:r>
              <a:endParaRPr lang="pt-BR" sz="800" b="1">
                <a:latin typeface="Calibri" panose="020F0502020204030204" pitchFamily="34" charset="0"/>
                <a:ea typeface="Cambria Math" panose="02040503050406030204" pitchFamily="18" charset="0"/>
                <a:cs typeface="Calibri" panose="020F0502020204030204" pitchFamily="34" charset="0"/>
              </a:endParaRPr>
            </a:p>
            <a:p>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NIM 1.0 – IEP + Non-interest Credit Cards Receivables:</a:t>
              </a:r>
              <a:br>
                <a:rPr lang="en-US" sz="800" b="1">
                  <a:latin typeface="Calibri" panose="020F0502020204030204" pitchFamily="34" charset="0"/>
                  <a:ea typeface="Cambria Math" panose="02040503050406030204" pitchFamily="18" charset="0"/>
                  <a:cs typeface="Calibri" panose="020F0502020204030204" pitchFamily="34" charset="0"/>
                </a:rPr>
              </a:br>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r>
                <a:rPr lang="pt-BR" sz="900" i="0">
                  <a:latin typeface="Cambria Math" panose="02040503050406030204" pitchFamily="18" charset="0"/>
                  <a:ea typeface="Cambria Math" panose="02040503050406030204" pitchFamily="18" charset="0"/>
                </a:rPr>
                <a:t>(</a:t>
              </a:r>
              <a:r>
                <a:rPr lang="pt-BR" sz="900" b="0" i="0">
                  <a:latin typeface="Cambria Math" panose="02040503050406030204" pitchFamily="18" charset="0"/>
                  <a:ea typeface="Cambria Math" panose="02040503050406030204" pitchFamily="18" charset="0"/>
                </a:rPr>
                <a:t>Net interest income </a:t>
              </a:r>
              <a:r>
                <a:rPr lang="pt-BR" sz="900" i="0">
                  <a:latin typeface="Cambria Math" panose="02040503050406030204" pitchFamily="18" charset="0"/>
                  <a:ea typeface="Cambria Math" panose="02040503050406030204" pitchFamily="18" charset="0"/>
                </a:rPr>
                <a:t>x 4)/█(Average of 2 Last Quarters Earning Portfolio (Loans to financial institutions + Securities + @Derivatives + Net loans and advances to customers)</a:t>
              </a:r>
              <a:endParaRPr lang="en-US" sz="900">
                <a:latin typeface="Calibri" panose="020F0502020204030204" pitchFamily="34" charset="0"/>
                <a:ea typeface="Cambria Math" panose="02040503050406030204" pitchFamily="18" charset="0"/>
                <a:cs typeface="Calibri" panose="020F0502020204030204" pitchFamily="34" charset="0"/>
              </a:endParaRPr>
            </a:p>
            <a:p>
              <a:pPr algn="ct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NIM 2.0 – IEP Only:</a:t>
              </a:r>
            </a:p>
            <a:p>
              <a:endParaRPr lang="en-US" sz="800" b="1" i="1">
                <a:latin typeface="Calibri" panose="020F0502020204030204" pitchFamily="34" charset="0"/>
                <a:ea typeface="Cambria Math" panose="02040503050406030204" pitchFamily="18" charset="0"/>
                <a:cs typeface="Calibri" panose="020F0502020204030204" pitchFamily="34" charset="0"/>
              </a:endParaRPr>
            </a:p>
            <a:p>
              <a:pPr algn="ctr"/>
              <a:r>
                <a:rPr lang="pt-BR" sz="900" i="0">
                  <a:latin typeface="Cambria Math" panose="02040503050406030204" pitchFamily="18" charset="0"/>
                  <a:ea typeface="Cambria Math" panose="02040503050406030204" pitchFamily="18" charset="0"/>
                </a:rPr>
                <a:t>(Net interest income x 4)/█(Average of 2 Last Quarters Earning Portfolio − Non−interest−Bearing Credit Cards Receivables @(Amounts due from financial institutions + Securities + Derivatives + Net loans and @advances to customers – Credit card transactor portfolio))  </a:t>
              </a:r>
              <a:endParaRPr lang="en-US" sz="900" b="1" i="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NPL 15 to 90 days: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pt-BR" sz="900" i="0">
                  <a:latin typeface="Cambria Math" panose="02040503050406030204" pitchFamily="18" charset="0"/>
                  <a:ea typeface="Cambria Math" panose="02040503050406030204" pitchFamily="18" charset="0"/>
                </a:rPr>
                <a:t>(Overdue 15 </a:t>
              </a:r>
              <a:r>
                <a:rPr lang="pt-BR" sz="900" b="0" i="0">
                  <a:latin typeface="Cambria Math" panose="02040503050406030204" pitchFamily="18" charset="0"/>
                  <a:ea typeface="Cambria Math" panose="02040503050406030204" pitchFamily="18" charset="0"/>
                </a:rPr>
                <a:t>to 90 </a:t>
              </a:r>
              <a:r>
                <a:rPr lang="pt-BR" sz="900" i="0">
                  <a:latin typeface="Cambria Math" panose="02040503050406030204" pitchFamily="18" charset="0"/>
                  <a:ea typeface="Cambria Math" panose="02040503050406030204" pitchFamily="18" charset="0"/>
                </a:rPr>
                <a:t>days)/(Loans and Advance to Costumers + Loans to  financial institutions  )</a:t>
              </a:r>
              <a:r>
                <a:rPr lang="pt-BR" sz="900" b="0" i="0">
                  <a:latin typeface="Cambria Math" panose="02040503050406030204" pitchFamily="18" charset="0"/>
                  <a:ea typeface="Cambria Math" panose="02040503050406030204" pitchFamily="18" charset="0"/>
                </a:rPr>
                <a:t>  </a:t>
              </a: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pt-BR" sz="100">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xdr:txBody>
        </xdr:sp>
      </mc:Fallback>
    </mc:AlternateContent>
    <xdr:clientData/>
  </xdr:twoCellAnchor>
  <xdr:twoCellAnchor>
    <xdr:from>
      <xdr:col>0</xdr:col>
      <xdr:colOff>245533</xdr:colOff>
      <xdr:row>176</xdr:row>
      <xdr:rowOff>135467</xdr:rowOff>
    </xdr:from>
    <xdr:to>
      <xdr:col>7</xdr:col>
      <xdr:colOff>127000</xdr:colOff>
      <xdr:row>211</xdr:row>
      <xdr:rowOff>107373</xdr:rowOff>
    </xdr:to>
    <mc:AlternateContent xmlns:mc="http://schemas.openxmlformats.org/markup-compatibility/2006" xmlns:a14="http://schemas.microsoft.com/office/drawing/2010/main">
      <mc:Choice Requires="a14">
        <xdr:sp macro="" textlink="">
          <xdr:nvSpPr>
            <xdr:cNvPr id="36" name="Retângulo 9">
              <a:extLst>
                <a:ext uri="{FF2B5EF4-FFF2-40B4-BE49-F238E27FC236}">
                  <a16:creationId xmlns:a16="http://schemas.microsoft.com/office/drawing/2014/main" id="{00000000-0008-0000-1600-000024000000}"/>
                </a:ext>
              </a:extLst>
            </xdr:cNvPr>
            <xdr:cNvSpPr/>
          </xdr:nvSpPr>
          <xdr:spPr>
            <a:xfrm>
              <a:off x="245533" y="32529670"/>
              <a:ext cx="5679293" cy="641393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NPL &gt; 90 days: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r>
                          <m:rPr>
                            <m:sty m:val="p"/>
                          </m:rPr>
                          <a:rPr lang="en-US" sz="900" i="0">
                            <a:latin typeface="Cambria Math" panose="02040503050406030204" pitchFamily="18" charset="0"/>
                            <a:ea typeface="Cambria Math" panose="02040503050406030204" pitchFamily="18" charset="0"/>
                          </a:rPr>
                          <m:t>Overdue</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higher</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than</m:t>
                        </m:r>
                        <m:r>
                          <a:rPr lang="en-US" sz="900" i="0">
                            <a:latin typeface="Cambria Math" panose="02040503050406030204" pitchFamily="18" charset="0"/>
                            <a:ea typeface="Cambria Math" panose="02040503050406030204" pitchFamily="18" charset="0"/>
                          </a:rPr>
                          <m:t> 90 </m:t>
                        </m:r>
                        <m:r>
                          <m:rPr>
                            <m:sty m:val="p"/>
                          </m:rPr>
                          <a:rPr lang="en-US" sz="900" i="0">
                            <a:latin typeface="Cambria Math" panose="02040503050406030204" pitchFamily="18" charset="0"/>
                            <a:ea typeface="Cambria Math" panose="02040503050406030204" pitchFamily="18" charset="0"/>
                          </a:rPr>
                          <m:t>days</m:t>
                        </m:r>
                      </m:num>
                      <m:den>
                        <m:r>
                          <m:rPr>
                            <m:sty m:val="p"/>
                          </m:rPr>
                          <a:rPr lang="en-US" sz="900" i="0">
                            <a:latin typeface="Cambria Math" panose="02040503050406030204" pitchFamily="18" charset="0"/>
                            <a:ea typeface="Cambria Math" panose="02040503050406030204" pitchFamily="18" charset="0"/>
                          </a:rPr>
                          <m:t>Loans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and</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Advance</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to</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Costumers</m:t>
                        </m:r>
                        <m:r>
                          <a:rPr lang="en-US" sz="900" i="0">
                            <a:latin typeface="Cambria Math" panose="02040503050406030204" pitchFamily="18" charset="0"/>
                            <a:ea typeface="Cambria Math" panose="02040503050406030204" pitchFamily="18" charset="0"/>
                          </a:rPr>
                          <m:t> + </m:t>
                        </m:r>
                        <m:r>
                          <m:rPr>
                            <m:sty m:val="p"/>
                          </m:rPr>
                          <a:rPr lang="en-US" sz="900" i="0">
                            <a:latin typeface="Cambria Math" panose="02040503050406030204" pitchFamily="18" charset="0"/>
                            <a:ea typeface="Cambria Math" panose="02040503050406030204" pitchFamily="18" charset="0"/>
                          </a:rPr>
                          <m:t>Loans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to</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financial</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institutions</m:t>
                        </m:r>
                        <m:r>
                          <a:rPr lang="en-US" sz="900" i="0">
                            <a:latin typeface="Cambria Math" panose="02040503050406030204" pitchFamily="18" charset="0"/>
                            <a:ea typeface="Cambria Math" panose="02040503050406030204" pitchFamily="18" charset="0"/>
                          </a:rPr>
                          <m:t>  </m:t>
                        </m:r>
                      </m:den>
                    </m:f>
                  </m:oMath>
                </m:oMathPara>
              </a14:m>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NPL formation:</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eqArr>
                          <m:eqArrPr>
                            <m:ctrlPr>
                              <a:rPr lang="en-US" sz="900" i="1">
                                <a:latin typeface="Cambria Math" panose="02040503050406030204" pitchFamily="18" charset="0"/>
                                <a:ea typeface="Cambria Math" panose="02040503050406030204" pitchFamily="18" charset="0"/>
                              </a:rPr>
                            </m:ctrlPr>
                          </m:eqArrPr>
                          <m:e>
                            <m:r>
                              <m:rPr>
                                <m:sty m:val="p"/>
                              </m:rPr>
                              <a:rPr lang="en-US" sz="900">
                                <a:latin typeface="Cambria Math" panose="02040503050406030204" pitchFamily="18" charset="0"/>
                                <a:ea typeface="Cambria Math" panose="02040503050406030204" pitchFamily="18" charset="0"/>
                              </a:rPr>
                              <m:t>Overdue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balance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higher</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than</m:t>
                            </m:r>
                            <m:r>
                              <a:rPr lang="en-US" sz="900">
                                <a:latin typeface="Cambria Math" panose="02040503050406030204" pitchFamily="18" charset="0"/>
                                <a:ea typeface="Cambria Math" panose="02040503050406030204" pitchFamily="18" charset="0"/>
                              </a:rPr>
                              <m:t> 90 </m:t>
                            </m:r>
                            <m:r>
                              <m:rPr>
                                <m:sty m:val="p"/>
                              </m:rPr>
                              <a:rPr lang="en-US" sz="900">
                                <a:latin typeface="Cambria Math" panose="02040503050406030204" pitchFamily="18" charset="0"/>
                                <a:ea typeface="Cambria Math" panose="02040503050406030204" pitchFamily="18" charset="0"/>
                              </a:rPr>
                              <m:t>days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current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r>
                              <a:rPr lang="en-US" sz="900">
                                <a:latin typeface="Cambria Math" panose="02040503050406030204" pitchFamily="18" charset="0"/>
                                <a:ea typeface="Cambria Math" panose="02040503050406030204" pitchFamily="18" charset="0"/>
                              </a:rPr>
                              <m:t> –</m:t>
                            </m:r>
                          </m:e>
                          <m:e>
                            <m:r>
                              <m:rPr>
                                <m:sty m:val="p"/>
                              </m:rPr>
                              <a:rPr lang="en-US" sz="900">
                                <a:latin typeface="Cambria Math" panose="02040503050406030204" pitchFamily="18" charset="0"/>
                                <a:ea typeface="Cambria Math" panose="02040503050406030204" pitchFamily="18" charset="0"/>
                              </a:rPr>
                              <m:t>Overdue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balance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higher</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than</m:t>
                            </m:r>
                            <m:r>
                              <a:rPr lang="en-US" sz="900">
                                <a:latin typeface="Cambria Math" panose="02040503050406030204" pitchFamily="18" charset="0"/>
                                <a:ea typeface="Cambria Math" panose="02040503050406030204" pitchFamily="18" charset="0"/>
                              </a:rPr>
                              <m:t> 90 </m:t>
                            </m:r>
                            <m:r>
                              <m:rPr>
                                <m:sty m:val="p"/>
                              </m:rPr>
                              <a:rPr lang="en-US" sz="900">
                                <a:latin typeface="Cambria Math" panose="02040503050406030204" pitchFamily="18" charset="0"/>
                                <a:ea typeface="Cambria Math" panose="02040503050406030204" pitchFamily="18" charset="0"/>
                              </a:rPr>
                              <m:t>days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previous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Write</m:t>
                            </m:r>
                            <m:r>
                              <a:rPr lang="en-US" sz="900">
                                <a:latin typeface="Cambria Math" panose="02040503050406030204" pitchFamily="18" charset="0"/>
                                <a:ea typeface="Cambria Math" panose="02040503050406030204" pitchFamily="18" charset="0"/>
                              </a:rPr>
                              <m:t>−</m:t>
                            </m:r>
                            <m:r>
                              <m:rPr>
                                <m:sty m:val="p"/>
                              </m:rPr>
                              <a:rPr lang="en-US" sz="900">
                                <a:latin typeface="Cambria Math" panose="02040503050406030204" pitchFamily="18" charset="0"/>
                                <a:ea typeface="Cambria Math" panose="02040503050406030204" pitchFamily="18" charset="0"/>
                              </a:rPr>
                              <m:t>off</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change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current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e>
                        </m:eqArr>
                      </m:num>
                      <m:den>
                        <m:r>
                          <m:rPr>
                            <m:sty m:val="p"/>
                          </m:rPr>
                          <a:rPr lang="en-US" sz="900" b="0" i="0">
                            <a:latin typeface="Cambria Math" panose="02040503050406030204" pitchFamily="18" charset="0"/>
                            <a:ea typeface="Cambria Math" panose="02040503050406030204" pitchFamily="18" charset="0"/>
                          </a:rPr>
                          <m:t>Total</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loans</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and</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advance</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to</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customers</m:t>
                        </m:r>
                        <m:r>
                          <a:rPr lang="en-US" sz="900" b="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in</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the</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previous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quarter</m:t>
                        </m:r>
                      </m:den>
                    </m:f>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Personal 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eqArr>
                          <m:eqArrPr>
                            <m:ctrlPr>
                              <a:rPr lang="en-US" sz="900" i="1">
                                <a:latin typeface="Cambria Math" panose="02040503050406030204" pitchFamily="18" charset="0"/>
                                <a:ea typeface="Cambria Math" panose="02040503050406030204" pitchFamily="18" charset="0"/>
                              </a:rPr>
                            </m:ctrlPr>
                          </m:eqArrPr>
                          <m:e>
                            <m:r>
                              <a:rPr lang="en-US" sz="900" i="0">
                                <a:latin typeface="Cambria Math" panose="02040503050406030204" pitchFamily="18" charset="0"/>
                                <a:ea typeface="Cambria Math" panose="02040503050406030204" pitchFamily="18" charset="0"/>
                              </a:rPr>
                              <m:t> </m:t>
                            </m:r>
                          </m:e>
                          <m:e>
                            <m:r>
                              <m:rPr>
                                <m:sty m:val="p"/>
                              </m:rPr>
                              <a:rPr lang="en-US" sz="900" i="0">
                                <a:latin typeface="Cambria Math" panose="02040503050406030204" pitchFamily="18" charset="0"/>
                                <a:ea typeface="Cambria Math" panose="02040503050406030204" pitchFamily="18" charset="0"/>
                              </a:rPr>
                              <m:t>Person</m:t>
                            </m:r>
                            <m:r>
                              <m:rPr>
                                <m:sty m:val="p"/>
                              </m:rPr>
                              <a:rPr lang="en-US" sz="900" b="0" i="0">
                                <a:latin typeface="Cambria Math" panose="02040503050406030204" pitchFamily="18" charset="0"/>
                                <a:ea typeface="Cambria Math" panose="02040503050406030204" pitchFamily="18" charset="0"/>
                              </a:rPr>
                              <m:t>nel</m:t>
                            </m:r>
                            <m:r>
                              <a:rPr lang="en-US" sz="900" b="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expense</m:t>
                            </m:r>
                          </m:e>
                        </m:eqArr>
                      </m:num>
                      <m:den>
                        <m:r>
                          <m:rPr>
                            <m:sty m:val="p"/>
                          </m:rPr>
                          <a:rPr lang="en-US" sz="900" b="0" i="0">
                            <a:latin typeface="Cambria Math" panose="02040503050406030204" pitchFamily="18" charset="0"/>
                            <a:ea typeface="Cambria Math" panose="02040503050406030204" pitchFamily="18" charset="0"/>
                          </a:rPr>
                          <m:t>Net</m:t>
                        </m:r>
                        <m:r>
                          <a:rPr lang="en-US" sz="900" b="0" i="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Interest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Income</m:t>
                        </m:r>
                        <m:r>
                          <a:rPr lang="en-US" sz="900">
                            <a:latin typeface="Cambria Math" panose="02040503050406030204" pitchFamily="18" charset="0"/>
                            <a:ea typeface="Cambria Math" panose="02040503050406030204" pitchFamily="18" charset="0"/>
                          </a:rPr>
                          <m:t>+</m:t>
                        </m:r>
                        <m:r>
                          <m:rPr>
                            <m:sty m:val="p"/>
                          </m:rPr>
                          <a:rPr lang="en-US" sz="900">
                            <a:latin typeface="Cambria Math" panose="02040503050406030204" pitchFamily="18" charset="0"/>
                            <a:ea typeface="Cambria Math" panose="02040503050406030204" pitchFamily="18" charset="0"/>
                          </a:rPr>
                          <m:t>Net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result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from</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services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and</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comissions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Other</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revenue</m:t>
                        </m:r>
                        <m:r>
                          <a:rPr lang="en-US" sz="900">
                            <a:latin typeface="Cambria Math" panose="02040503050406030204" pitchFamily="18" charset="0"/>
                            <a:ea typeface="Cambria Math" panose="02040503050406030204" pitchFamily="18" charset="0"/>
                          </a:rPr>
                          <m:t>−</m:t>
                        </m:r>
                        <m:r>
                          <m:rPr>
                            <m:sty m:val="p"/>
                          </m:rPr>
                          <a:rPr lang="en-US" sz="900">
                            <a:latin typeface="Cambria Math" panose="02040503050406030204" pitchFamily="18" charset="0"/>
                            <a:ea typeface="Cambria Math" panose="02040503050406030204" pitchFamily="18" charset="0"/>
                          </a:rPr>
                          <m:t>Tax</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expense</m:t>
                        </m:r>
                      </m:den>
                    </m:f>
                    <m:r>
                      <a:rPr lang="en-US" sz="900" i="1">
                        <a:latin typeface="Cambria Math" panose="02040503050406030204" pitchFamily="18" charset="0"/>
                        <a:ea typeface="Cambria Math" panose="02040503050406030204" pitchFamily="18" charset="0"/>
                      </a:rPr>
                      <m:t> </m:t>
                    </m:r>
                  </m:oMath>
                </m:oMathPara>
              </a14:m>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Return on average equity (ROE):</a:t>
              </a:r>
            </a:p>
            <a:p>
              <a:pPr algn="ctr"/>
              <a:endParaRPr lang="en-US" sz="800" b="1">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r>
                          <a:rPr lang="en-US" sz="900" i="0">
                            <a:latin typeface="Cambria Math" panose="02040503050406030204" pitchFamily="18" charset="0"/>
                            <a:ea typeface="Cambria Math" panose="02040503050406030204" pitchFamily="18" charset="0"/>
                          </a:rPr>
                          <m:t>(</m:t>
                        </m:r>
                        <m:r>
                          <m:rPr>
                            <m:sty m:val="p"/>
                          </m:rPr>
                          <a:rPr lang="en-US" sz="900" i="0">
                            <a:latin typeface="Cambria Math" panose="02040503050406030204" pitchFamily="18" charset="0"/>
                            <a:ea typeface="Cambria Math" panose="02040503050406030204" pitchFamily="18" charset="0"/>
                          </a:rPr>
                          <m:t>Profit</m:t>
                        </m:r>
                        <m:r>
                          <a:rPr lang="en-US" sz="900" i="0">
                            <a:latin typeface="Cambria Math" panose="02040503050406030204" pitchFamily="18" charset="0"/>
                            <a:ea typeface="Cambria Math" panose="02040503050406030204" pitchFamily="18" charset="0"/>
                          </a:rPr>
                          <m:t> / (</m:t>
                        </m:r>
                        <m:r>
                          <m:rPr>
                            <m:sty m:val="p"/>
                          </m:rPr>
                          <a:rPr lang="en-US" sz="900" i="0">
                            <a:latin typeface="Cambria Math" panose="02040503050406030204" pitchFamily="18" charset="0"/>
                            <a:ea typeface="Cambria Math" panose="02040503050406030204" pitchFamily="18" charset="0"/>
                          </a:rPr>
                          <m:t>loss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for</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the</m:t>
                        </m:r>
                        <m:r>
                          <a:rPr lang="en-US" sz="90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quarter</m:t>
                        </m:r>
                        <m:r>
                          <a:rPr lang="en-US" sz="900" i="0">
                            <a:latin typeface="Cambria Math" panose="02040503050406030204" pitchFamily="18" charset="0"/>
                            <a:ea typeface="Cambria Math" panose="02040503050406030204" pitchFamily="18" charset="0"/>
                          </a:rPr>
                          <m:t>)× 4</m:t>
                        </m:r>
                      </m:num>
                      <m:den>
                        <m:r>
                          <m:rPr>
                            <m:sty m:val="p"/>
                          </m:rPr>
                          <a:rPr lang="en-US" sz="900" i="0">
                            <a:latin typeface="Cambria Math" panose="02040503050406030204" pitchFamily="18" charset="0"/>
                            <a:ea typeface="Cambria Math" panose="02040503050406030204" pitchFamily="18" charset="0"/>
                          </a:rPr>
                          <m:t>Average</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of</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last</m:t>
                        </m:r>
                        <m:r>
                          <a:rPr lang="en-US" sz="900" i="0">
                            <a:latin typeface="Cambria Math" panose="02040503050406030204" pitchFamily="18" charset="0"/>
                            <a:ea typeface="Cambria Math" panose="02040503050406030204" pitchFamily="18" charset="0"/>
                          </a:rPr>
                          <m:t> 2 </m:t>
                        </m:r>
                        <m:r>
                          <m:rPr>
                            <m:sty m:val="p"/>
                          </m:rPr>
                          <a:rPr lang="en-US" sz="900" i="0">
                            <a:latin typeface="Cambria Math" panose="02040503050406030204" pitchFamily="18" charset="0"/>
                            <a:ea typeface="Cambria Math" panose="02040503050406030204" pitchFamily="18" charset="0"/>
                          </a:rPr>
                          <m:t>quarters</m:t>
                        </m:r>
                        <m:r>
                          <a:rPr lang="en-US" sz="900" b="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of</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total</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shareholder</m:t>
                        </m:r>
                        <m:r>
                          <a:rPr lang="en-US" sz="900" i="0">
                            <a:latin typeface="Cambria Math" panose="02040503050406030204" pitchFamily="18" charset="0"/>
                            <a:ea typeface="Cambria Math" panose="02040503050406030204" pitchFamily="18" charset="0"/>
                          </a:rPr>
                          <m:t>`</m:t>
                        </m:r>
                        <m:r>
                          <m:rPr>
                            <m:sty m:val="p"/>
                          </m:rPr>
                          <a:rPr lang="en-US" sz="900" i="0">
                            <a:latin typeface="Cambria Math" panose="02040503050406030204" pitchFamily="18" charset="0"/>
                            <a:ea typeface="Cambria Math" panose="02040503050406030204" pitchFamily="18" charset="0"/>
                          </a:rPr>
                          <m:t>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equity</m:t>
                        </m:r>
                      </m:den>
                    </m:f>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ea typeface="Cambria Math" panose="02040503050406030204" pitchFamily="18" charset="0"/>
                  <a:cs typeface="Calibri" panose="020F0502020204030204" pitchFamily="34" charset="0"/>
                </a:rPr>
                <a:t>SG&amp;A:</a:t>
              </a:r>
            </a:p>
            <a:p>
              <a:endParaRPr lang="en-US" sz="900" b="1" i="0">
                <a:latin typeface="Calibri" panose="020F0502020204030204" pitchFamily="34" charset="0"/>
                <a:ea typeface="Cambria Math" panose="02040503050406030204" pitchFamily="18" charset="0"/>
                <a:cs typeface="Calibri" panose="020F0502020204030204" pitchFamily="34" charset="0"/>
              </a:endParaRPr>
            </a:p>
            <a:p>
              <a:pPr algn="ctr"/>
              <a14:m>
                <m:oMath xmlns:m="http://schemas.openxmlformats.org/officeDocument/2006/math">
                  <m:r>
                    <m:rPr>
                      <m:sty m:val="p"/>
                    </m:rPr>
                    <a:rPr lang="en-US" sz="900" i="0">
                      <a:latin typeface="Cambria Math" panose="02040503050406030204" pitchFamily="18" charset="0"/>
                      <a:ea typeface="Cambria Math" panose="02040503050406030204" pitchFamily="18" charset="0"/>
                      <a:cs typeface="Sora" pitchFamily="2" charset="0"/>
                    </a:rPr>
                    <m:t>Administrative</m:t>
                  </m:r>
                  <m:r>
                    <a:rPr lang="en-US" sz="900" i="0">
                      <a:latin typeface="Cambria Math" panose="02040503050406030204" pitchFamily="18" charset="0"/>
                      <a:ea typeface="Cambria Math" panose="02040503050406030204" pitchFamily="18" charset="0"/>
                      <a:cs typeface="Sora" pitchFamily="2" charset="0"/>
                    </a:rPr>
                    <m:t> </m:t>
                  </m:r>
                </m:oMath>
              </a14:m>
              <a:r>
                <a:rPr lang="en-US" sz="900">
                  <a:latin typeface="Calibri" panose="020F0502020204030204" pitchFamily="34" charset="0"/>
                  <a:ea typeface="Cambria Math" panose="02040503050406030204" pitchFamily="18" charset="0"/>
                  <a:cs typeface="Calibri" panose="020F0502020204030204" pitchFamily="34" charset="0"/>
                </a:rPr>
                <a:t>Expenses + Personnel Expenses + Depreciation and Amortization</a:t>
              </a: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Stage 3 formation:</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eqArr>
                          <m:eqArrPr>
                            <m:ctrlPr>
                              <a:rPr lang="en-US" sz="900" i="1">
                                <a:latin typeface="Cambria Math" panose="02040503050406030204" pitchFamily="18" charset="0"/>
                                <a:ea typeface="Cambria Math" panose="02040503050406030204" pitchFamily="18" charset="0"/>
                              </a:rPr>
                            </m:ctrlPr>
                          </m:eqArrPr>
                          <m:e>
                            <m:r>
                              <m:rPr>
                                <m:sty m:val="p"/>
                              </m:rPr>
                              <a:rPr lang="en-US" sz="900">
                                <a:latin typeface="Cambria Math" panose="02040503050406030204" pitchFamily="18" charset="0"/>
                                <a:ea typeface="Cambria Math" panose="02040503050406030204" pitchFamily="18" charset="0"/>
                              </a:rPr>
                              <m:t>Stage</m:t>
                            </m:r>
                            <m:r>
                              <a:rPr lang="en-US" sz="900">
                                <a:latin typeface="Cambria Math" panose="02040503050406030204" pitchFamily="18" charset="0"/>
                                <a:ea typeface="Cambria Math" panose="02040503050406030204" pitchFamily="18" charset="0"/>
                              </a:rPr>
                              <m:t> 3 </m:t>
                            </m:r>
                            <m:r>
                              <m:rPr>
                                <m:sty m:val="p"/>
                              </m:rPr>
                              <a:rPr lang="en-US" sz="900">
                                <a:latin typeface="Cambria Math" panose="02040503050406030204" pitchFamily="18" charset="0"/>
                                <a:ea typeface="Cambria Math" panose="02040503050406030204" pitchFamily="18" charset="0"/>
                              </a:rPr>
                              <m:t>balance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current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Stage</m:t>
                            </m:r>
                            <m:r>
                              <a:rPr lang="en-US" sz="900">
                                <a:latin typeface="Cambria Math" panose="02040503050406030204" pitchFamily="18" charset="0"/>
                                <a:ea typeface="Cambria Math" panose="02040503050406030204" pitchFamily="18" charset="0"/>
                              </a:rPr>
                              <m:t> 3 </m:t>
                            </m:r>
                            <m:r>
                              <m:rPr>
                                <m:sty m:val="p"/>
                              </m:rPr>
                              <a:rPr lang="en-US" sz="900">
                                <a:latin typeface="Cambria Math" panose="02040503050406030204" pitchFamily="18" charset="0"/>
                                <a:ea typeface="Cambria Math" panose="02040503050406030204" pitchFamily="18" charset="0"/>
                              </a:rPr>
                              <m:t>balance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previous</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e>
                          <m:e>
                            <m:r>
                              <a:rPr lang="en-US" sz="900">
                                <a:latin typeface="Cambria Math" panose="02040503050406030204" pitchFamily="18" charset="0"/>
                                <a:ea typeface="Cambria Math" panose="02040503050406030204" pitchFamily="18" charset="0"/>
                              </a:rPr>
                              <m:t>+</m:t>
                            </m:r>
                            <m:r>
                              <m:rPr>
                                <m:sty m:val="p"/>
                              </m:rPr>
                              <a:rPr lang="en-US" sz="900">
                                <a:latin typeface="Cambria Math" panose="02040503050406030204" pitchFamily="18" charset="0"/>
                                <a:ea typeface="Cambria Math" panose="02040503050406030204" pitchFamily="18" charset="0"/>
                              </a:rPr>
                              <m:t>Write</m:t>
                            </m:r>
                            <m:r>
                              <a:rPr lang="en-US" sz="900">
                                <a:latin typeface="Cambria Math" panose="02040503050406030204" pitchFamily="18" charset="0"/>
                                <a:ea typeface="Cambria Math" panose="02040503050406030204" pitchFamily="18" charset="0"/>
                              </a:rPr>
                              <m:t>−</m:t>
                            </m:r>
                            <m:r>
                              <m:rPr>
                                <m:sty m:val="p"/>
                              </m:rPr>
                              <a:rPr lang="en-US" sz="900">
                                <a:latin typeface="Cambria Math" panose="02040503050406030204" pitchFamily="18" charset="0"/>
                                <a:ea typeface="Cambria Math" panose="02040503050406030204" pitchFamily="18" charset="0"/>
                              </a:rPr>
                              <m:t>off</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change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in</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the</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current</m:t>
                            </m:r>
                            <m:r>
                              <a:rPr lang="en-US" sz="900">
                                <a:latin typeface="Cambria Math" panose="02040503050406030204" pitchFamily="18" charset="0"/>
                                <a:ea typeface="Cambria Math" panose="02040503050406030204" pitchFamily="18" charset="0"/>
                              </a:rPr>
                              <m:t> </m:t>
                            </m:r>
                            <m:r>
                              <m:rPr>
                                <m:sty m:val="p"/>
                              </m:rPr>
                              <a:rPr lang="en-US" sz="900">
                                <a:latin typeface="Cambria Math" panose="02040503050406030204" pitchFamily="18" charset="0"/>
                                <a:ea typeface="Cambria Math" panose="02040503050406030204" pitchFamily="18" charset="0"/>
                              </a:rPr>
                              <m:t>quarter</m:t>
                            </m:r>
                          </m:e>
                        </m:eqArr>
                      </m:num>
                      <m:den>
                        <m:r>
                          <m:rPr>
                            <m:sty m:val="p"/>
                          </m:rPr>
                          <a:rPr lang="en-US" sz="900" b="0" i="0">
                            <a:latin typeface="Cambria Math" panose="02040503050406030204" pitchFamily="18" charset="0"/>
                            <a:ea typeface="Cambria Math" panose="02040503050406030204" pitchFamily="18" charset="0"/>
                          </a:rPr>
                          <m:t>Total</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loans</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and</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advance</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to</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customers</m:t>
                        </m:r>
                        <m:r>
                          <a:rPr lang="en-US" sz="900" b="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in</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the</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previous</m:t>
                        </m:r>
                        <m:r>
                          <a:rPr lang="en-US" sz="900" i="0">
                            <a:latin typeface="Cambria Math" panose="02040503050406030204" pitchFamily="18" charset="0"/>
                            <a:ea typeface="Cambria Math" panose="02040503050406030204" pitchFamily="18" charset="0"/>
                          </a:rPr>
                          <m:t> </m:t>
                        </m:r>
                        <m:r>
                          <m:rPr>
                            <m:sty m:val="p"/>
                          </m:rPr>
                          <a:rPr lang="en-US" sz="900" i="0">
                            <a:latin typeface="Cambria Math" panose="02040503050406030204" pitchFamily="18" charset="0"/>
                            <a:ea typeface="Cambria Math" panose="02040503050406030204" pitchFamily="18" charset="0"/>
                          </a:rPr>
                          <m:t>quarter</m:t>
                        </m:r>
                      </m:den>
                    </m:f>
                  </m:oMath>
                </m:oMathPara>
              </a14:m>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Tier I ratio:</a:t>
              </a:r>
            </a:p>
            <a:p>
              <a:endParaRPr lang="en-US" sz="800" b="1">
                <a:highlight>
                  <a:srgbClr val="FFFF00"/>
                </a:highlight>
                <a:latin typeface="Calibri" panose="020F0502020204030204" pitchFamily="34" charset="0"/>
                <a:ea typeface="Cambria Math" panose="02040503050406030204" pitchFamily="18"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ea typeface="Cambria Math" panose="02040503050406030204" pitchFamily="18" charset="0"/>
                          </a:rPr>
                        </m:ctrlPr>
                      </m:fPr>
                      <m:num>
                        <m:r>
                          <m:rPr>
                            <m:sty m:val="p"/>
                          </m:rPr>
                          <a:rPr lang="en-US" sz="900" b="0" i="0">
                            <a:latin typeface="Cambria Math" panose="02040503050406030204" pitchFamily="18" charset="0"/>
                            <a:ea typeface="Cambria Math" panose="02040503050406030204" pitchFamily="18" charset="0"/>
                          </a:rPr>
                          <m:t>Tier</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I</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referential</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equity</m:t>
                        </m:r>
                      </m:num>
                      <m:den>
                        <m:r>
                          <m:rPr>
                            <m:sty m:val="p"/>
                          </m:rPr>
                          <a:rPr lang="en-US" sz="900" b="0" i="0">
                            <a:latin typeface="Cambria Math" panose="02040503050406030204" pitchFamily="18" charset="0"/>
                            <a:ea typeface="Cambria Math" panose="02040503050406030204" pitchFamily="18" charset="0"/>
                          </a:rPr>
                          <m:t>Risk</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weighted</m:t>
                        </m:r>
                        <m:r>
                          <a:rPr lang="en-US" sz="900" b="0" i="0">
                            <a:latin typeface="Cambria Math" panose="02040503050406030204" pitchFamily="18" charset="0"/>
                            <a:ea typeface="Cambria Math" panose="02040503050406030204" pitchFamily="18" charset="0"/>
                          </a:rPr>
                          <m:t> </m:t>
                        </m:r>
                        <m:r>
                          <m:rPr>
                            <m:sty m:val="p"/>
                          </m:rPr>
                          <a:rPr lang="en-US" sz="900" b="0" i="0">
                            <a:latin typeface="Cambria Math" panose="02040503050406030204" pitchFamily="18" charset="0"/>
                            <a:ea typeface="Cambria Math" panose="02040503050406030204" pitchFamily="18" charset="0"/>
                          </a:rPr>
                          <m:t>assets</m:t>
                        </m:r>
                      </m:den>
                    </m:f>
                  </m:oMath>
                </m:oMathPara>
              </a14:m>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Total gross revenue:</a:t>
              </a:r>
            </a:p>
            <a:p>
              <a:endParaRPr lang="en-US" sz="5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14:m>
                <m:oMathPara xmlns:m="http://schemas.openxmlformats.org/officeDocument/2006/math">
                  <m:oMathParaPr>
                    <m:jc m:val="center"/>
                  </m:oMathParaPr>
                  <m:oMath xmlns:m="http://schemas.openxmlformats.org/officeDocument/2006/math">
                    <m:r>
                      <m:rPr>
                        <m:sty m:val="p"/>
                      </m:rPr>
                      <a:rPr lang="en-US" sz="900" i="0">
                        <a:latin typeface="Cambria Math" panose="02040503050406030204" pitchFamily="18" charset="0"/>
                        <a:ea typeface="Cambria Math" panose="02040503050406030204" pitchFamily="18" charset="0"/>
                        <a:cs typeface="Sora" pitchFamily="2" charset="0"/>
                      </a:rPr>
                      <m:t>Interest</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income</m:t>
                    </m:r>
                    <m:r>
                      <a:rPr lang="en-US" sz="900" i="0">
                        <a:latin typeface="Cambria Math" panose="02040503050406030204" pitchFamily="18" charset="0"/>
                        <a:ea typeface="Cambria Math" panose="02040503050406030204" pitchFamily="18" charset="0"/>
                        <a:cs typeface="Sora" pitchFamily="2" charset="0"/>
                      </a:rPr>
                      <m:t> +</m:t>
                    </m:r>
                    <m:d>
                      <m:dPr>
                        <m:ctrlPr>
                          <a:rPr lang="en-US" sz="900" b="0" i="1">
                            <a:latin typeface="Cambria Math" panose="02040503050406030204" pitchFamily="18" charset="0"/>
                            <a:ea typeface="Cambria Math" panose="02040503050406030204" pitchFamily="18" charset="0"/>
                            <a:cs typeface="Sora" pitchFamily="2" charset="0"/>
                          </a:rPr>
                        </m:ctrlPr>
                      </m:dPr>
                      <m:e>
                        <m:r>
                          <m:rPr>
                            <m:sty m:val="p"/>
                          </m:rPr>
                          <a:rPr lang="en-US" sz="900" b="0" i="0">
                            <a:latin typeface="Cambria Math" panose="02040503050406030204" pitchFamily="18" charset="0"/>
                            <a:ea typeface="Cambria Math" panose="02040503050406030204" pitchFamily="18" charset="0"/>
                            <a:cs typeface="Sora" pitchFamily="2" charset="0"/>
                          </a:rPr>
                          <m:t>Revenue</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from</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services</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and</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commissions</m:t>
                        </m:r>
                        <m:r>
                          <a:rPr lang="en-US" sz="900" b="0" i="0">
                            <a:latin typeface="Cambria Math" panose="02040503050406030204" pitchFamily="18" charset="0"/>
                            <a:ea typeface="Cambria Math" panose="02040503050406030204" pitchFamily="18" charset="0"/>
                            <a:cs typeface="Sora" pitchFamily="2" charset="0"/>
                          </a:rPr>
                          <m:t>−</m:t>
                        </m:r>
                        <m:r>
                          <m:rPr>
                            <m:sty m:val="p"/>
                          </m:rPr>
                          <a:rPr lang="en-US" sz="900" b="0" i="0">
                            <a:latin typeface="Cambria Math" panose="02040503050406030204" pitchFamily="18" charset="0"/>
                            <a:ea typeface="Cambria Math" panose="02040503050406030204" pitchFamily="18" charset="0"/>
                            <a:cs typeface="Sora" pitchFamily="2" charset="0"/>
                          </a:rPr>
                          <m:t>Cashback</m:t>
                        </m:r>
                        <m:r>
                          <a:rPr lang="en-US" sz="900" b="0" i="0">
                            <a:latin typeface="Cambria Math" panose="02040503050406030204" pitchFamily="18" charset="0"/>
                            <a:ea typeface="Cambria Math" panose="02040503050406030204" pitchFamily="18" charset="0"/>
                            <a:cs typeface="Sora" pitchFamily="2" charset="0"/>
                          </a:rPr>
                          <m:t> </m:t>
                        </m:r>
                        <m:r>
                          <m:rPr>
                            <m:sty m:val="p"/>
                          </m:rPr>
                          <a:rPr lang="en-US" sz="900" b="0" i="0">
                            <a:latin typeface="Cambria Math" panose="02040503050406030204" pitchFamily="18" charset="0"/>
                            <a:ea typeface="Cambria Math" panose="02040503050406030204" pitchFamily="18" charset="0"/>
                            <a:cs typeface="Sora" pitchFamily="2" charset="0"/>
                          </a:rPr>
                          <m:t>expenses</m:t>
                        </m:r>
                        <m:r>
                          <a:rPr lang="en-US" sz="900" b="0" i="0">
                            <a:latin typeface="Cambria Math" panose="02040503050406030204" pitchFamily="18" charset="0"/>
                            <a:ea typeface="Cambria Math" panose="02040503050406030204" pitchFamily="18" charset="0"/>
                            <a:cs typeface="Sora" pitchFamily="2" charset="0"/>
                          </a:rPr>
                          <m:t> −</m:t>
                        </m:r>
                        <m:r>
                          <m:rPr>
                            <m:sty m:val="p"/>
                          </m:rPr>
                          <a:rPr lang="en-US" sz="900" b="0" i="0">
                            <a:latin typeface="Cambria Math" panose="02040503050406030204" pitchFamily="18" charset="0"/>
                            <a:ea typeface="Cambria Math" panose="02040503050406030204" pitchFamily="18" charset="0"/>
                            <a:cs typeface="Sora" pitchFamily="2" charset="0"/>
                          </a:rPr>
                          <m:t>Inter</m:t>
                        </m:r>
                        <m:r>
                          <a:rPr lang="en-US" sz="900" b="0" i="0">
                            <a:latin typeface="Cambria Math" panose="02040503050406030204" pitchFamily="18" charset="0"/>
                            <a:ea typeface="Cambria Math" panose="02040503050406030204" pitchFamily="18" charset="0"/>
                            <a:cs typeface="Sora" pitchFamily="2" charset="0"/>
                          </a:rPr>
                          <m:t> </m:t>
                        </m:r>
                        <m:r>
                          <m:rPr>
                            <m:sty m:val="p"/>
                          </m:rPr>
                          <a:rPr lang="en-US" sz="900" b="0" i="0">
                            <a:latin typeface="Cambria Math" panose="02040503050406030204" pitchFamily="18" charset="0"/>
                            <a:ea typeface="Cambria Math" panose="02040503050406030204" pitchFamily="18" charset="0"/>
                            <a:cs typeface="Sora" pitchFamily="2" charset="0"/>
                          </a:rPr>
                          <m:t>rewards</m:t>
                        </m:r>
                      </m:e>
                    </m:d>
                    <m:r>
                      <a:rPr lang="en-US" sz="900" b="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Income</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from</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securities</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b="0" i="0">
                        <a:latin typeface="Cambria Math" panose="02040503050406030204" pitchFamily="18" charset="0"/>
                        <a:ea typeface="Cambria Math" panose="02040503050406030204" pitchFamily="18" charset="0"/>
                        <a:cs typeface="Sora" pitchFamily="2" charset="0"/>
                      </a:rPr>
                      <m:t>and</m:t>
                    </m:r>
                    <m:r>
                      <a:rPr lang="en-US" sz="900" b="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derivatives</m:t>
                    </m:r>
                    <m:r>
                      <a:rPr lang="en-US" sz="900" i="0">
                        <a:latin typeface="Cambria Math" panose="02040503050406030204" pitchFamily="18" charset="0"/>
                        <a:ea typeface="Cambria Math" panose="02040503050406030204" pitchFamily="18" charset="0"/>
                        <a:cs typeface="Sora" pitchFamily="2" charset="0"/>
                      </a:rPr>
                      <m:t> + </m:t>
                    </m:r>
                    <m:r>
                      <m:rPr>
                        <m:sty m:val="p"/>
                      </m:rPr>
                      <a:rPr lang="en-US" sz="900" i="0">
                        <a:latin typeface="Cambria Math" panose="02040503050406030204" pitchFamily="18" charset="0"/>
                        <a:ea typeface="Cambria Math" panose="02040503050406030204" pitchFamily="18" charset="0"/>
                        <a:cs typeface="Sora" pitchFamily="2" charset="0"/>
                      </a:rPr>
                      <m:t>Other</m:t>
                    </m:r>
                    <m:r>
                      <a:rPr lang="en-US" sz="900" i="0">
                        <a:latin typeface="Cambria Math" panose="02040503050406030204" pitchFamily="18" charset="0"/>
                        <a:ea typeface="Cambria Math" panose="02040503050406030204" pitchFamily="18" charset="0"/>
                        <a:cs typeface="Sora" pitchFamily="2" charset="0"/>
                      </a:rPr>
                      <m:t> </m:t>
                    </m:r>
                    <m:r>
                      <m:rPr>
                        <m:sty m:val="p"/>
                      </m:rPr>
                      <a:rPr lang="en-US" sz="900" i="0">
                        <a:latin typeface="Cambria Math" panose="02040503050406030204" pitchFamily="18" charset="0"/>
                        <a:ea typeface="Cambria Math" panose="02040503050406030204" pitchFamily="18" charset="0"/>
                        <a:cs typeface="Sora" pitchFamily="2" charset="0"/>
                      </a:rPr>
                      <m:t>revenue</m:t>
                    </m:r>
                  </m:oMath>
                </m:oMathPara>
              </a14:m>
              <a:endParaRPr lang="en-US" sz="9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100">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xdr:txBody>
        </xdr:sp>
      </mc:Choice>
      <mc:Fallback xmlns="">
        <xdr:sp macro="" textlink="">
          <xdr:nvSpPr>
            <xdr:cNvPr id="36" name="Retângulo 9">
              <a:extLst>
                <a:ext uri="{FF2B5EF4-FFF2-40B4-BE49-F238E27FC236}">
                  <a16:creationId xmlns:a16="http://schemas.microsoft.com/office/drawing/2014/main" id="{70BBBFDC-97EA-DB78-9935-3D590DAA2910}"/>
                </a:ext>
              </a:extLst>
            </xdr:cNvPr>
            <xdr:cNvSpPr/>
          </xdr:nvSpPr>
          <xdr:spPr>
            <a:xfrm>
              <a:off x="245533" y="32529670"/>
              <a:ext cx="5679293" cy="641393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b="1">
                  <a:latin typeface="Calibri" panose="020F0502020204030204" pitchFamily="34" charset="0"/>
                  <a:cs typeface="Calibri" panose="020F0502020204030204" pitchFamily="34" charset="0"/>
                </a:rPr>
                <a:t>NPL &gt; 90 days:</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900" i="0">
                  <a:latin typeface="Cambria Math" panose="02040503050406030204" pitchFamily="18" charset="0"/>
                  <a:ea typeface="Cambria Math" panose="02040503050406030204" pitchFamily="18" charset="0"/>
                </a:rPr>
                <a:t>(Overdue higher than 90 days)/(Loans and Advance to Costumers + Loans to  financial institutions  )</a:t>
              </a: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lgn="ctr"/>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NPL formation:</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900" i="0">
                  <a:latin typeface="Cambria Math" panose="02040503050406030204" pitchFamily="18" charset="0"/>
                  <a:ea typeface="Cambria Math" panose="02040503050406030204" pitchFamily="18" charset="0"/>
                </a:rPr>
                <a:t>█(Overdue balance higher than 90 days in the current quarter –@Overdue balance higher than 90 days inthe previous quarter +Write−off change in the current quarter)/(</a:t>
              </a:r>
              <a:r>
                <a:rPr lang="en-US" sz="900" b="0" i="0">
                  <a:latin typeface="Cambria Math" panose="02040503050406030204" pitchFamily="18" charset="0"/>
                  <a:ea typeface="Cambria Math" panose="02040503050406030204" pitchFamily="18" charset="0"/>
                </a:rPr>
                <a:t>Total loans and advance to customers </a:t>
              </a:r>
              <a:r>
                <a:rPr lang="en-US" sz="900" i="0">
                  <a:latin typeface="Cambria Math" panose="02040503050406030204" pitchFamily="18" charset="0"/>
                  <a:ea typeface="Cambria Math" panose="02040503050406030204" pitchFamily="18" charset="0"/>
                </a:rPr>
                <a:t>in the previous quarter)</a:t>
              </a: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Personal efficiency ratio:</a:t>
              </a:r>
            </a:p>
            <a:p>
              <a:pPr algn="ctr"/>
              <a:endParaRPr lang="en-US" sz="500">
                <a:latin typeface="Calibri" panose="020F0502020204030204" pitchFamily="34" charset="0"/>
                <a:ea typeface="Cambria Math" panose="02040503050406030204" pitchFamily="18" charset="0"/>
                <a:cs typeface="Calibri" panose="020F0502020204030204" pitchFamily="34" charset="0"/>
              </a:endParaRPr>
            </a:p>
            <a:p>
              <a:pPr algn="ctr"/>
              <a:r>
                <a:rPr lang="en-US" sz="900" i="0">
                  <a:latin typeface="Cambria Math" panose="02040503050406030204" pitchFamily="18" charset="0"/>
                  <a:ea typeface="Cambria Math" panose="02040503050406030204" pitchFamily="18" charset="0"/>
                </a:rPr>
                <a:t>█( @Person</a:t>
              </a:r>
              <a:r>
                <a:rPr lang="en-US" sz="900" b="0" i="0">
                  <a:latin typeface="Cambria Math" panose="02040503050406030204" pitchFamily="18" charset="0"/>
                  <a:ea typeface="Cambria Math" panose="02040503050406030204" pitchFamily="18" charset="0"/>
                </a:rPr>
                <a:t>nel </a:t>
              </a:r>
              <a:r>
                <a:rPr lang="en-US" sz="900" i="0">
                  <a:latin typeface="Cambria Math" panose="02040503050406030204" pitchFamily="18" charset="0"/>
                  <a:ea typeface="Cambria Math" panose="02040503050406030204" pitchFamily="18" charset="0"/>
                </a:rPr>
                <a:t>expense)/(</a:t>
              </a:r>
              <a:r>
                <a:rPr lang="en-US" sz="900" b="0" i="0">
                  <a:latin typeface="Cambria Math" panose="02040503050406030204" pitchFamily="18" charset="0"/>
                  <a:ea typeface="Cambria Math" panose="02040503050406030204" pitchFamily="18" charset="0"/>
                </a:rPr>
                <a:t>Net </a:t>
              </a:r>
              <a:r>
                <a:rPr lang="en-US" sz="900" i="0">
                  <a:latin typeface="Cambria Math" panose="02040503050406030204" pitchFamily="18" charset="0"/>
                  <a:ea typeface="Cambria Math" panose="02040503050406030204" pitchFamily="18" charset="0"/>
                </a:rPr>
                <a:t>Interest Income+Net result from services and comissions+ Other revenue−Tax expense)  </a:t>
              </a: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Return on average equity (ROE):</a:t>
              </a:r>
            </a:p>
            <a:p>
              <a:pPr algn="ctr"/>
              <a:endParaRPr lang="en-US" sz="800" b="1">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lgn="ctr"/>
              <a:r>
                <a:rPr lang="en-US" sz="900" i="0">
                  <a:latin typeface="Cambria Math" panose="02040503050406030204" pitchFamily="18" charset="0"/>
                  <a:ea typeface="Cambria Math" panose="02040503050406030204" pitchFamily="18" charset="0"/>
                </a:rPr>
                <a:t>((Profit / (loss) for the </a:t>
              </a:r>
              <a:r>
                <a:rPr lang="en-US" sz="900" b="0" i="0">
                  <a:latin typeface="Cambria Math" panose="02040503050406030204" pitchFamily="18" charset="0"/>
                  <a:ea typeface="Cambria Math" panose="02040503050406030204" pitchFamily="18" charset="0"/>
                </a:rPr>
                <a:t>quarter</a:t>
              </a:r>
              <a:r>
                <a:rPr lang="en-US" sz="900" i="0">
                  <a:latin typeface="Cambria Math" panose="02040503050406030204" pitchFamily="18" charset="0"/>
                  <a:ea typeface="Cambria Math" panose="02040503050406030204" pitchFamily="18" charset="0"/>
                </a:rPr>
                <a:t>)× 4)/(Average of last 2 quarters</a:t>
              </a:r>
              <a:r>
                <a:rPr lang="en-US" sz="900" b="0" i="0">
                  <a:latin typeface="Cambria Math" panose="02040503050406030204" pitchFamily="18" charset="0"/>
                  <a:ea typeface="Cambria Math" panose="02040503050406030204" pitchFamily="18" charset="0"/>
                </a:rPr>
                <a:t> </a:t>
              </a:r>
              <a:r>
                <a:rPr lang="en-US" sz="900" i="0">
                  <a:latin typeface="Cambria Math" panose="02040503050406030204" pitchFamily="18" charset="0"/>
                  <a:ea typeface="Cambria Math" panose="02040503050406030204" pitchFamily="18" charset="0"/>
                </a:rPr>
                <a:t>of total shareholder`s equity)</a:t>
              </a: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ea typeface="Cambria Math" panose="02040503050406030204" pitchFamily="18" charset="0"/>
                  <a:cs typeface="Calibri" panose="020F0502020204030204" pitchFamily="34" charset="0"/>
                </a:rPr>
                <a:t>SG&amp;A:</a:t>
              </a:r>
            </a:p>
            <a:p>
              <a:endParaRPr lang="en-US" sz="900" b="1" i="0">
                <a:latin typeface="Calibri" panose="020F0502020204030204" pitchFamily="34" charset="0"/>
                <a:ea typeface="Cambria Math" panose="02040503050406030204" pitchFamily="18" charset="0"/>
                <a:cs typeface="Calibri" panose="020F0502020204030204" pitchFamily="34" charset="0"/>
              </a:endParaRPr>
            </a:p>
            <a:p>
              <a:pPr algn="ctr"/>
              <a:r>
                <a:rPr lang="en-US" sz="900" i="0">
                  <a:latin typeface="Cambria Math" panose="02040503050406030204" pitchFamily="18" charset="0"/>
                  <a:ea typeface="Cambria Math" panose="02040503050406030204" pitchFamily="18" charset="0"/>
                  <a:cs typeface="Sora" pitchFamily="2" charset="0"/>
                </a:rPr>
                <a:t>Administrative </a:t>
              </a:r>
              <a:r>
                <a:rPr lang="en-US" sz="900">
                  <a:latin typeface="Calibri" panose="020F0502020204030204" pitchFamily="34" charset="0"/>
                  <a:ea typeface="Cambria Math" panose="02040503050406030204" pitchFamily="18" charset="0"/>
                  <a:cs typeface="Calibri" panose="020F0502020204030204" pitchFamily="34" charset="0"/>
                </a:rPr>
                <a:t>Expenses + Personnel Expenses + Depreciation and Amortization</a:t>
              </a: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Stage 3 formation:</a:t>
              </a:r>
            </a:p>
            <a:p>
              <a:endParaRPr lang="en-US" sz="800" b="1">
                <a:latin typeface="Calibri" panose="020F0502020204030204" pitchFamily="34" charset="0"/>
                <a:ea typeface="Cambria Math" panose="02040503050406030204" pitchFamily="18" charset="0"/>
                <a:cs typeface="Calibri" panose="020F0502020204030204" pitchFamily="34" charset="0"/>
              </a:endParaRPr>
            </a:p>
            <a:p>
              <a:pPr/>
              <a:r>
                <a:rPr lang="en-US" sz="900" i="0">
                  <a:latin typeface="Cambria Math" panose="02040503050406030204" pitchFamily="18" charset="0"/>
                  <a:ea typeface="Cambria Math" panose="02040503050406030204" pitchFamily="18" charset="0"/>
                </a:rPr>
                <a:t>█(Stage 3 balance in the current quarter –Stage 3 balance in the previous quarter@+Write−off change in the current quarter)/(</a:t>
              </a:r>
              <a:r>
                <a:rPr lang="en-US" sz="900" b="0" i="0">
                  <a:latin typeface="Cambria Math" panose="02040503050406030204" pitchFamily="18" charset="0"/>
                  <a:ea typeface="Cambria Math" panose="02040503050406030204" pitchFamily="18" charset="0"/>
                </a:rPr>
                <a:t>Total loans and advance to customers </a:t>
              </a:r>
              <a:r>
                <a:rPr lang="en-US" sz="900" i="0">
                  <a:latin typeface="Cambria Math" panose="02040503050406030204" pitchFamily="18" charset="0"/>
                  <a:ea typeface="Cambria Math" panose="02040503050406030204" pitchFamily="18" charset="0"/>
                </a:rPr>
                <a:t>in the previous quarter)</a:t>
              </a:r>
              <a:endParaRPr lang="en-US" sz="900" b="1">
                <a:latin typeface="Calibri" panose="020F0502020204030204" pitchFamily="34" charset="0"/>
                <a:ea typeface="Cambria Math" panose="02040503050406030204" pitchFamily="18" charset="0"/>
                <a:cs typeface="Calibri" panose="020F0502020204030204" pitchFamily="34" charset="0"/>
              </a:endParaRPr>
            </a:p>
            <a:p>
              <a:endParaRPr lang="en-US" sz="900" b="1">
                <a:latin typeface="Calibri" panose="020F0502020204030204" pitchFamily="34" charset="0"/>
                <a:cs typeface="Calibri" panose="020F0502020204030204" pitchFamily="34" charset="0"/>
              </a:endParaRPr>
            </a:p>
            <a:p>
              <a:r>
                <a:rPr lang="en-US" sz="900" b="1">
                  <a:latin typeface="Calibri" panose="020F0502020204030204" pitchFamily="34" charset="0"/>
                  <a:cs typeface="Calibri" panose="020F0502020204030204" pitchFamily="34" charset="0"/>
                </a:rPr>
                <a:t>Tier I ratio:</a:t>
              </a:r>
            </a:p>
            <a:p>
              <a:endParaRPr lang="en-US" sz="800" b="1">
                <a:highlight>
                  <a:srgbClr val="FFFF00"/>
                </a:highlight>
                <a:latin typeface="Calibri" panose="020F0502020204030204" pitchFamily="34" charset="0"/>
                <a:ea typeface="Cambria Math" panose="02040503050406030204" pitchFamily="18" charset="0"/>
                <a:cs typeface="Calibri" panose="020F0502020204030204" pitchFamily="34" charset="0"/>
              </a:endParaRPr>
            </a:p>
            <a:p>
              <a:pPr algn="ctr"/>
              <a:r>
                <a:rPr lang="en-US" sz="900" i="0">
                  <a:latin typeface="Cambria Math" panose="02040503050406030204" pitchFamily="18" charset="0"/>
                  <a:ea typeface="Cambria Math" panose="02040503050406030204" pitchFamily="18" charset="0"/>
                </a:rPr>
                <a:t>(</a:t>
              </a:r>
              <a:r>
                <a:rPr lang="en-US" sz="900" b="0" i="0">
                  <a:latin typeface="Cambria Math" panose="02040503050406030204" pitchFamily="18" charset="0"/>
                  <a:ea typeface="Cambria Math" panose="02040503050406030204" pitchFamily="18" charset="0"/>
                </a:rPr>
                <a:t>Tier I referential equity)/(Risk weighted assets)</a:t>
              </a:r>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r>
                <a:rPr lang="en-US" sz="900" b="1">
                  <a:latin typeface="Calibri" panose="020F0502020204030204" pitchFamily="34" charset="0"/>
                  <a:cs typeface="Calibri" panose="020F0502020204030204" pitchFamily="34" charset="0"/>
                </a:rPr>
                <a:t>Total gross revenue:</a:t>
              </a:r>
            </a:p>
            <a:p>
              <a:endParaRPr lang="en-US" sz="5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pPr/>
              <a:r>
                <a:rPr lang="en-US" sz="900" i="0">
                  <a:latin typeface="Cambria Math" panose="02040503050406030204" pitchFamily="18" charset="0"/>
                  <a:ea typeface="Cambria Math" panose="02040503050406030204" pitchFamily="18" charset="0"/>
                  <a:cs typeface="Sora" pitchFamily="2" charset="0"/>
                </a:rPr>
                <a:t>Interest income +</a:t>
              </a:r>
              <a:r>
                <a:rPr lang="en-US" sz="900" b="0" i="0">
                  <a:latin typeface="Cambria Math" panose="02040503050406030204" pitchFamily="18" charset="0"/>
                  <a:ea typeface="Cambria Math" panose="02040503050406030204" pitchFamily="18" charset="0"/>
                  <a:cs typeface="Sora" pitchFamily="2" charset="0"/>
                </a:rPr>
                <a:t>(Revenue</a:t>
              </a:r>
              <a:r>
                <a:rPr lang="en-US" sz="900" i="0">
                  <a:latin typeface="Cambria Math" panose="02040503050406030204" pitchFamily="18" charset="0"/>
                  <a:ea typeface="Cambria Math" panose="02040503050406030204" pitchFamily="18" charset="0"/>
                  <a:cs typeface="Sora" pitchFamily="2" charset="0"/>
                </a:rPr>
                <a:t> from services and commissions</a:t>
              </a:r>
              <a:r>
                <a:rPr lang="en-US" sz="900" b="0" i="0">
                  <a:latin typeface="Cambria Math" panose="02040503050406030204" pitchFamily="18" charset="0"/>
                  <a:ea typeface="Cambria Math" panose="02040503050406030204" pitchFamily="18" charset="0"/>
                  <a:cs typeface="Sora" pitchFamily="2" charset="0"/>
                </a:rPr>
                <a:t>−Cashback expenses −Inter rewards)+ </a:t>
              </a:r>
              <a:r>
                <a:rPr lang="en-US" sz="900" i="0">
                  <a:latin typeface="Cambria Math" panose="02040503050406030204" pitchFamily="18" charset="0"/>
                  <a:ea typeface="Cambria Math" panose="02040503050406030204" pitchFamily="18" charset="0"/>
                  <a:cs typeface="Sora" pitchFamily="2" charset="0"/>
                </a:rPr>
                <a:t>Income from securities </a:t>
              </a:r>
              <a:r>
                <a:rPr lang="en-US" sz="900" b="0" i="0">
                  <a:latin typeface="Cambria Math" panose="02040503050406030204" pitchFamily="18" charset="0"/>
                  <a:ea typeface="Cambria Math" panose="02040503050406030204" pitchFamily="18" charset="0"/>
                  <a:cs typeface="Sora" pitchFamily="2" charset="0"/>
                </a:rPr>
                <a:t>and </a:t>
              </a:r>
              <a:r>
                <a:rPr lang="en-US" sz="900" i="0">
                  <a:latin typeface="Cambria Math" panose="02040503050406030204" pitchFamily="18" charset="0"/>
                  <a:ea typeface="Cambria Math" panose="02040503050406030204" pitchFamily="18" charset="0"/>
                  <a:cs typeface="Sora" pitchFamily="2" charset="0"/>
                </a:rPr>
                <a:t>derivatives + Other revenue</a:t>
              </a:r>
              <a:endParaRPr lang="en-US" sz="9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100">
                <a:solidFill>
                  <a:schemeClr val="tx1">
                    <a:lumMod val="85000"/>
                    <a:lumOff val="15000"/>
                  </a:schemeClr>
                </a:solidFill>
                <a:highlight>
                  <a:srgbClr val="FFFF00"/>
                </a:highlight>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xdr:txBody>
        </xdr:sp>
      </mc:Fallback>
    </mc:AlternateContent>
    <xdr:clientData/>
  </xdr:twoCellAnchor>
  <xdr:twoCellAnchor>
    <xdr:from>
      <xdr:col>8</xdr:col>
      <xdr:colOff>115454</xdr:colOff>
      <xdr:row>4</xdr:row>
      <xdr:rowOff>28863</xdr:rowOff>
    </xdr:from>
    <xdr:to>
      <xdr:col>15</xdr:col>
      <xdr:colOff>90481</xdr:colOff>
      <xdr:row>30</xdr:row>
      <xdr:rowOff>107765</xdr:rowOff>
    </xdr:to>
    <mc:AlternateContent xmlns:mc="http://schemas.openxmlformats.org/markup-compatibility/2006" xmlns:a14="http://schemas.microsoft.com/office/drawing/2010/main">
      <mc:Choice Requires="a14">
        <xdr:sp macro="" textlink="">
          <xdr:nvSpPr>
            <xdr:cNvPr id="45" name="Retângulo 9">
              <a:extLst>
                <a:ext uri="{FF2B5EF4-FFF2-40B4-BE49-F238E27FC236}">
                  <a16:creationId xmlns:a16="http://schemas.microsoft.com/office/drawing/2014/main" id="{00000000-0008-0000-1600-00002D000000}"/>
                </a:ext>
              </a:extLst>
            </xdr:cNvPr>
            <xdr:cNvSpPr/>
          </xdr:nvSpPr>
          <xdr:spPr>
            <a:xfrm>
              <a:off x="6741541" y="765095"/>
              <a:ext cx="5772853" cy="48644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solidFill>
                    <a:schemeClr val="tx1"/>
                  </a:solidFill>
                  <a:latin typeface="Calibri" panose="020F0502020204030204" pitchFamily="34" charset="0"/>
                  <a:cs typeface="Calibri" panose="020F0502020204030204" pitchFamily="34" charset="0"/>
                </a:rPr>
                <a:t>Clientes ativos:</a:t>
              </a:r>
            </a:p>
            <a:p>
              <a:pPr algn="just"/>
              <a:r>
                <a:rPr lang="en-US" sz="800">
                  <a:solidFill>
                    <a:schemeClr val="tx1"/>
                  </a:solidFill>
                  <a:latin typeface="Calibri" panose="020F0502020204030204" pitchFamily="34" charset="0"/>
                  <a:ea typeface="Inter Light BETA" panose="020B0402030000000004" pitchFamily="34" charset="0"/>
                  <a:cs typeface="Calibri" panose="020F0502020204030204" pitchFamily="34" charset="0"/>
                </a:rPr>
                <a:t>Nós definimos um cliente ativo como um cliente em qualquer data que foi a fonte de qualquer quantia de receita para nós nos últimos três meses e/ou um cliente que usou produtos nos últimos três meses. Para o Inter Seguros, calculamos o número de clientes ativos para a nossa vertical de corretagem de seguros como o número de beneficiários de apólices de seguro efetivas em uma determinada data. Para a Inter Invest, calculamos o número de clientes ativos como o número de contas individuais que investiram em nossa plataforma durante o período aplicável. </a:t>
              </a:r>
            </a:p>
            <a:p>
              <a:endParaRPr lang="en-US" sz="800" b="1">
                <a:solidFill>
                  <a:schemeClr val="tx1"/>
                </a:solidFill>
                <a:latin typeface="Calibri" panose="020F0502020204030204" pitchFamily="34" charset="0"/>
                <a:cs typeface="Calibri" panose="020F0502020204030204" pitchFamily="34" charset="0"/>
              </a:endParaRPr>
            </a:p>
            <a:p>
              <a:endParaRPr lang="en-US" sz="800" b="1">
                <a:solidFill>
                  <a:schemeClr val="tx1"/>
                </a:solidFill>
                <a:latin typeface="Calibri" panose="020F0502020204030204" pitchFamily="34" charset="0"/>
                <a:cs typeface="Calibri" panose="020F0502020204030204" pitchFamily="34" charset="0"/>
              </a:endParaRPr>
            </a:p>
            <a:p>
              <a:endParaRPr lang="en-US" sz="800" b="1">
                <a:solidFill>
                  <a:schemeClr val="tx1"/>
                </a:solidFill>
                <a:latin typeface="Calibri" panose="020F0502020204030204" pitchFamily="34" charset="0"/>
                <a:cs typeface="Calibri" panose="020F0502020204030204" pitchFamily="34" charset="0"/>
              </a:endParaRPr>
            </a:p>
            <a:p>
              <a:r>
                <a:rPr lang="en-US" sz="800" b="1">
                  <a:solidFill>
                    <a:schemeClr val="tx1"/>
                  </a:solidFill>
                  <a:latin typeface="Calibri" panose="020F0502020204030204" pitchFamily="34" charset="0"/>
                  <a:cs typeface="Calibri" panose="020F0502020204030204" pitchFamily="34" charset="0"/>
                </a:rPr>
                <a:t>Clientes ativos por colaborador:</a:t>
              </a:r>
            </a:p>
            <a:p>
              <a:endParaRPr lang="en-US" sz="800" b="1">
                <a:solidFill>
                  <a:schemeClr val="tx1"/>
                </a:solidFill>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cs typeface="Sora" pitchFamily="2" charset="0"/>
                          </a:rPr>
                        </m:ctrlPr>
                      </m:fPr>
                      <m:num>
                        <m:r>
                          <m:rPr>
                            <m:sty m:val="p"/>
                          </m:rPr>
                          <a:rPr lang="pt-BR" sz="800" b="0" i="0">
                            <a:solidFill>
                              <a:schemeClr val="tx1"/>
                            </a:solidFill>
                            <a:latin typeface="Cambria Math" panose="02040503050406030204" pitchFamily="18" charset="0"/>
                            <a:cs typeface="Sora" pitchFamily="2" charset="0"/>
                          </a:rPr>
                          <m:t>N</m:t>
                        </m:r>
                        <m:r>
                          <a:rPr lang="pt-BR" sz="800" i="0">
                            <a:solidFill>
                              <a:schemeClr val="tx1"/>
                            </a:solidFill>
                            <a:latin typeface="Cambria Math" panose="02040503050406030204" pitchFamily="18" charset="0"/>
                            <a:cs typeface="Sora" pitchFamily="2" charset="0"/>
                          </a:rPr>
                          <m:t>ú</m:t>
                        </m:r>
                        <m:r>
                          <m:rPr>
                            <m:sty m:val="p"/>
                          </m:rPr>
                          <a:rPr lang="pt-BR" sz="800" b="0" i="0">
                            <a:solidFill>
                              <a:schemeClr val="tx1"/>
                            </a:solidFill>
                            <a:latin typeface="Cambria Math" panose="02040503050406030204" pitchFamily="18" charset="0"/>
                            <a:cs typeface="Sora" pitchFamily="2" charset="0"/>
                          </a:rPr>
                          <m:t>mero</m:t>
                        </m:r>
                        <m:r>
                          <a:rPr lang="pt-BR" sz="800" b="0" i="0">
                            <a:solidFill>
                              <a:schemeClr val="tx1"/>
                            </a:solidFill>
                            <a:latin typeface="Cambria Math" panose="02040503050406030204" pitchFamily="18" charset="0"/>
                            <a:cs typeface="Sora" pitchFamily="2" charset="0"/>
                          </a:rPr>
                          <m:t> </m:t>
                        </m:r>
                        <m:r>
                          <m:rPr>
                            <m:sty m:val="p"/>
                          </m:rPr>
                          <a:rPr lang="pt-BR" sz="800" b="0" i="0">
                            <a:solidFill>
                              <a:schemeClr val="tx1"/>
                            </a:solidFill>
                            <a:latin typeface="Cambria Math" panose="02040503050406030204" pitchFamily="18" charset="0"/>
                            <a:cs typeface="Sora" pitchFamily="2" charset="0"/>
                          </a:rPr>
                          <m:t>de</m:t>
                        </m:r>
                        <m:r>
                          <a:rPr lang="pt-BR" sz="800" b="0" i="0">
                            <a:solidFill>
                              <a:schemeClr val="tx1"/>
                            </a:solidFill>
                            <a:latin typeface="Cambria Math" panose="02040503050406030204" pitchFamily="18" charset="0"/>
                            <a:cs typeface="Sora" pitchFamily="2" charset="0"/>
                          </a:rPr>
                          <m:t> </m:t>
                        </m:r>
                        <m:r>
                          <m:rPr>
                            <m:sty m:val="p"/>
                          </m:rPr>
                          <a:rPr lang="pt-BR" sz="800" b="0" i="0">
                            <a:solidFill>
                              <a:schemeClr val="tx1"/>
                            </a:solidFill>
                            <a:latin typeface="Cambria Math" panose="02040503050406030204" pitchFamily="18" charset="0"/>
                            <a:cs typeface="Sora" pitchFamily="2" charset="0"/>
                          </a:rPr>
                          <m:t>clientes</m:t>
                        </m:r>
                        <m:r>
                          <a:rPr lang="pt-BR" sz="800" b="0" i="0">
                            <a:solidFill>
                              <a:schemeClr val="tx1"/>
                            </a:solidFill>
                            <a:latin typeface="Cambria Math" panose="02040503050406030204" pitchFamily="18" charset="0"/>
                            <a:cs typeface="Sora" pitchFamily="2" charset="0"/>
                          </a:rPr>
                          <m:t> </m:t>
                        </m:r>
                        <m:r>
                          <m:rPr>
                            <m:sty m:val="p"/>
                          </m:rPr>
                          <a:rPr lang="pt-BR" sz="800" b="0" i="0">
                            <a:solidFill>
                              <a:schemeClr val="tx1"/>
                            </a:solidFill>
                            <a:latin typeface="Cambria Math" panose="02040503050406030204" pitchFamily="18" charset="0"/>
                            <a:cs typeface="Sora" pitchFamily="2" charset="0"/>
                          </a:rPr>
                          <m:t>ativos</m:t>
                        </m:r>
                        <m:r>
                          <a:rPr lang="pt-BR" sz="800" b="0" i="0">
                            <a:solidFill>
                              <a:schemeClr val="tx1"/>
                            </a:solidFill>
                            <a:latin typeface="Cambria Math" panose="02040503050406030204" pitchFamily="18" charset="0"/>
                            <a:cs typeface="Sora" pitchFamily="2" charset="0"/>
                          </a:rPr>
                          <m:t> </m:t>
                        </m:r>
                        <m:r>
                          <m:rPr>
                            <m:sty m:val="p"/>
                          </m:rPr>
                          <a:rPr lang="pt-BR" sz="800" b="0" i="0">
                            <a:solidFill>
                              <a:schemeClr val="tx1"/>
                            </a:solidFill>
                            <a:latin typeface="Cambria Math" panose="02040503050406030204" pitchFamily="18" charset="0"/>
                            <a:cs typeface="Sora" pitchFamily="2" charset="0"/>
                          </a:rPr>
                          <m:t>no</m:t>
                        </m:r>
                        <m:r>
                          <a:rPr lang="pt-BR" sz="800" b="0" i="0">
                            <a:solidFill>
                              <a:schemeClr val="tx1"/>
                            </a:solidFill>
                            <a:latin typeface="Cambria Math" panose="02040503050406030204" pitchFamily="18" charset="0"/>
                            <a:cs typeface="Sora" pitchFamily="2" charset="0"/>
                          </a:rPr>
                          <m:t> </m:t>
                        </m:r>
                        <m:r>
                          <m:rPr>
                            <m:sty m:val="p"/>
                          </m:rPr>
                          <a:rPr lang="pt-BR" sz="800" b="0" i="0">
                            <a:solidFill>
                              <a:schemeClr val="tx1"/>
                            </a:solidFill>
                            <a:latin typeface="Cambria Math" panose="02040503050406030204" pitchFamily="18" charset="0"/>
                            <a:cs typeface="Sora" pitchFamily="2" charset="0"/>
                          </a:rPr>
                          <m:t>trimestre</m:t>
                        </m:r>
                        <m:r>
                          <a:rPr lang="pt-BR" sz="800" b="0" i="0">
                            <a:solidFill>
                              <a:schemeClr val="tx1"/>
                            </a:solidFill>
                            <a:latin typeface="Cambria Math" panose="02040503050406030204" pitchFamily="18" charset="0"/>
                            <a:cs typeface="Sora" pitchFamily="2" charset="0"/>
                          </a:rPr>
                          <m:t> </m:t>
                        </m:r>
                      </m:num>
                      <m:den>
                        <m:r>
                          <m:rPr>
                            <m:sty m:val="p"/>
                          </m:rPr>
                          <a:rPr lang="pt-BR" sz="800">
                            <a:latin typeface="Cambria Math" panose="02040503050406030204" pitchFamily="18" charset="0"/>
                            <a:cs typeface="Sora" pitchFamily="2" charset="0"/>
                          </a:rPr>
                          <m:t>N</m:t>
                        </m:r>
                        <m:r>
                          <a:rPr lang="pt-BR" sz="800">
                            <a:latin typeface="Cambria Math" panose="02040503050406030204" pitchFamily="18" charset="0"/>
                            <a:cs typeface="Sora" pitchFamily="2" charset="0"/>
                          </a:rPr>
                          <m:t>ú</m:t>
                        </m:r>
                        <m:r>
                          <m:rPr>
                            <m:sty m:val="p"/>
                          </m:rPr>
                          <a:rPr lang="pt-BR" sz="800">
                            <a:latin typeface="Cambria Math" panose="02040503050406030204" pitchFamily="18" charset="0"/>
                            <a:cs typeface="Sora" pitchFamily="2" charset="0"/>
                          </a:rPr>
                          <m:t>mero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total</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colaboradores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no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trimestre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incluindo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estagi</m:t>
                        </m:r>
                        <m:r>
                          <a:rPr lang="pt-BR" sz="800">
                            <a:latin typeface="Cambria Math" panose="02040503050406030204" pitchFamily="18" charset="0"/>
                            <a:cs typeface="Sora" pitchFamily="2" charset="0"/>
                          </a:rPr>
                          <m:t>á</m:t>
                        </m:r>
                        <m:r>
                          <m:rPr>
                            <m:sty m:val="p"/>
                          </m:rPr>
                          <a:rPr lang="pt-BR" sz="800">
                            <a:latin typeface="Cambria Math" panose="02040503050406030204" pitchFamily="18" charset="0"/>
                            <a:cs typeface="Sora" pitchFamily="2" charset="0"/>
                          </a:rPr>
                          <m:t>rios</m:t>
                        </m:r>
                      </m:den>
                    </m:f>
                    <m:r>
                      <a:rPr lang="pt-BR" sz="800" b="0" i="0">
                        <a:solidFill>
                          <a:schemeClr val="tx1"/>
                        </a:solidFill>
                        <a:latin typeface="Cambria Math" panose="02040503050406030204" pitchFamily="18" charset="0"/>
                        <a:cs typeface="Sora" pitchFamily="2" charset="0"/>
                      </a:rPr>
                      <m:t> </m:t>
                    </m:r>
                  </m:oMath>
                </m:oMathPara>
              </a14:m>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Custo de aquisição de cliente (CAC):</a:t>
              </a:r>
            </a:p>
            <a:p>
              <a:pPr marL="0" marR="0" lvl="0" indent="0" algn="just" defTabSz="4572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rPr>
                <a:t>O custo médio para adicionar um cliente à base, considerando as despesas operacionais para abertura de conta</a:t>
              </a:r>
              <a:r>
                <a:rPr lang="en-US" sz="800">
                  <a:solidFill>
                    <a:schemeClr val="tx1"/>
                  </a:solidFill>
                  <a:latin typeface="Calibri" panose="020F0502020204030204" pitchFamily="34" charset="0"/>
                  <a:ea typeface="Inter Light BETA" panose="020B0402030000000004" pitchFamily="34" charset="0"/>
                  <a:cs typeface="Calibri" panose="020F0502020204030204" pitchFamily="34" charset="0"/>
                </a:rPr>
                <a:t>, </a:t>
              </a:r>
              <a:r>
                <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rPr>
                <a:t>como pessoal de integração, gravação e envio de cartões, e despesas de marketing digital com foco na captação de clientes dividido pelo número de contas abertas no trimestre.</a:t>
              </a: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Gross Take Rate:</a:t>
              </a: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pt-BR" sz="800" b="0" i="1" u="none" strike="noStrike" kern="1200" cap="none" spc="0" normalizeH="0" baseline="0">
                            <a:ln>
                              <a:noFill/>
                            </a:ln>
                            <a:solidFill>
                              <a:schemeClr val="tx1"/>
                            </a:solidFill>
                            <a:effectLst/>
                            <a:uLnTx/>
                            <a:uFillTx/>
                            <a:latin typeface="Cambria Math" panose="02040503050406030204" pitchFamily="18" charset="0"/>
                          </a:rPr>
                        </m:ctrlPr>
                      </m:fPr>
                      <m:num>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Receita</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bruta</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Inter</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Shop</m:t>
                        </m:r>
                      </m:num>
                      <m:den>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Volume</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transacionado</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no</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Marketplace</m:t>
                        </m:r>
                      </m:den>
                    </m:f>
                  </m:oMath>
                </m:oMathPara>
              </a14:m>
              <a:endParaRPr kumimoji="0" lang="en-US" sz="800" b="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Net Take Rate:</a:t>
              </a:r>
            </a:p>
            <a:p>
              <a:pPr marL="0" marR="0" lvl="0" indent="0" algn="l" defTabSz="4572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pt-BR" sz="800" b="0" i="1" u="none" strike="noStrike" kern="1200" cap="none" spc="0" normalizeH="0" baseline="0">
                            <a:ln>
                              <a:noFill/>
                            </a:ln>
                            <a:solidFill>
                              <a:schemeClr val="tx1"/>
                            </a:solidFill>
                            <a:effectLst/>
                            <a:uLnTx/>
                            <a:uFillTx/>
                            <a:latin typeface="Cambria Math" panose="02040503050406030204" pitchFamily="18" charset="0"/>
                          </a:rPr>
                        </m:ctrlPr>
                      </m:fPr>
                      <m:num>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Receita</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l</m:t>
                        </m:r>
                        <m:r>
                          <a:rPr kumimoji="0" lang="pt-BR" sz="800" b="0" i="0" u="none" strike="noStrike" kern="1200" cap="none" spc="0" normalizeH="0" baseline="0">
                            <a:ln>
                              <a:noFill/>
                            </a:ln>
                            <a:solidFill>
                              <a:schemeClr val="tx1"/>
                            </a:solidFill>
                            <a:effectLst/>
                            <a:uLnTx/>
                            <a:uFillTx/>
                            <a:latin typeface="Cambria Math" panose="02040503050406030204" pitchFamily="18" charset="0"/>
                          </a:rPr>
                          <m:t>í</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quida</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Inter</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Shop</m:t>
                        </m:r>
                      </m:num>
                      <m:den>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Volume</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transacionado</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no</m:t>
                        </m:r>
                        <m:r>
                          <a:rPr kumimoji="0" lang="pt-BR" sz="800" b="0" i="0" u="none" strike="noStrike" kern="1200" cap="none" spc="0" normalizeH="0" baseline="0">
                            <a:ln>
                              <a:noFill/>
                            </a:ln>
                            <a:solidFill>
                              <a:schemeClr val="tx1"/>
                            </a:solidFill>
                            <a:effectLst/>
                            <a:uLnTx/>
                            <a:uFillTx/>
                            <a:latin typeface="Cambria Math" panose="02040503050406030204" pitchFamily="18" charset="0"/>
                          </a:rPr>
                          <m:t> </m:t>
                        </m:r>
                        <m:r>
                          <m:rPr>
                            <m:sty m:val="p"/>
                          </m:rPr>
                          <a:rPr kumimoji="0" lang="pt-BR" sz="800" b="0" i="0" u="none" strike="noStrike" kern="1200" cap="none" spc="0" normalizeH="0" baseline="0">
                            <a:ln>
                              <a:noFill/>
                            </a:ln>
                            <a:solidFill>
                              <a:schemeClr val="tx1"/>
                            </a:solidFill>
                            <a:effectLst/>
                            <a:uLnTx/>
                            <a:uFillTx/>
                            <a:latin typeface="Cambria Math" panose="02040503050406030204" pitchFamily="18" charset="0"/>
                          </a:rPr>
                          <m:t>Marketplace</m:t>
                        </m:r>
                      </m:den>
                    </m:f>
                  </m:oMath>
                </m:oMathPara>
              </a14:m>
              <a:endParaRPr kumimoji="0" lang="pt-BR" sz="800" b="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xdr:txBody>
        </xdr:sp>
      </mc:Choice>
      <mc:Fallback xmlns="">
        <xdr:sp macro="" textlink="">
          <xdr:nvSpPr>
            <xdr:cNvPr id="45" name="Retângulo 9">
              <a:extLst>
                <a:ext uri="{FF2B5EF4-FFF2-40B4-BE49-F238E27FC236}">
                  <a16:creationId xmlns:a16="http://schemas.microsoft.com/office/drawing/2014/main" id="{48BBF3E4-0244-D8A6-4858-29E2132863B8}"/>
                </a:ext>
              </a:extLst>
            </xdr:cNvPr>
            <xdr:cNvSpPr/>
          </xdr:nvSpPr>
          <xdr:spPr>
            <a:xfrm>
              <a:off x="6741541" y="765095"/>
              <a:ext cx="5772853" cy="48644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solidFill>
                    <a:schemeClr val="tx1"/>
                  </a:solidFill>
                  <a:latin typeface="Calibri" panose="020F0502020204030204" pitchFamily="34" charset="0"/>
                  <a:cs typeface="Calibri" panose="020F0502020204030204" pitchFamily="34" charset="0"/>
                </a:rPr>
                <a:t>Clientes ativos:</a:t>
              </a:r>
            </a:p>
            <a:p>
              <a:pPr algn="just"/>
              <a:r>
                <a:rPr lang="en-US" sz="800">
                  <a:solidFill>
                    <a:schemeClr val="tx1"/>
                  </a:solidFill>
                  <a:latin typeface="Calibri" panose="020F0502020204030204" pitchFamily="34" charset="0"/>
                  <a:ea typeface="Inter Light BETA" panose="020B0402030000000004" pitchFamily="34" charset="0"/>
                  <a:cs typeface="Calibri" panose="020F0502020204030204" pitchFamily="34" charset="0"/>
                </a:rPr>
                <a:t>Nós definimos um cliente ativo como um cliente em qualquer data que foi a fonte de qualquer quantia de receita para nós nos últimos três meses e/ou um cliente que usou produtos nos últimos três meses. Para o Inter Seguros, calculamos o número de clientes ativos para a nossa vertical de corretagem de seguros como o número de beneficiários de apólices de seguro efetivas em uma determinada data. Para a Inter Invest, calculamos o número de clientes ativos como o número de contas individuais que investiram em nossa plataforma durante o período aplicável. </a:t>
              </a:r>
            </a:p>
            <a:p>
              <a:endParaRPr lang="en-US" sz="800" b="1">
                <a:solidFill>
                  <a:schemeClr val="tx1"/>
                </a:solidFill>
                <a:latin typeface="Calibri" panose="020F0502020204030204" pitchFamily="34" charset="0"/>
                <a:cs typeface="Calibri" panose="020F0502020204030204" pitchFamily="34" charset="0"/>
              </a:endParaRPr>
            </a:p>
            <a:p>
              <a:endParaRPr lang="en-US" sz="800" b="1">
                <a:solidFill>
                  <a:schemeClr val="tx1"/>
                </a:solidFill>
                <a:latin typeface="Calibri" panose="020F0502020204030204" pitchFamily="34" charset="0"/>
                <a:cs typeface="Calibri" panose="020F0502020204030204" pitchFamily="34" charset="0"/>
              </a:endParaRPr>
            </a:p>
            <a:p>
              <a:endParaRPr lang="en-US" sz="800" b="1">
                <a:solidFill>
                  <a:schemeClr val="tx1"/>
                </a:solidFill>
                <a:latin typeface="Calibri" panose="020F0502020204030204" pitchFamily="34" charset="0"/>
                <a:cs typeface="Calibri" panose="020F0502020204030204" pitchFamily="34" charset="0"/>
              </a:endParaRPr>
            </a:p>
            <a:p>
              <a:r>
                <a:rPr lang="en-US" sz="800" b="1">
                  <a:solidFill>
                    <a:schemeClr val="tx1"/>
                  </a:solidFill>
                  <a:latin typeface="Calibri" panose="020F0502020204030204" pitchFamily="34" charset="0"/>
                  <a:cs typeface="Calibri" panose="020F0502020204030204" pitchFamily="34" charset="0"/>
                </a:rPr>
                <a:t>Clientes ativos por colaborador:</a:t>
              </a:r>
            </a:p>
            <a:p>
              <a:endParaRPr lang="en-US" sz="800" b="1">
                <a:solidFill>
                  <a:schemeClr val="tx1"/>
                </a:solidFill>
                <a:latin typeface="Calibri" panose="020F0502020204030204" pitchFamily="34" charset="0"/>
                <a:cs typeface="Calibri" panose="020F0502020204030204" pitchFamily="34" charset="0"/>
              </a:endParaRPr>
            </a:p>
            <a:p>
              <a:pPr/>
              <a:r>
                <a:rPr lang="en-US" sz="800" i="0">
                  <a:solidFill>
                    <a:schemeClr val="tx1"/>
                  </a:solidFill>
                  <a:latin typeface="Cambria Math" panose="02040503050406030204" pitchFamily="18" charset="0"/>
                  <a:cs typeface="Sora" pitchFamily="2" charset="0"/>
                </a:rPr>
                <a:t>(</a:t>
              </a:r>
              <a:r>
                <a:rPr lang="pt-BR" sz="800" b="0" i="0">
                  <a:solidFill>
                    <a:schemeClr val="tx1"/>
                  </a:solidFill>
                  <a:latin typeface="Cambria Math" panose="02040503050406030204" pitchFamily="18" charset="0"/>
                  <a:cs typeface="Sora" pitchFamily="2" charset="0"/>
                </a:rPr>
                <a:t>N</a:t>
              </a:r>
              <a:r>
                <a:rPr lang="pt-BR" sz="800" i="0">
                  <a:solidFill>
                    <a:schemeClr val="tx1"/>
                  </a:solidFill>
                  <a:latin typeface="Cambria Math" panose="02040503050406030204" pitchFamily="18" charset="0"/>
                  <a:cs typeface="Sora" pitchFamily="2" charset="0"/>
                </a:rPr>
                <a:t>ú</a:t>
              </a:r>
              <a:r>
                <a:rPr lang="pt-BR" sz="800" b="0" i="0">
                  <a:solidFill>
                    <a:schemeClr val="tx1"/>
                  </a:solidFill>
                  <a:latin typeface="Cambria Math" panose="02040503050406030204" pitchFamily="18" charset="0"/>
                  <a:cs typeface="Sora" pitchFamily="2" charset="0"/>
                </a:rPr>
                <a:t>mero de clientes ativos no trimestre </a:t>
              </a:r>
              <a:r>
                <a:rPr lang="en-US" sz="800" b="0" i="0">
                  <a:solidFill>
                    <a:schemeClr val="tx1"/>
                  </a:solidFill>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Número total de colaboradores no trimestre, incluindo estagiários</a:t>
              </a:r>
              <a:r>
                <a:rPr lang="en-US" sz="800" i="0">
                  <a:solidFill>
                    <a:schemeClr val="tx1"/>
                  </a:solidFill>
                  <a:latin typeface="Cambria Math" panose="02040503050406030204" pitchFamily="18" charset="0"/>
                  <a:cs typeface="Sora" pitchFamily="2" charset="0"/>
                </a:rPr>
                <a:t>)</a:t>
              </a:r>
              <a:r>
                <a:rPr lang="pt-BR" sz="800" b="0" i="0">
                  <a:solidFill>
                    <a:schemeClr val="tx1"/>
                  </a:solidFill>
                  <a:latin typeface="Cambria Math" panose="02040503050406030204" pitchFamily="18" charset="0"/>
                  <a:cs typeface="Sora" pitchFamily="2" charset="0"/>
                </a:rPr>
                <a:t>  </a:t>
              </a: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Custo de aquisição de cliente (CAC):</a:t>
              </a:r>
            </a:p>
            <a:p>
              <a:pPr marL="0" marR="0" lvl="0" indent="0" algn="just" defTabSz="4572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rPr>
                <a:t>O custo médio para adicionar um cliente à base, considerando as despesas operacionais para abertura de conta</a:t>
              </a:r>
              <a:r>
                <a:rPr lang="en-US" sz="800">
                  <a:solidFill>
                    <a:schemeClr val="tx1"/>
                  </a:solidFill>
                  <a:latin typeface="Calibri" panose="020F0502020204030204" pitchFamily="34" charset="0"/>
                  <a:ea typeface="Inter Light BETA" panose="020B0402030000000004" pitchFamily="34" charset="0"/>
                  <a:cs typeface="Calibri" panose="020F0502020204030204" pitchFamily="34" charset="0"/>
                </a:rPr>
                <a:t>, </a:t>
              </a:r>
              <a:r>
                <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rPr>
                <a:t>como pessoal de integração, gravação e envio de cartões, e despesas de marketing digital com foco na captação de clientes dividido pelo número de contas abertas no trimestre.</a:t>
              </a: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0" i="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Gross Take Rate:</a:t>
              </a: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pt-BR" sz="800" b="0" i="0" u="none" strike="noStrike" kern="1200" cap="none" spc="0" normalizeH="0" baseline="0">
                  <a:ln>
                    <a:noFill/>
                  </a:ln>
                  <a:solidFill>
                    <a:schemeClr val="tx1"/>
                  </a:solidFill>
                  <a:effectLst/>
                  <a:uLnTx/>
                  <a:uFillTx/>
                  <a:latin typeface="Cambria Math" panose="02040503050406030204" pitchFamily="18" charset="0"/>
                </a:rPr>
                <a:t>(Receita bruta Inter Shop)/(Volume transacionado no Marketplace)</a:t>
              </a:r>
              <a:endParaRPr kumimoji="0" lang="en-US" sz="800" b="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schemeClr val="tx1"/>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rPr>
                <a:t>Net Take Rate:</a:t>
              </a: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pt-BR" sz="800" b="0" i="0" u="none" strike="noStrike" kern="1200" cap="none" spc="0" normalizeH="0" baseline="0">
                  <a:ln>
                    <a:noFill/>
                  </a:ln>
                  <a:solidFill>
                    <a:schemeClr val="tx1"/>
                  </a:solidFill>
                  <a:effectLst/>
                  <a:uLnTx/>
                  <a:uFillTx/>
                  <a:latin typeface="Cambria Math" panose="02040503050406030204" pitchFamily="18" charset="0"/>
                </a:rPr>
                <a:t>(Receita líquida Inter Shop)/(Volume transacionado no Marketplace)</a:t>
              </a:r>
              <a:endParaRPr kumimoji="0" lang="pt-BR" sz="800" b="0" u="none" strike="noStrike" kern="1200" cap="none" spc="0" normalizeH="0" baseline="0">
                <a:ln>
                  <a:noFill/>
                </a:ln>
                <a:solidFill>
                  <a:schemeClr val="tx1"/>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0" u="none" strike="noStrike" kern="1200" cap="none" spc="0" normalizeH="0" baseline="0">
                <a:ln>
                  <a:noFill/>
                </a:ln>
                <a:solidFill>
                  <a:schemeClr val="tx1"/>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xdr:txBody>
        </xdr:sp>
      </mc:Fallback>
    </mc:AlternateContent>
    <xdr:clientData/>
  </xdr:twoCellAnchor>
  <xdr:twoCellAnchor>
    <xdr:from>
      <xdr:col>8</xdr:col>
      <xdr:colOff>135271</xdr:colOff>
      <xdr:row>27</xdr:row>
      <xdr:rowOff>173182</xdr:rowOff>
    </xdr:from>
    <xdr:to>
      <xdr:col>15</xdr:col>
      <xdr:colOff>111553</xdr:colOff>
      <xdr:row>47</xdr:row>
      <xdr:rowOff>78418</xdr:rowOff>
    </xdr:to>
    <mc:AlternateContent xmlns:mc="http://schemas.openxmlformats.org/markup-compatibility/2006" xmlns:a14="http://schemas.microsoft.com/office/drawing/2010/main">
      <mc:Choice Requires="a14">
        <xdr:sp macro="" textlink="">
          <xdr:nvSpPr>
            <xdr:cNvPr id="46" name="Retângulo 9">
              <a:extLst>
                <a:ext uri="{FF2B5EF4-FFF2-40B4-BE49-F238E27FC236}">
                  <a16:creationId xmlns:a16="http://schemas.microsoft.com/office/drawing/2014/main" id="{00000000-0008-0000-1600-00002E000000}"/>
                </a:ext>
              </a:extLst>
            </xdr:cNvPr>
            <xdr:cNvSpPr/>
          </xdr:nvSpPr>
          <xdr:spPr>
            <a:xfrm>
              <a:off x="6831635" y="5628409"/>
              <a:ext cx="5835600" cy="394614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endParaRPr lang="en-US" sz="800" b="1">
                <a:solidFill>
                  <a:prstClr val="black"/>
                </a:solidFill>
                <a:latin typeface="Calibri" panose="020F0502020204030204" pitchFamily="34" charset="0"/>
                <a:cs typeface="Calibri" panose="020F0502020204030204" pitchFamily="34" charset="0"/>
              </a:endParaRPr>
            </a:p>
            <a:p>
              <a:pPr algn="just"/>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Taxa de ativação:</a:t>
              </a:r>
            </a:p>
            <a:p>
              <a:pPr algn="just"/>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cs typeface="Sora" pitchFamily="2" charset="0"/>
                          </a:rPr>
                        </m:ctrlPr>
                      </m:fPr>
                      <m:num>
                        <m:r>
                          <m:rPr>
                            <m:sty m:val="p"/>
                          </m:rPr>
                          <a:rPr lang="pt-BR" sz="800" i="0">
                            <a:latin typeface="Cambria Math" panose="02040503050406030204" pitchFamily="18" charset="0"/>
                            <a:cs typeface="Sora" pitchFamily="2" charset="0"/>
                          </a:rPr>
                          <m:t>N</m:t>
                        </m:r>
                        <m:r>
                          <a:rPr lang="pt-BR" sz="800" i="0">
                            <a:latin typeface="Cambria Math" panose="02040503050406030204" pitchFamily="18" charset="0"/>
                            <a:cs typeface="Sora" pitchFamily="2" charset="0"/>
                          </a:rPr>
                          <m:t>ú</m:t>
                        </m:r>
                        <m:r>
                          <m:rPr>
                            <m:sty m:val="p"/>
                          </m:rPr>
                          <a:rPr lang="pt-BR" sz="800" b="0" i="0">
                            <a:latin typeface="Cambria Math" panose="02040503050406030204" pitchFamily="18" charset="0"/>
                            <a:cs typeface="Sora" pitchFamily="2" charset="0"/>
                          </a:rPr>
                          <m:t>mero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ativos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no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final</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trimestre</m:t>
                        </m:r>
                      </m:num>
                      <m:den>
                        <m:r>
                          <m:rPr>
                            <m:sty m:val="p"/>
                          </m:rPr>
                          <a:rPr lang="pt-BR" sz="800" i="0">
                            <a:solidFill>
                              <a:schemeClr val="tx1"/>
                            </a:solidFill>
                            <a:latin typeface="Cambria Math" panose="02040503050406030204" pitchFamily="18" charset="0"/>
                            <a:cs typeface="Sora" pitchFamily="2" charset="0"/>
                          </a:rPr>
                          <m:t>N</m:t>
                        </m:r>
                        <m:r>
                          <a:rPr lang="pt-BR" sz="800" i="0">
                            <a:latin typeface="Cambria Math" panose="02040503050406030204" pitchFamily="18" charset="0"/>
                            <a:cs typeface="Sora" pitchFamily="2" charset="0"/>
                          </a:rPr>
                          <m:t>ú</m:t>
                        </m:r>
                        <m:r>
                          <m:rPr>
                            <m:sty m:val="p"/>
                          </m:rPr>
                          <a:rPr lang="pt-BR" sz="800" b="0" i="0">
                            <a:latin typeface="Cambria Math" panose="02040503050406030204" pitchFamily="18" charset="0"/>
                            <a:cs typeface="Sora" pitchFamily="2" charset="0"/>
                          </a:rPr>
                          <m:t>mero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total</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no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final</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trimestre</m:t>
                        </m:r>
                      </m:den>
                    </m:f>
                  </m:oMath>
                </m:oMathPara>
              </a14:m>
              <a:endParaRPr kumimoji="0" lang="en-US" sz="800" b="1"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r>
                <a:rPr lang="en-US" sz="800" b="1">
                  <a:solidFill>
                    <a:prstClr val="black"/>
                  </a:solidFill>
                  <a:latin typeface="Calibri" panose="020F0502020204030204" pitchFamily="34" charset="0"/>
                  <a:cs typeface="Calibri" panose="020F0502020204030204" pitchFamily="34" charset="0"/>
                </a:rPr>
                <a:t>T</a:t>
              </a:r>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PV de Cartões + PIX:</a:t>
              </a:r>
            </a:p>
            <a:p>
              <a:pPr algn="just"/>
              <a:r>
                <a:rPr lang="en-US" sz="800">
                  <a:latin typeface="Calibri" panose="020F0502020204030204" pitchFamily="34" charset="0"/>
                  <a:ea typeface="Inter Light BETA" panose="020B0402030000000004" pitchFamily="34" charset="0"/>
                  <a:cs typeface="Calibri" panose="020F0502020204030204" pitchFamily="34" charset="0"/>
                </a:rPr>
                <a:t>Volumes de transações PIX, débito e crédito e saques de um determinado período. O PIX é uma solução do Banco Central do Brasil para realizar pagamentos instantâneos entre bancos e instituições financeiras no Brasil. </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lumMod val="85000"/>
                    <a:lumOff val="15000"/>
                  </a:prstClr>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algn="just"/>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TPV de Cartões + PIX por cliente ativo:</a:t>
              </a:r>
            </a:p>
            <a:p>
              <a:pPr algn="just"/>
              <a:r>
                <a:rPr lang="en-US" sz="800">
                  <a:latin typeface="Calibri" panose="020F0502020204030204" pitchFamily="34" charset="0"/>
                  <a:ea typeface="Inter Light BETA" panose="020B0402030000000004" pitchFamily="34" charset="0"/>
                  <a:cs typeface="Calibri" panose="020F0502020204030204" pitchFamily="34" charset="0"/>
                </a:rPr>
                <a:t>TPV de Cartões+PIX de um determinado período dividido pelo número de clientes ativos referente ao último dia do período. </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prstClr val="black"/>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Volume transacionado no marketplace (GMV):</a:t>
              </a:r>
            </a:p>
            <a:p>
              <a:pPr algn="just"/>
              <a:r>
                <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rPr>
                <a:t>O valor total de todas as vendas feitas ou iniciadas por meio de nossa plataforma Inter Shop &amp; Commerce Plus, gerenciada pela Inter Shop &amp; Commerce Plus.</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xdr:txBody>
        </xdr:sp>
      </mc:Choice>
      <mc:Fallback xmlns="">
        <xdr:sp macro="" textlink="">
          <xdr:nvSpPr>
            <xdr:cNvPr id="46" name="Retângulo 9">
              <a:extLst>
                <a:ext uri="{FF2B5EF4-FFF2-40B4-BE49-F238E27FC236}">
                  <a16:creationId xmlns:a16="http://schemas.microsoft.com/office/drawing/2014/main" id="{33500F7D-DE20-3699-A953-DA8ABAFC9F69}"/>
                </a:ext>
              </a:extLst>
            </xdr:cNvPr>
            <xdr:cNvSpPr/>
          </xdr:nvSpPr>
          <xdr:spPr>
            <a:xfrm>
              <a:off x="6831635" y="5628409"/>
              <a:ext cx="5835600" cy="394614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endParaRPr lang="en-US" sz="800" b="1">
                <a:solidFill>
                  <a:prstClr val="black"/>
                </a:solidFill>
                <a:latin typeface="Calibri" panose="020F0502020204030204" pitchFamily="34" charset="0"/>
                <a:cs typeface="Calibri" panose="020F0502020204030204" pitchFamily="34" charset="0"/>
              </a:endParaRPr>
            </a:p>
            <a:p>
              <a:pPr algn="just"/>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Taxa de ativação:</a:t>
              </a:r>
            </a:p>
            <a:p>
              <a:pPr algn="just"/>
              <a:r>
                <a:rPr lang="en-US" sz="800" i="0">
                  <a:solidFill>
                    <a:schemeClr val="tx1"/>
                  </a:solidFill>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Nú</a:t>
              </a:r>
              <a:r>
                <a:rPr lang="pt-BR" sz="800" b="0" i="0">
                  <a:latin typeface="Cambria Math" panose="02040503050406030204" pitchFamily="18" charset="0"/>
                  <a:cs typeface="Sora" pitchFamily="2" charset="0"/>
                </a:rPr>
                <a:t>mero de clientes ativos no final do trimestre</a:t>
              </a:r>
              <a:r>
                <a:rPr lang="en-US" sz="800" b="0" i="0">
                  <a:solidFill>
                    <a:schemeClr val="tx1"/>
                  </a:solidFill>
                  <a:latin typeface="Cambria Math" panose="02040503050406030204" pitchFamily="18" charset="0"/>
                  <a:cs typeface="Sora" pitchFamily="2" charset="0"/>
                </a:rPr>
                <a:t>)/(</a:t>
              </a:r>
              <a:r>
                <a:rPr lang="pt-BR" sz="800" i="0">
                  <a:solidFill>
                    <a:schemeClr val="tx1"/>
                  </a:solidFill>
                  <a:latin typeface="Cambria Math" panose="02040503050406030204" pitchFamily="18" charset="0"/>
                  <a:cs typeface="Sora" pitchFamily="2" charset="0"/>
                </a:rPr>
                <a:t>N</a:t>
              </a:r>
              <a:r>
                <a:rPr lang="pt-BR" sz="800" i="0">
                  <a:latin typeface="Cambria Math" panose="02040503050406030204" pitchFamily="18" charset="0"/>
                  <a:cs typeface="Sora" pitchFamily="2" charset="0"/>
                </a:rPr>
                <a:t>ú</a:t>
              </a:r>
              <a:r>
                <a:rPr lang="pt-BR" sz="800" b="0" i="0">
                  <a:latin typeface="Cambria Math" panose="02040503050406030204" pitchFamily="18" charset="0"/>
                  <a:cs typeface="Sora" pitchFamily="2" charset="0"/>
                </a:rPr>
                <a:t>mero total de clientes no final do trimestre</a:t>
              </a:r>
              <a:r>
                <a:rPr lang="en-US" sz="800" b="0" i="0">
                  <a:solidFill>
                    <a:schemeClr val="tx1"/>
                  </a:solidFill>
                  <a:latin typeface="Cambria Math" panose="02040503050406030204" pitchFamily="18" charset="0"/>
                  <a:cs typeface="Sora" pitchFamily="2" charset="0"/>
                </a:rPr>
                <a:t>)</a:t>
              </a:r>
              <a:endParaRPr kumimoji="0" lang="en-US" sz="800" b="1"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r>
                <a:rPr lang="en-US" sz="800" b="1">
                  <a:solidFill>
                    <a:prstClr val="black"/>
                  </a:solidFill>
                  <a:latin typeface="Calibri" panose="020F0502020204030204" pitchFamily="34" charset="0"/>
                  <a:cs typeface="Calibri" panose="020F0502020204030204" pitchFamily="34" charset="0"/>
                </a:rPr>
                <a:t>T</a:t>
              </a:r>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PV de Cartões + PIX:</a:t>
              </a:r>
            </a:p>
            <a:p>
              <a:pPr algn="just"/>
              <a:r>
                <a:rPr lang="en-US" sz="800">
                  <a:latin typeface="Calibri" panose="020F0502020204030204" pitchFamily="34" charset="0"/>
                  <a:ea typeface="Inter Light BETA" panose="020B0402030000000004" pitchFamily="34" charset="0"/>
                  <a:cs typeface="Calibri" panose="020F0502020204030204" pitchFamily="34" charset="0"/>
                </a:rPr>
                <a:t>Volumes de transações PIX, débito e crédito e saques de um determinado período. O PIX é uma solução do Banco Central do Brasil para realizar pagamentos instantâneos entre bancos e instituições financeiras no Brasil. </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lumMod val="85000"/>
                    <a:lumOff val="15000"/>
                  </a:prstClr>
                </a:solidFill>
                <a:effectLst/>
                <a:uLnTx/>
                <a:uFillTx/>
                <a:latin typeface="Calibri" panose="020F0502020204030204" pitchFamily="34" charset="0"/>
                <a:ea typeface="Inter Light BETA" panose="020B0402030000000004" pitchFamily="34" charset="0"/>
                <a:cs typeface="Calibri" panose="020F0502020204030204" pitchFamily="34" charset="0"/>
              </a:endParaRPr>
            </a:p>
            <a:p>
              <a:pPr algn="just"/>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algn="just"/>
              <a:endParaRPr lang="en-US" sz="800" b="1">
                <a:solidFill>
                  <a:prstClr val="black"/>
                </a:solidFill>
                <a:latin typeface="Calibri" panose="020F0502020204030204" pitchFamily="34" charset="0"/>
                <a:cs typeface="Calibri" panose="020F0502020204030204" pitchFamily="34" charset="0"/>
              </a:endParaRPr>
            </a:p>
            <a:p>
              <a:pPr algn="just"/>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TPV de Cartões + PIX por cliente ativo:</a:t>
              </a:r>
            </a:p>
            <a:p>
              <a:pPr algn="just"/>
              <a:r>
                <a:rPr lang="en-US" sz="800">
                  <a:latin typeface="Calibri" panose="020F0502020204030204" pitchFamily="34" charset="0"/>
                  <a:ea typeface="Inter Light BETA" panose="020B0402030000000004" pitchFamily="34" charset="0"/>
                  <a:cs typeface="Calibri" panose="020F0502020204030204" pitchFamily="34" charset="0"/>
                </a:rPr>
                <a:t>TPV de Cartões+PIX de um determinado período dividido pelo número de clientes ativos referente ao último dia do período. </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endParaRPr lang="en-US" sz="800" b="1">
                <a:solidFill>
                  <a:prstClr val="black"/>
                </a:solidFill>
                <a:latin typeface="Calibri" panose="020F0502020204030204" pitchFamily="34" charset="0"/>
                <a:cs typeface="Calibri" panose="020F0502020204030204" pitchFamily="34" charset="0"/>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rPr>
                <a:t>Volume transacionado no marketplace (GMV):</a:t>
              </a:r>
            </a:p>
            <a:p>
              <a:pPr algn="just"/>
              <a:r>
                <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rPr>
                <a:t>O valor total de todas as vendas feitas ou iniciadas por meio de nossa plataforma Inter Shop &amp; Commerce Plus, gerenciada pela Inter Shop &amp; Commerce Plus.</a:t>
              </a:r>
              <a:endParaRPr kumimoji="0" lang="en-US" sz="800" b="1" i="0" u="none" strike="noStrike" kern="1200" cap="none" spc="0" normalizeH="0" baseline="0">
                <a:ln>
                  <a:noFill/>
                </a:ln>
                <a:solidFill>
                  <a:prstClr val="black"/>
                </a:solidFill>
                <a:effectLst/>
                <a:uLnTx/>
                <a:uFillTx/>
                <a:latin typeface="Calibri" panose="020F0502020204030204" pitchFamily="34" charset="0"/>
                <a:cs typeface="Calibri" panose="020F0502020204030204" pitchFamily="34" charset="0"/>
              </a:endParaRPr>
            </a:p>
          </xdr:txBody>
        </xdr:sp>
      </mc:Fallback>
    </mc:AlternateContent>
    <xdr:clientData/>
  </xdr:twoCellAnchor>
  <xdr:twoCellAnchor>
    <xdr:from>
      <xdr:col>8</xdr:col>
      <xdr:colOff>86591</xdr:colOff>
      <xdr:row>52</xdr:row>
      <xdr:rowOff>57727</xdr:rowOff>
    </xdr:from>
    <xdr:to>
      <xdr:col>15</xdr:col>
      <xdr:colOff>61618</xdr:colOff>
      <xdr:row>80</xdr:row>
      <xdr:rowOff>144512</xdr:rowOff>
    </xdr:to>
    <mc:AlternateContent xmlns:mc="http://schemas.openxmlformats.org/markup-compatibility/2006" xmlns:a14="http://schemas.microsoft.com/office/drawing/2010/main">
      <mc:Choice Requires="a14">
        <xdr:sp macro="" textlink="">
          <xdr:nvSpPr>
            <xdr:cNvPr id="47" name="Retângulo 9">
              <a:extLst>
                <a:ext uri="{FF2B5EF4-FFF2-40B4-BE49-F238E27FC236}">
                  <a16:creationId xmlns:a16="http://schemas.microsoft.com/office/drawing/2014/main" id="{00000000-0008-0000-1600-00002F000000}"/>
                </a:ext>
              </a:extLst>
            </xdr:cNvPr>
            <xdr:cNvSpPr/>
          </xdr:nvSpPr>
          <xdr:spPr>
            <a:xfrm>
              <a:off x="6712678" y="9628741"/>
              <a:ext cx="5772853" cy="52404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BR" sz="800" b="1">
                  <a:latin typeface="Calibri" panose="020F0502020204030204" pitchFamily="34" charset="0"/>
                  <a:cs typeface="Calibri" panose="020F0502020204030204" pitchFamily="34" charset="0"/>
                </a:rPr>
                <a:t>Antecipação de recebíveis de cartão de crédito:</a:t>
              </a:r>
            </a:p>
            <a:p>
              <a:pPr algn="just"/>
              <a:r>
                <a:rPr lang="pt-BR" sz="800">
                  <a:latin typeface="Calibri" panose="020F0502020204030204" pitchFamily="34" charset="0"/>
                  <a:ea typeface="Inter" panose="020B0502030000000004" pitchFamily="34" charset="0"/>
                  <a:cs typeface="Calibri" panose="020F0502020204030204" pitchFamily="34" charset="0"/>
                </a:rPr>
                <a:t>Divulgados na nota 9.a das Demonstrações Financeiras, na linha "Empréstimos e adiantamentos a instituições financeiras”.</a:t>
              </a: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ARPAC bruto</a:t>
              </a:r>
              <a:r>
                <a:rPr lang="en-US" sz="800" b="1">
                  <a:solidFill>
                    <a:schemeClr val="tx1"/>
                  </a:solidFill>
                  <a:latin typeface="Calibri" panose="020F0502020204030204" pitchFamily="34" charset="0"/>
                  <a:cs typeface="Calibri" panose="020F0502020204030204" pitchFamily="34" charset="0"/>
                </a:rPr>
                <a:t>:</a:t>
              </a:r>
            </a:p>
            <a:p>
              <a:pPr algn="ctr"/>
              <a:br>
                <a:rPr lang="en-US" sz="800" b="1">
                  <a:solidFill>
                    <a:schemeClr val="tx1"/>
                  </a:solidFill>
                  <a:latin typeface="Calibri" panose="020F0502020204030204" pitchFamily="34" charset="0"/>
                  <a:cs typeface="Calibri" panose="020F0502020204030204" pitchFamily="34" charset="0"/>
                </a:rPr>
              </a:br>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cs typeface="Sora" pitchFamily="2" charset="0"/>
                          </a:rPr>
                        </m:ctrlPr>
                      </m:fPr>
                      <m:num>
                        <m:eqArr>
                          <m:eqArrPr>
                            <m:ctrlPr>
                              <a:rPr lang="en-US" sz="800" i="1">
                                <a:latin typeface="Cambria Math" panose="02040503050406030204" pitchFamily="18" charset="0"/>
                                <a:cs typeface="Sora" pitchFamily="2" charset="0"/>
                              </a:rPr>
                            </m:ctrlPr>
                          </m:eqArrPr>
                          <m:e>
                            <m:r>
                              <m:rPr>
                                <m:sty m:val="p"/>
                              </m:rPr>
                              <a:rPr lang="en-US" sz="800">
                                <a:latin typeface="Cambria Math" panose="02040503050406030204" pitchFamily="18" charset="0"/>
                                <a:cs typeface="Sora" pitchFamily="2" charset="0"/>
                              </a:rPr>
                              <m:t>Receita</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juros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Receitas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servi</m:t>
                            </m:r>
                            <m:r>
                              <a:rPr lang="en-US" sz="800">
                                <a:latin typeface="Cambria Math" panose="02040503050406030204" pitchFamily="18" charset="0"/>
                                <a:cs typeface="Sora" pitchFamily="2" charset="0"/>
                              </a:rPr>
                              <m:t>ç</m:t>
                            </m:r>
                            <m:r>
                              <m:rPr>
                                <m:sty m:val="p"/>
                              </m:rPr>
                              <a:rPr lang="en-US" sz="800">
                                <a:latin typeface="Cambria Math" panose="02040503050406030204" pitchFamily="18" charset="0"/>
                                <a:cs typeface="Sora" pitchFamily="2" charset="0"/>
                              </a:rPr>
                              <m:t>os</m:t>
                            </m:r>
                            <m:r>
                              <a:rPr lang="pt-BR"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comiss</m:t>
                            </m:r>
                            <m:r>
                              <a:rPr lang="en-US" sz="800">
                                <a:latin typeface="Cambria Math" panose="02040503050406030204" pitchFamily="18" charset="0"/>
                                <a:cs typeface="Sora" pitchFamily="2" charset="0"/>
                              </a:rPr>
                              <m:t>õ</m:t>
                            </m:r>
                            <m:r>
                              <m:rPr>
                                <m:sty m:val="p"/>
                              </m:rPr>
                              <a:rPr lang="en-US" sz="800">
                                <a:latin typeface="Cambria Math" panose="02040503050406030204" pitchFamily="18" charset="0"/>
                                <a:cs typeface="Sora" pitchFamily="2" charset="0"/>
                              </a:rPr>
                              <m:t>es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Despesas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cashback</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InterRewards</m:t>
                            </m:r>
                            <m:r>
                              <m:rPr>
                                <m:nor/>
                              </m:rPr>
                              <a:rPr lang="pt-BR" sz="800">
                                <a:latin typeface="Calibri" panose="020F0502020204030204" pitchFamily="34" charset="0"/>
                                <a:cs typeface="Calibri" panose="020F0502020204030204" pitchFamily="34" charset="0"/>
                              </a:rPr>
                              <m:t>) </m:t>
                            </m:r>
                            <m:r>
                              <a:rPr lang="pt-BR" sz="800" i="1">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Re</m:t>
                            </m:r>
                            <m:r>
                              <m:rPr>
                                <m:sty m:val="p"/>
                              </m:rPr>
                              <a:rPr lang="pt-BR" sz="800">
                                <a:latin typeface="Cambria Math" panose="02040503050406030204" pitchFamily="18" charset="0"/>
                                <a:cs typeface="Sora" pitchFamily="2" charset="0"/>
                              </a:rPr>
                              <m:t>sultado</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t</m:t>
                            </m:r>
                            <m:r>
                              <a:rPr lang="en-US" sz="800">
                                <a:latin typeface="Cambria Math" panose="02040503050406030204" pitchFamily="18" charset="0"/>
                                <a:cs typeface="Sora" pitchFamily="2" charset="0"/>
                              </a:rPr>
                              <m:t>í</m:t>
                            </m:r>
                            <m:r>
                              <m:rPr>
                                <m:sty m:val="p"/>
                              </m:rPr>
                              <a:rPr lang="en-US" sz="800">
                                <a:latin typeface="Cambria Math" panose="02040503050406030204" pitchFamily="18" charset="0"/>
                                <a:cs typeface="Sora" pitchFamily="2" charset="0"/>
                              </a:rPr>
                              <m:t>tulos</m:t>
                            </m:r>
                            <m:r>
                              <a:rPr lang="en-US" sz="800">
                                <a:latin typeface="Cambria Math" panose="02040503050406030204" pitchFamily="18" charset="0"/>
                                <a:cs typeface="Sora" pitchFamily="2" charset="0"/>
                              </a:rPr>
                              <m:t> </m:t>
                            </m:r>
                          </m:e>
                          <m:e>
                            <m:r>
                              <m:rPr>
                                <m:sty m:val="p"/>
                              </m:rPr>
                              <a:rPr lang="en-US" sz="80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valores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mobili</m:t>
                            </m:r>
                            <m:r>
                              <a:rPr lang="en-US" sz="800">
                                <a:latin typeface="Cambria Math" panose="02040503050406030204" pitchFamily="18" charset="0"/>
                                <a:cs typeface="Sora" pitchFamily="2" charset="0"/>
                              </a:rPr>
                              <m:t>á</m:t>
                            </m:r>
                            <m:r>
                              <m:rPr>
                                <m:sty m:val="p"/>
                              </m:rPr>
                              <a:rPr lang="en-US" sz="800">
                                <a:latin typeface="Cambria Math" panose="02040503050406030204" pitchFamily="18" charset="0"/>
                                <a:cs typeface="Sora" pitchFamily="2" charset="0"/>
                              </a:rPr>
                              <m:t>rios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derivativos</m:t>
                            </m:r>
                            <m:r>
                              <a:rPr lang="pt-BR" sz="800">
                                <a:latin typeface="Cambria Math" panose="02040503050406030204" pitchFamily="18" charset="0"/>
                                <a:cs typeface="Sora" pitchFamily="2" charset="0"/>
                              </a:rPr>
                              <m:t>+</m:t>
                            </m:r>
                            <m:r>
                              <m:rPr>
                                <m:sty m:val="p"/>
                              </m:rPr>
                              <a:rPr lang="en-US" sz="800">
                                <a:latin typeface="Cambria Math" panose="02040503050406030204" pitchFamily="18" charset="0"/>
                                <a:cs typeface="Sora" pitchFamily="2" charset="0"/>
                              </a:rPr>
                              <m:t>Outras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receitas</m:t>
                            </m:r>
                            <m:r>
                              <a:rPr lang="en-US" sz="800">
                                <a:latin typeface="Cambria Math" panose="02040503050406030204" pitchFamily="18" charset="0"/>
                                <a:cs typeface="Sora" pitchFamily="2" charset="0"/>
                              </a:rPr>
                              <m:t> ÷3</m:t>
                            </m:r>
                            <m:r>
                              <m:rPr>
                                <m:nor/>
                              </m:rPr>
                              <a:rPr lang="pt-BR" sz="800">
                                <a:latin typeface="Calibri" panose="020F0502020204030204" pitchFamily="34" charset="0"/>
                                <a:cs typeface="Calibri" panose="020F0502020204030204" pitchFamily="34" charset="0"/>
                              </a:rPr>
                              <m:t> </m:t>
                            </m:r>
                          </m:e>
                        </m:eqArr>
                      </m:num>
                      <m:den>
                        <m:r>
                          <m:rPr>
                            <m:sty m:val="p"/>
                          </m:rPr>
                          <a:rPr lang="pt-BR" sz="800" b="0" i="0">
                            <a:solidFill>
                              <a:schemeClr val="tx1"/>
                            </a:solidFill>
                            <a:latin typeface="Cambria Math" panose="02040503050406030204" pitchFamily="18" charset="0"/>
                            <a:cs typeface="Sora" pitchFamily="2" charset="0"/>
                          </a:rPr>
                          <m:t>M</m:t>
                        </m:r>
                        <m:r>
                          <a:rPr lang="pt-BR" sz="800" i="0">
                            <a:latin typeface="Cambria Math" panose="02040503050406030204" pitchFamily="18" charset="0"/>
                            <a:cs typeface="Sora" pitchFamily="2" charset="0"/>
                          </a:rPr>
                          <m:t>é</m:t>
                        </m:r>
                        <m:r>
                          <m:rPr>
                            <m:sty m:val="p"/>
                          </m:rPr>
                          <a:rPr lang="pt-BR" sz="800" b="0" i="0">
                            <a:latin typeface="Cambria Math" panose="02040503050406030204" pitchFamily="18" charset="0"/>
                            <a:cs typeface="Sora" pitchFamily="2" charset="0"/>
                          </a:rPr>
                          <m:t>dia</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ativos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dos</m:t>
                        </m:r>
                        <m:r>
                          <a:rPr lang="pt-BR" sz="800" b="0" i="0">
                            <a:latin typeface="Cambria Math" panose="02040503050406030204" pitchFamily="18" charset="0"/>
                            <a:cs typeface="Sora" pitchFamily="2" charset="0"/>
                          </a:rPr>
                          <m:t> ú</m:t>
                        </m:r>
                        <m:r>
                          <m:rPr>
                            <m:sty m:val="p"/>
                          </m:rPr>
                          <a:rPr lang="pt-BR" sz="800" b="0" i="0">
                            <a:latin typeface="Cambria Math" panose="02040503050406030204" pitchFamily="18" charset="0"/>
                            <a:cs typeface="Sora" pitchFamily="2" charset="0"/>
                          </a:rPr>
                          <m:t>ltimos</m:t>
                        </m:r>
                        <m:r>
                          <a:rPr lang="pt-BR" sz="800" b="0" i="0">
                            <a:latin typeface="Cambria Math" panose="02040503050406030204" pitchFamily="18" charset="0"/>
                            <a:cs typeface="Sora" pitchFamily="2" charset="0"/>
                          </a:rPr>
                          <m:t> 2 </m:t>
                        </m:r>
                        <m:r>
                          <m:rPr>
                            <m:sty m:val="p"/>
                          </m:rPr>
                          <a:rPr lang="pt-BR" sz="800" b="0" i="0">
                            <a:latin typeface="Cambria Math" panose="02040503050406030204" pitchFamily="18" charset="0"/>
                            <a:cs typeface="Sora" pitchFamily="2" charset="0"/>
                          </a:rPr>
                          <m:t>trimestres</m:t>
                        </m:r>
                      </m:den>
                    </m:f>
                  </m:oMath>
                </m:oMathPara>
              </a14:m>
              <a:endParaRPr lang="en-US" sz="800" b="1">
                <a:solidFill>
                  <a:schemeClr val="tx1"/>
                </a:solidFill>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ARPAC líquido</a:t>
              </a:r>
              <a:r>
                <a:rPr lang="en-US" sz="800" b="1">
                  <a:solidFill>
                    <a:schemeClr val="tx1"/>
                  </a:solidFill>
                  <a:latin typeface="Calibri" panose="020F0502020204030204" pitchFamily="34" charset="0"/>
                  <a:cs typeface="Calibri" panose="020F0502020204030204" pitchFamily="34" charset="0"/>
                </a:rPr>
                <a:t>:</a:t>
              </a:r>
            </a:p>
            <a:p>
              <a:pPr algn="ctr"/>
              <a:br>
                <a:rPr lang="en-US" sz="800" b="1">
                  <a:solidFill>
                    <a:schemeClr val="tx1"/>
                  </a:solidFill>
                  <a:latin typeface="Calibri" panose="020F0502020204030204" pitchFamily="34" charset="0"/>
                  <a:cs typeface="Calibri" panose="020F0502020204030204" pitchFamily="34" charset="0"/>
                </a:rPr>
              </a:br>
              <a14:m>
                <m:oMathPara xmlns:m="http://schemas.openxmlformats.org/officeDocument/2006/math">
                  <m:oMathParaPr>
                    <m:jc m:val="centerGroup"/>
                  </m:oMathParaPr>
                  <m:oMath xmlns:m="http://schemas.openxmlformats.org/officeDocument/2006/math">
                    <m:f>
                      <m:fPr>
                        <m:ctrlPr>
                          <a:rPr lang="en-US" sz="800" i="1">
                            <a:solidFill>
                              <a:schemeClr val="tx1"/>
                            </a:solidFill>
                            <a:latin typeface="Cambria Math" panose="02040503050406030204" pitchFamily="18" charset="0"/>
                            <a:cs typeface="Sora" pitchFamily="2" charset="0"/>
                          </a:rPr>
                        </m:ctrlPr>
                      </m:fPr>
                      <m:num>
                        <m:r>
                          <a:rPr lang="en-US" sz="800" i="0">
                            <a:latin typeface="Cambria Math" panose="02040503050406030204" pitchFamily="18" charset="0"/>
                            <a:cs typeface="Sora" pitchFamily="2" charset="0"/>
                          </a:rPr>
                          <m:t>(</m:t>
                        </m:r>
                        <m:r>
                          <m:rPr>
                            <m:sty m:val="p"/>
                          </m:rPr>
                          <a:rPr lang="en-US" sz="800">
                            <a:latin typeface="Cambria Math" panose="02040503050406030204" pitchFamily="18" charset="0"/>
                            <a:cs typeface="Sora" pitchFamily="2" charset="0"/>
                          </a:rPr>
                          <m:t>Receita</m:t>
                        </m:r>
                        <m:r>
                          <m:rPr>
                            <m:sty m:val="p"/>
                          </m:rPr>
                          <a:rPr lang="pt-BR" sz="800" b="0" i="0">
                            <a:latin typeface="Cambria Math" panose="02040503050406030204" pitchFamily="18" charset="0"/>
                            <a:cs typeface="Sora" pitchFamily="2" charset="0"/>
                          </a:rPr>
                          <m:t>s</m:t>
                        </m:r>
                        <m:r>
                          <a:rPr lang="pt-BR" sz="800" b="0" i="0">
                            <a:latin typeface="Cambria Math" panose="02040503050406030204" pitchFamily="18" charset="0"/>
                            <a:cs typeface="Sora" pitchFamily="2" charset="0"/>
                          </a:rPr>
                          <m:t> −</m:t>
                        </m:r>
                        <m:r>
                          <m:rPr>
                            <m:sty m:val="p"/>
                          </m:rPr>
                          <a:rPr lang="en-US" sz="800" i="0">
                            <a:latin typeface="Cambria Math" panose="02040503050406030204" pitchFamily="18" charset="0"/>
                            <a:cs typeface="Sora" pitchFamily="2" charset="0"/>
                          </a:rPr>
                          <m:t>despesas</m:t>
                        </m:r>
                        <m:r>
                          <a:rPr lang="en-US" sz="800" i="0">
                            <a:latin typeface="Cambria Math" panose="02040503050406030204" pitchFamily="18" charset="0"/>
                            <a:cs typeface="Sora" pitchFamily="2" charset="0"/>
                          </a:rPr>
                          <m:t> </m:t>
                        </m:r>
                        <m:r>
                          <m:rPr>
                            <m:sty m:val="p"/>
                          </m:rPr>
                          <a:rPr lang="en-US" sz="800" i="0">
                            <a:latin typeface="Cambria Math" panose="02040503050406030204" pitchFamily="18" charset="0"/>
                            <a:cs typeface="Sora" pitchFamily="2" charset="0"/>
                          </a:rPr>
                          <m:t>de</m:t>
                        </m:r>
                        <m:r>
                          <a:rPr lang="en-US" sz="800" i="0">
                            <a:latin typeface="Cambria Math" panose="02040503050406030204" pitchFamily="18" charset="0"/>
                            <a:cs typeface="Sora" pitchFamily="2" charset="0"/>
                          </a:rPr>
                          <m:t> </m:t>
                        </m:r>
                        <m:r>
                          <m:rPr>
                            <m:sty m:val="p"/>
                          </m:rPr>
                          <a:rPr lang="en-US" sz="800" i="0">
                            <a:latin typeface="Cambria Math" panose="02040503050406030204" pitchFamily="18" charset="0"/>
                            <a:cs typeface="Sora" pitchFamily="2" charset="0"/>
                          </a:rPr>
                          <m:t>juros</m:t>
                        </m:r>
                        <m:r>
                          <a:rPr lang="en-US" sz="800" i="0">
                            <a:latin typeface="Cambria Math" panose="02040503050406030204" pitchFamily="18" charset="0"/>
                            <a:cs typeface="Sora" pitchFamily="2" charset="0"/>
                          </a:rPr>
                          <m:t>)÷3</m:t>
                        </m:r>
                      </m:num>
                      <m:den>
                        <m:r>
                          <m:rPr>
                            <m:sty m:val="p"/>
                          </m:rPr>
                          <a:rPr lang="pt-BR" sz="800" i="0">
                            <a:latin typeface="Cambria Math" panose="02040503050406030204" pitchFamily="18" charset="0"/>
                            <a:cs typeface="Sora" pitchFamily="2" charset="0"/>
                          </a:rPr>
                          <m:t>M</m:t>
                        </m:r>
                        <m:r>
                          <a:rPr lang="pt-BR" sz="800" i="0">
                            <a:latin typeface="Cambria Math" panose="02040503050406030204" pitchFamily="18" charset="0"/>
                            <a:cs typeface="Sora" pitchFamily="2" charset="0"/>
                          </a:rPr>
                          <m:t>é</m:t>
                        </m:r>
                        <m:r>
                          <m:rPr>
                            <m:sty m:val="p"/>
                          </m:rPr>
                          <a:rPr lang="pt-BR" sz="800" i="0">
                            <a:latin typeface="Cambria Math" panose="02040503050406030204" pitchFamily="18" charset="0"/>
                            <a:cs typeface="Sora" pitchFamily="2" charset="0"/>
                          </a:rPr>
                          <m:t>dia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clientes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ativos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dos</m:t>
                        </m:r>
                        <m:r>
                          <a:rPr lang="pt-BR" sz="800" i="0">
                            <a:latin typeface="Cambria Math" panose="02040503050406030204" pitchFamily="18" charset="0"/>
                            <a:cs typeface="Sora" pitchFamily="2" charset="0"/>
                          </a:rPr>
                          <m:t> ú</m:t>
                        </m:r>
                        <m:r>
                          <m:rPr>
                            <m:sty m:val="p"/>
                          </m:rPr>
                          <a:rPr lang="pt-BR" sz="800" i="0">
                            <a:latin typeface="Cambria Math" panose="02040503050406030204" pitchFamily="18" charset="0"/>
                            <a:cs typeface="Sora" pitchFamily="2" charset="0"/>
                          </a:rPr>
                          <m:t>ltimos</m:t>
                        </m:r>
                        <m:r>
                          <a:rPr lang="pt-BR" sz="800" i="0">
                            <a:latin typeface="Cambria Math" panose="02040503050406030204" pitchFamily="18" charset="0"/>
                            <a:cs typeface="Sora" pitchFamily="2" charset="0"/>
                          </a:rPr>
                          <m:t> 2 </m:t>
                        </m:r>
                        <m:r>
                          <m:rPr>
                            <m:sty m:val="p"/>
                          </m:rPr>
                          <a:rPr lang="pt-BR" sz="800" i="0">
                            <a:latin typeface="Cambria Math" panose="02040503050406030204" pitchFamily="18" charset="0"/>
                            <a:cs typeface="Sora" pitchFamily="2" charset="0"/>
                          </a:rPr>
                          <m:t>trimestres</m:t>
                        </m:r>
                      </m:den>
                    </m:f>
                  </m:oMath>
                </m:oMathPara>
              </a14:m>
              <a:endParaRPr lang="en-US" sz="800" b="1">
                <a:solidFill>
                  <a:schemeClr val="tx1"/>
                </a:solidFill>
                <a:latin typeface="Calibri" panose="020F0502020204030204" pitchFamily="34" charset="0"/>
                <a:cs typeface="Calibri" panose="020F0502020204030204" pitchFamily="34" charset="0"/>
              </a:endParaRPr>
            </a:p>
            <a:p>
              <a:pPr algn="ctr"/>
              <a:endParaRPr lang="en-US" sz="800">
                <a:solidFill>
                  <a:schemeClr val="tx1"/>
                </a:solidFill>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ARPAC líquido por safras trimestrais:</a:t>
              </a:r>
            </a:p>
            <a:p>
              <a:r>
                <a:rPr lang="en-US" sz="800">
                  <a:latin typeface="Calibri" panose="020F0502020204030204" pitchFamily="34" charset="0"/>
                  <a:ea typeface="Inter Light BETA" panose="020B0402030000000004" pitchFamily="34" charset="0"/>
                  <a:cs typeface="Calibri" panose="020F0502020204030204" pitchFamily="34" charset="0"/>
                </a:rPr>
                <a:t>Receita bruta total líquida de despesas de juros em uma determinada safra dividida pela media do número de clientes ativos no período atual e no anterior (1). Safra é definida como o período em que o cliente começou a relação com o Inter. </a:t>
              </a:r>
              <a:br>
                <a:rPr lang="en-US" sz="800">
                  <a:latin typeface="Calibri" panose="020F0502020204030204" pitchFamily="34" charset="0"/>
                  <a:ea typeface="Inter Light BETA" panose="020B0402030000000004" pitchFamily="34" charset="0"/>
                  <a:cs typeface="Calibri" panose="020F0502020204030204" pitchFamily="34" charset="0"/>
                </a:rPr>
              </a:br>
              <a:endParaRPr lang="en-US" sz="800">
                <a:latin typeface="Calibri" panose="020F0502020204030204" pitchFamily="34" charset="0"/>
                <a:ea typeface="Inter" panose="020B0502030000000004" pitchFamily="34" charset="0"/>
                <a:cs typeface="Calibri" panose="020F0502020204030204" pitchFamily="34" charset="0"/>
              </a:endParaRPr>
            </a:p>
            <a:p>
              <a:r>
                <a:rPr lang="en-US" sz="800" baseline="30000">
                  <a:latin typeface="Calibri" panose="020F0502020204030204" pitchFamily="34" charset="0"/>
                  <a:ea typeface="Inter" panose="020B0502030000000004" pitchFamily="34" charset="0"/>
                  <a:cs typeface="Calibri" panose="020F0502020204030204" pitchFamily="34" charset="0"/>
                </a:rPr>
                <a:t>1 – Média do número de clientes ativos no período atual e no anterior. Para o primeiro período, é utilizado o número total de clientes ativos no final do período. </a:t>
              </a:r>
            </a:p>
            <a:p>
              <a:endParaRPr lang="en-US" sz="800" baseline="300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Assets under custody (AuC):</a:t>
              </a:r>
            </a:p>
            <a:p>
              <a:pPr algn="just"/>
              <a:r>
                <a:rPr lang="en-US" sz="800">
                  <a:latin typeface="Calibri" panose="020F0502020204030204" pitchFamily="34" charset="0"/>
                  <a:ea typeface="Inter" panose="020B0502030000000004" pitchFamily="34" charset="0"/>
                  <a:cs typeface="Calibri" panose="020F0502020204030204" pitchFamily="34" charset="0"/>
                </a:rPr>
                <a:t>Calculamos o AUC em uma determinada data como o valor de mercado de todos os ativos de clientes de varejo investidos por meio de nossa plataforma de investimentos na mesma data. Acreditamos que o AUC, por refletir o volume total de ativos investidos em nossa plataforma de investimentos sem levar em conta nossa eficiência operacional, nos fornece informações úteis sobre a atratividade de nossa plataforma. Usamos essa métrica para monitorar o tamanho de nossa plataforma de investimentos.</a:t>
              </a:r>
            </a:p>
            <a:p>
              <a:pPr algn="just"/>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Carteira de crédito bruta:</a:t>
              </a:r>
            </a:p>
            <a:p>
              <a:pPr algn="ctr"/>
              <a:endParaRPr lang="en-US" sz="800" b="1">
                <a:latin typeface="Calibri" panose="020F0502020204030204" pitchFamily="34" charset="0"/>
                <a:cs typeface="Calibri" panose="020F0502020204030204" pitchFamily="34" charset="0"/>
              </a:endParaRPr>
            </a:p>
            <a:p>
              <a:pPr algn="ctr"/>
              <a14:m>
                <m:oMathPara xmlns:m="http://schemas.openxmlformats.org/officeDocument/2006/math">
                  <m:oMathParaPr>
                    <m:jc m:val="center"/>
                  </m:oMathParaPr>
                  <m:oMath xmlns:m="http://schemas.openxmlformats.org/officeDocument/2006/math">
                    <m:r>
                      <m:rPr>
                        <m:sty m:val="p"/>
                      </m:rPr>
                      <a:rPr lang="en-US" sz="800" b="0" i="0">
                        <a:latin typeface="Cambria Math" panose="02040503050406030204" pitchFamily="18" charset="0"/>
                        <a:cs typeface="Sora" pitchFamily="2" charset="0"/>
                      </a:rPr>
                      <m:t>Empr</m:t>
                    </m:r>
                    <m:r>
                      <a:rPr lang="en-US" sz="800" b="0" i="0">
                        <a:latin typeface="Cambria Math" panose="02040503050406030204" pitchFamily="18" charset="0"/>
                        <a:cs typeface="Sora" pitchFamily="2" charset="0"/>
                      </a:rPr>
                      <m:t>é</m:t>
                    </m:r>
                    <m:r>
                      <m:rPr>
                        <m:sty m:val="p"/>
                      </m:rPr>
                      <a:rPr lang="en-US" sz="800" b="0" i="0">
                        <a:latin typeface="Cambria Math" panose="02040503050406030204" pitchFamily="18" charset="0"/>
                        <a:cs typeface="Sora" pitchFamily="2" charset="0"/>
                      </a:rPr>
                      <m:t>stimos</m:t>
                    </m:r>
                    <m:r>
                      <a:rPr lang="en-US" sz="800" b="0" i="0">
                        <a:latin typeface="Cambria Math" panose="02040503050406030204" pitchFamily="18" charset="0"/>
                        <a:cs typeface="Sora" pitchFamily="2" charset="0"/>
                      </a:rPr>
                      <m:t> </m:t>
                    </m:r>
                    <m:r>
                      <m:rPr>
                        <m:sty m:val="p"/>
                      </m:rPr>
                      <a:rPr lang="en-US" sz="800" b="0" i="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adiantamentos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m:t>
                    </m:r>
                    <m:r>
                      <m:rPr>
                        <m:sty m:val="p"/>
                      </m:rPr>
                      <a:rPr lang="pt-BR" sz="800" b="0" i="0">
                        <a:latin typeface="Cambria Math" panose="02040503050406030204" pitchFamily="18" charset="0"/>
                        <a:cs typeface="Sora" pitchFamily="2" charset="0"/>
                      </a:rPr>
                      <m:t>Empr</m:t>
                    </m:r>
                    <m:r>
                      <a:rPr lang="pt-BR" sz="800" b="0" i="0">
                        <a:latin typeface="Cambria Math" panose="02040503050406030204" pitchFamily="18" charset="0"/>
                        <a:cs typeface="Sora" pitchFamily="2" charset="0"/>
                      </a:rPr>
                      <m:t>é</m:t>
                    </m:r>
                    <m:r>
                      <m:rPr>
                        <m:sty m:val="p"/>
                      </m:rPr>
                      <a:rPr lang="pt-BR" sz="800" b="0" i="0">
                        <a:latin typeface="Cambria Math" panose="02040503050406030204" pitchFamily="18" charset="0"/>
                        <a:cs typeface="Sora" pitchFamily="2" charset="0"/>
                      </a:rPr>
                      <m:t>stimos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institui</m:t>
                    </m:r>
                    <m:r>
                      <a:rPr lang="pt-BR" sz="800" b="0" i="0">
                        <a:latin typeface="Cambria Math" panose="02040503050406030204" pitchFamily="18" charset="0"/>
                        <a:cs typeface="Sora" pitchFamily="2" charset="0"/>
                      </a:rPr>
                      <m:t>çõ</m:t>
                    </m:r>
                    <m:r>
                      <m:rPr>
                        <m:sty m:val="p"/>
                      </m:rPr>
                      <a:rPr lang="pt-BR" sz="800" b="0" i="0">
                        <a:latin typeface="Cambria Math" panose="02040503050406030204" pitchFamily="18" charset="0"/>
                        <a:cs typeface="Sora" pitchFamily="2" charset="0"/>
                      </a:rPr>
                      <m: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financeiras</m:t>
                    </m:r>
                  </m:oMath>
                </m:oMathPara>
              </a14:m>
              <a:endParaRPr lang="pt-BR" sz="800">
                <a:latin typeface="Calibri" panose="020F0502020204030204" pitchFamily="34" charset="0"/>
                <a:cs typeface="Calibri" panose="020F0502020204030204" pitchFamily="34" charset="0"/>
              </a:endParaRPr>
            </a:p>
            <a:p>
              <a:pPr algn="ctr"/>
              <a:endParaRPr lang="pt-BR" sz="8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Carteira remunerada:</a:t>
              </a:r>
            </a:p>
            <a:p>
              <a:pPr algn="ctr"/>
              <a:endParaRPr lang="en-US" sz="800" b="1">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r>
                      <m:rPr>
                        <m:sty m:val="p"/>
                      </m:rPr>
                      <a:rPr lang="en-US" sz="800" i="1">
                        <a:latin typeface="Cambria Math" panose="02040503050406030204" pitchFamily="18" charset="0"/>
                        <a:cs typeface="Sora" pitchFamily="2" charset="0"/>
                      </a:rPr>
                      <m:t>Empr</m:t>
                    </m:r>
                    <m:r>
                      <a:rPr lang="en-US" sz="800" i="1">
                        <a:latin typeface="Cambria Math" panose="02040503050406030204" pitchFamily="18" charset="0"/>
                        <a:cs typeface="Sora" pitchFamily="2" charset="0"/>
                      </a:rPr>
                      <m:t>é</m:t>
                    </m:r>
                    <m:r>
                      <m:rPr>
                        <m:sty m:val="p"/>
                      </m:rPr>
                      <a:rPr lang="en-US" sz="800" i="1">
                        <a:latin typeface="Cambria Math" panose="02040503050406030204" pitchFamily="18" charset="0"/>
                        <a:cs typeface="Sora" pitchFamily="2" charset="0"/>
                      </a:rPr>
                      <m:t>stimos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e</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adiantamentos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a</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institui</m:t>
                    </m:r>
                    <m:r>
                      <a:rPr lang="en-US" sz="800" i="1">
                        <a:latin typeface="Cambria Math" panose="02040503050406030204" pitchFamily="18" charset="0"/>
                        <a:cs typeface="Sora" pitchFamily="2" charset="0"/>
                      </a:rPr>
                      <m:t>çõ</m:t>
                    </m:r>
                    <m:r>
                      <m:rPr>
                        <m:sty m:val="p"/>
                      </m:rPr>
                      <a:rPr lang="en-US" sz="800" i="1">
                        <a:latin typeface="Cambria Math" panose="02040503050406030204" pitchFamily="18" charset="0"/>
                        <a:cs typeface="Sora" pitchFamily="2" charset="0"/>
                      </a:rPr>
                      <m:t>es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financeiras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T</m:t>
                    </m:r>
                    <m:r>
                      <a:rPr lang="en-US" sz="800" i="1">
                        <a:latin typeface="Cambria Math" panose="02040503050406030204" pitchFamily="18" charset="0"/>
                        <a:cs typeface="Sora" pitchFamily="2" charset="0"/>
                      </a:rPr>
                      <m:t>í</m:t>
                    </m:r>
                    <m:r>
                      <m:rPr>
                        <m:sty m:val="p"/>
                      </m:rPr>
                      <a:rPr lang="en-US" sz="800" i="1">
                        <a:latin typeface="Cambria Math" panose="02040503050406030204" pitchFamily="18" charset="0"/>
                        <a:cs typeface="Sora" pitchFamily="2" charset="0"/>
                      </a:rPr>
                      <m:t>tulos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e</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valores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mobili</m:t>
                    </m:r>
                    <m:r>
                      <a:rPr lang="en-US" sz="800" i="1">
                        <a:latin typeface="Cambria Math" panose="02040503050406030204" pitchFamily="18" charset="0"/>
                        <a:cs typeface="Sora" pitchFamily="2" charset="0"/>
                      </a:rPr>
                      <m:t>á</m:t>
                    </m:r>
                    <m:r>
                      <m:rPr>
                        <m:sty m:val="p"/>
                      </m:rPr>
                      <a:rPr lang="en-US" sz="800" i="1">
                        <a:latin typeface="Cambria Math" panose="02040503050406030204" pitchFamily="18" charset="0"/>
                        <a:cs typeface="Sora" pitchFamily="2" charset="0"/>
                      </a:rPr>
                      <m:t>rios</m:t>
                    </m:r>
                    <m:r>
                      <a:rPr lang="en-US" sz="800" i="1">
                        <a:latin typeface="Cambria Math" panose="02040503050406030204" pitchFamily="18" charset="0"/>
                        <a:cs typeface="Sora" pitchFamily="2" charset="0"/>
                      </a:rPr>
                      <m:t>+</m:t>
                    </m:r>
                    <m:r>
                      <m:rPr>
                        <m:sty m:val="p"/>
                      </m:rPr>
                      <a:rPr lang="en-US" sz="800" i="1">
                        <a:latin typeface="Cambria Math" panose="02040503050406030204" pitchFamily="18" charset="0"/>
                        <a:cs typeface="Sora" pitchFamily="2" charset="0"/>
                      </a:rPr>
                      <m:t>Empr</m:t>
                    </m:r>
                    <m:r>
                      <a:rPr lang="en-US" sz="800" i="1">
                        <a:latin typeface="Cambria Math" panose="02040503050406030204" pitchFamily="18" charset="0"/>
                        <a:cs typeface="Sora" pitchFamily="2" charset="0"/>
                      </a:rPr>
                      <m:t>é</m:t>
                    </m:r>
                    <m:r>
                      <m:rPr>
                        <m:sty m:val="p"/>
                      </m:rPr>
                      <a:rPr lang="en-US" sz="800" i="1">
                        <a:latin typeface="Cambria Math" panose="02040503050406030204" pitchFamily="18" charset="0"/>
                        <a:cs typeface="Sora" pitchFamily="2" charset="0"/>
                      </a:rPr>
                      <m:t>stimos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e</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adiantamentos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a</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clientes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l</m:t>
                    </m:r>
                    <m:r>
                      <a:rPr lang="en-US" sz="800" i="1">
                        <a:latin typeface="Cambria Math" panose="02040503050406030204" pitchFamily="18" charset="0"/>
                        <a:cs typeface="Sora" pitchFamily="2" charset="0"/>
                      </a:rPr>
                      <m:t>í</m:t>
                    </m:r>
                    <m:r>
                      <m:rPr>
                        <m:sty m:val="p"/>
                      </m:rPr>
                      <a:rPr lang="en-US" sz="800" i="1">
                        <a:latin typeface="Cambria Math" panose="02040503050406030204" pitchFamily="18" charset="0"/>
                        <a:cs typeface="Sora" pitchFamily="2" charset="0"/>
                      </a:rPr>
                      <m:t>quidos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de</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provis</m:t>
                    </m:r>
                    <m:r>
                      <a:rPr lang="en-US" sz="800" i="1">
                        <a:latin typeface="Cambria Math" panose="02040503050406030204" pitchFamily="18" charset="0"/>
                        <a:cs typeface="Sora" pitchFamily="2" charset="0"/>
                      </a:rPr>
                      <m:t>ã</m:t>
                    </m:r>
                    <m:r>
                      <m:rPr>
                        <m:sty m:val="p"/>
                      </m:rPr>
                      <a:rPr lang="en-US" sz="800" i="1">
                        <a:latin typeface="Cambria Math" panose="02040503050406030204" pitchFamily="18" charset="0"/>
                        <a:cs typeface="Sora" pitchFamily="2" charset="0"/>
                      </a:rPr>
                      <m:t>o</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para</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perdas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esperadas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Instrumentos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financeiros</m:t>
                    </m:r>
                    <m:r>
                      <a:rPr lang="en-US" sz="800" i="1">
                        <a:latin typeface="Cambria Math" panose="02040503050406030204" pitchFamily="18" charset="0"/>
                        <a:cs typeface="Sora" pitchFamily="2" charset="0"/>
                      </a:rPr>
                      <m:t> </m:t>
                    </m:r>
                    <m:r>
                      <m:rPr>
                        <m:sty m:val="p"/>
                      </m:rPr>
                      <a:rPr lang="en-US" sz="800" i="1">
                        <a:latin typeface="Cambria Math" panose="02040503050406030204" pitchFamily="18" charset="0"/>
                        <a:cs typeface="Sora" pitchFamily="2" charset="0"/>
                      </a:rPr>
                      <m:t>derivativos</m:t>
                    </m:r>
                  </m:oMath>
                </m:oMathPara>
              </a14:m>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500">
                <a:latin typeface="Calibri" panose="020F0502020204030204" pitchFamily="34" charset="0"/>
                <a:ea typeface="Cambria Math" panose="02040503050406030204" pitchFamily="18" charset="0"/>
                <a:cs typeface="Calibri" panose="020F0502020204030204" pitchFamily="34" charset="0"/>
              </a:endParaRPr>
            </a:p>
          </xdr:txBody>
        </xdr:sp>
      </mc:Choice>
      <mc:Fallback xmlns="">
        <xdr:sp macro="" textlink="">
          <xdr:nvSpPr>
            <xdr:cNvPr id="47" name="Retângulo 9">
              <a:extLst>
                <a:ext uri="{FF2B5EF4-FFF2-40B4-BE49-F238E27FC236}">
                  <a16:creationId xmlns:a16="http://schemas.microsoft.com/office/drawing/2014/main" id="{7B6548DB-49D2-8B13-2D86-C9DAEC78AA0E}"/>
                </a:ext>
              </a:extLst>
            </xdr:cNvPr>
            <xdr:cNvSpPr/>
          </xdr:nvSpPr>
          <xdr:spPr>
            <a:xfrm>
              <a:off x="6712678" y="9628741"/>
              <a:ext cx="5772853" cy="52404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BR" sz="800" b="1">
                  <a:latin typeface="Calibri" panose="020F0502020204030204" pitchFamily="34" charset="0"/>
                  <a:cs typeface="Calibri" panose="020F0502020204030204" pitchFamily="34" charset="0"/>
                </a:rPr>
                <a:t>Antecipação de recebíveis de cartão de crédito:</a:t>
              </a:r>
            </a:p>
            <a:p>
              <a:pPr algn="just"/>
              <a:r>
                <a:rPr lang="pt-BR" sz="800">
                  <a:latin typeface="Calibri" panose="020F0502020204030204" pitchFamily="34" charset="0"/>
                  <a:ea typeface="Inter" panose="020B0502030000000004" pitchFamily="34" charset="0"/>
                  <a:cs typeface="Calibri" panose="020F0502020204030204" pitchFamily="34" charset="0"/>
                </a:rPr>
                <a:t>Divulgados na nota 9.a das Demonstrações Financeiras, na linha "Empréstimos e adiantamentos a instituições financeiras”.</a:t>
              </a: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ARPAC bruto</a:t>
              </a:r>
              <a:r>
                <a:rPr lang="en-US" sz="800" b="1">
                  <a:solidFill>
                    <a:schemeClr val="tx1"/>
                  </a:solidFill>
                  <a:latin typeface="Calibri" panose="020F0502020204030204" pitchFamily="34" charset="0"/>
                  <a:cs typeface="Calibri" panose="020F0502020204030204" pitchFamily="34" charset="0"/>
                </a:rPr>
                <a:t>:</a:t>
              </a:r>
            </a:p>
            <a:p>
              <a:pPr algn="ctr"/>
              <a:br>
                <a:rPr lang="en-US" sz="800" b="1">
                  <a:solidFill>
                    <a:schemeClr val="tx1"/>
                  </a:solidFill>
                  <a:latin typeface="Calibri" panose="020F0502020204030204" pitchFamily="34" charset="0"/>
                  <a:cs typeface="Calibri" panose="020F0502020204030204" pitchFamily="34" charset="0"/>
                </a:rPr>
              </a:br>
              <a:r>
                <a:rPr lang="en-US" sz="800" i="0">
                  <a:latin typeface="Cambria Math" panose="02040503050406030204" pitchFamily="18" charset="0"/>
                  <a:cs typeface="Sora" pitchFamily="2" charset="0"/>
                </a:rPr>
                <a:t>█(Receita de juros +(Receitas de serviços</a:t>
              </a:r>
              <a:r>
                <a:rPr lang="pt-BR" sz="80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e comissões− Despesas de cashback</a:t>
              </a:r>
              <a:r>
                <a:rPr lang="pt-BR" sz="800" i="0">
                  <a:latin typeface="Cambria Math" panose="02040503050406030204" pitchFamily="18" charset="0"/>
                  <a:cs typeface="Sora" pitchFamily="2" charset="0"/>
                </a:rPr>
                <a:t> −InterRewards"</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r>
                <a:rPr lang="pt-BR" sz="80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Re</a:t>
              </a:r>
              <a:r>
                <a:rPr lang="pt-BR" sz="800" i="0">
                  <a:latin typeface="Cambria Math" panose="02040503050406030204" pitchFamily="18" charset="0"/>
                  <a:cs typeface="Sora" pitchFamily="2" charset="0"/>
                </a:rPr>
                <a:t>sultado</a:t>
              </a:r>
              <a:r>
                <a:rPr lang="en-US" sz="800" i="0">
                  <a:latin typeface="Cambria Math" panose="02040503050406030204" pitchFamily="18" charset="0"/>
                  <a:cs typeface="Sora" pitchFamily="2" charset="0"/>
                </a:rPr>
                <a:t> de títulos @e</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valores mobiliários</a:t>
              </a:r>
              <a:r>
                <a:rPr lang="pt-BR" sz="800" i="0">
                  <a:latin typeface="Cambria Math" panose="02040503050406030204" pitchFamily="18" charset="0"/>
                  <a:cs typeface="Sora" pitchFamily="2" charset="0"/>
                </a:rPr>
                <a:t> e derivativos+</a:t>
              </a:r>
              <a:r>
                <a:rPr lang="en-US" sz="800" i="0">
                  <a:latin typeface="Cambria Math" panose="02040503050406030204" pitchFamily="18" charset="0"/>
                  <a:cs typeface="Sora" pitchFamily="2" charset="0"/>
                </a:rPr>
                <a:t>Outras receitas ÷3</a:t>
              </a:r>
              <a:r>
                <a:rPr lang="pt-BR" sz="800" i="0">
                  <a:latin typeface="Cambria Math" panose="02040503050406030204" pitchFamily="18" charset="0"/>
                  <a:cs typeface="Sora" pitchFamily="2" charset="0"/>
                </a:rPr>
                <a:t>"</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r>
                <a:rPr lang="en-US" sz="800" i="0">
                  <a:solidFill>
                    <a:schemeClr val="tx1"/>
                  </a:solidFill>
                  <a:latin typeface="Cambria Math" panose="02040503050406030204" pitchFamily="18" charset="0"/>
                  <a:cs typeface="Calibri" panose="020F0502020204030204" pitchFamily="34" charset="0"/>
                </a:rPr>
                <a:t>/(</a:t>
              </a:r>
              <a:r>
                <a:rPr lang="pt-BR" sz="800" b="0" i="0">
                  <a:solidFill>
                    <a:schemeClr val="tx1"/>
                  </a:solidFill>
                  <a:latin typeface="Cambria Math" panose="02040503050406030204" pitchFamily="18" charset="0"/>
                  <a:cs typeface="Sora" pitchFamily="2" charset="0"/>
                </a:rPr>
                <a:t>M</a:t>
              </a:r>
              <a:r>
                <a:rPr lang="pt-BR" sz="800" i="0">
                  <a:latin typeface="Cambria Math" panose="02040503050406030204" pitchFamily="18" charset="0"/>
                  <a:cs typeface="Sora" pitchFamily="2" charset="0"/>
                </a:rPr>
                <a:t>é</a:t>
              </a:r>
              <a:r>
                <a:rPr lang="pt-BR" sz="800" b="0" i="0">
                  <a:latin typeface="Cambria Math" panose="02040503050406030204" pitchFamily="18" charset="0"/>
                  <a:cs typeface="Sora" pitchFamily="2" charset="0"/>
                </a:rPr>
                <a:t>dia de clientes ativos dos últimos 2 trimestres</a:t>
              </a:r>
              <a:r>
                <a:rPr lang="en-US" sz="800" b="0" i="0">
                  <a:solidFill>
                    <a:schemeClr val="tx1"/>
                  </a:solidFill>
                  <a:latin typeface="Cambria Math" panose="02040503050406030204" pitchFamily="18" charset="0"/>
                  <a:cs typeface="Sora" pitchFamily="2" charset="0"/>
                </a:rPr>
                <a:t>)</a:t>
              </a:r>
              <a:endParaRPr lang="en-US" sz="800" b="1">
                <a:solidFill>
                  <a:schemeClr val="tx1"/>
                </a:solidFill>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ARPAC líquido</a:t>
              </a:r>
              <a:r>
                <a:rPr lang="en-US" sz="800" b="1">
                  <a:solidFill>
                    <a:schemeClr val="tx1"/>
                  </a:solidFill>
                  <a:latin typeface="Calibri" panose="020F0502020204030204" pitchFamily="34" charset="0"/>
                  <a:cs typeface="Calibri" panose="020F0502020204030204" pitchFamily="34" charset="0"/>
                </a:rPr>
                <a:t>:</a:t>
              </a:r>
            </a:p>
            <a:p>
              <a:pPr algn="ctr"/>
              <a:br>
                <a:rPr lang="en-US" sz="800" b="1">
                  <a:solidFill>
                    <a:schemeClr val="tx1"/>
                  </a:solidFill>
                  <a:latin typeface="Calibri" panose="020F0502020204030204" pitchFamily="34" charset="0"/>
                  <a:cs typeface="Calibri" panose="020F0502020204030204" pitchFamily="34" charset="0"/>
                </a:rPr>
              </a:br>
              <a:r>
                <a:rPr lang="en-US" sz="800" i="0">
                  <a:solidFill>
                    <a:schemeClr val="tx1"/>
                  </a:solidFill>
                  <a:latin typeface="Cambria Math" panose="02040503050406030204" pitchFamily="18" charset="0"/>
                  <a:cs typeface="Sora" pitchFamily="2" charset="0"/>
                </a:rPr>
                <a:t>(</a:t>
              </a:r>
              <a:r>
                <a:rPr lang="en-US" sz="800" i="0">
                  <a:latin typeface="Cambria Math" panose="02040503050406030204" pitchFamily="18" charset="0"/>
                  <a:cs typeface="Sora" pitchFamily="2" charset="0"/>
                </a:rPr>
                <a:t>(Receita</a:t>
              </a:r>
              <a:r>
                <a:rPr lang="pt-BR" sz="800" b="0" i="0">
                  <a:latin typeface="Cambria Math" panose="02040503050406030204" pitchFamily="18" charset="0"/>
                  <a:cs typeface="Sora" pitchFamily="2" charset="0"/>
                </a:rPr>
                <a:t>s −</a:t>
              </a:r>
              <a:r>
                <a:rPr lang="en-US" sz="800" i="0">
                  <a:latin typeface="Cambria Math" panose="02040503050406030204" pitchFamily="18" charset="0"/>
                  <a:cs typeface="Sora" pitchFamily="2" charset="0"/>
                </a:rPr>
                <a:t>despesas de juros)÷3</a:t>
              </a:r>
              <a:r>
                <a:rPr lang="en-US" sz="800" i="0">
                  <a:solidFill>
                    <a:schemeClr val="tx1"/>
                  </a:solidFill>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Média de clientes ativos dos últimos 2 trimestres</a:t>
              </a:r>
              <a:r>
                <a:rPr lang="en-US" sz="800" i="0">
                  <a:solidFill>
                    <a:schemeClr val="tx1"/>
                  </a:solidFill>
                  <a:latin typeface="Cambria Math" panose="02040503050406030204" pitchFamily="18" charset="0"/>
                  <a:cs typeface="Sora" pitchFamily="2" charset="0"/>
                </a:rPr>
                <a:t>)</a:t>
              </a:r>
              <a:endParaRPr lang="en-US" sz="800" b="1">
                <a:solidFill>
                  <a:schemeClr val="tx1"/>
                </a:solidFill>
                <a:latin typeface="Calibri" panose="020F0502020204030204" pitchFamily="34" charset="0"/>
                <a:cs typeface="Calibri" panose="020F0502020204030204" pitchFamily="34" charset="0"/>
              </a:endParaRPr>
            </a:p>
            <a:p>
              <a:pPr algn="ctr"/>
              <a:endParaRPr lang="en-US" sz="800">
                <a:solidFill>
                  <a:schemeClr val="tx1"/>
                </a:solidFill>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ARPAC líquido por safras trimestrais:</a:t>
              </a:r>
            </a:p>
            <a:p>
              <a:r>
                <a:rPr lang="en-US" sz="800">
                  <a:latin typeface="Calibri" panose="020F0502020204030204" pitchFamily="34" charset="0"/>
                  <a:ea typeface="Inter Light BETA" panose="020B0402030000000004" pitchFamily="34" charset="0"/>
                  <a:cs typeface="Calibri" panose="020F0502020204030204" pitchFamily="34" charset="0"/>
                </a:rPr>
                <a:t>Receita bruta total líquida de despesas de juros em uma determinada safra dividida pela media do número de clientes ativos no período atual e no anterior (1). Safra é definida como o período em que o cliente começou a relação com o Inter. </a:t>
              </a:r>
              <a:br>
                <a:rPr lang="en-US" sz="800">
                  <a:latin typeface="Calibri" panose="020F0502020204030204" pitchFamily="34" charset="0"/>
                  <a:ea typeface="Inter Light BETA" panose="020B0402030000000004" pitchFamily="34" charset="0"/>
                  <a:cs typeface="Calibri" panose="020F0502020204030204" pitchFamily="34" charset="0"/>
                </a:rPr>
              </a:br>
              <a:endParaRPr lang="en-US" sz="800">
                <a:latin typeface="Calibri" panose="020F0502020204030204" pitchFamily="34" charset="0"/>
                <a:ea typeface="Inter" panose="020B0502030000000004" pitchFamily="34" charset="0"/>
                <a:cs typeface="Calibri" panose="020F0502020204030204" pitchFamily="34" charset="0"/>
              </a:endParaRPr>
            </a:p>
            <a:p>
              <a:r>
                <a:rPr lang="en-US" sz="800" baseline="30000">
                  <a:latin typeface="Calibri" panose="020F0502020204030204" pitchFamily="34" charset="0"/>
                  <a:ea typeface="Inter" panose="020B0502030000000004" pitchFamily="34" charset="0"/>
                  <a:cs typeface="Calibri" panose="020F0502020204030204" pitchFamily="34" charset="0"/>
                </a:rPr>
                <a:t>1 – Média do número de clientes ativos no período atual e no anterior. Para o primeiro período, é utilizado o número total de clientes ativos no final do período. </a:t>
              </a:r>
            </a:p>
            <a:p>
              <a:endParaRPr lang="en-US" sz="800" baseline="300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Assets under custody (AuC):</a:t>
              </a:r>
            </a:p>
            <a:p>
              <a:pPr algn="just"/>
              <a:r>
                <a:rPr lang="en-US" sz="800">
                  <a:latin typeface="Calibri" panose="020F0502020204030204" pitchFamily="34" charset="0"/>
                  <a:ea typeface="Inter" panose="020B0502030000000004" pitchFamily="34" charset="0"/>
                  <a:cs typeface="Calibri" panose="020F0502020204030204" pitchFamily="34" charset="0"/>
                </a:rPr>
                <a:t>Calculamos o AUC em uma determinada data como o valor de mercado de todos os ativos de clientes de varejo investidos por meio de nossa plataforma de investimentos na mesma data. Acreditamos que o AUC, por refletir o volume total de ativos investidos em nossa plataforma de investimentos sem levar em conta nossa eficiência operacional, nos fornece informações úteis sobre a atratividade de nossa plataforma. Usamos essa métrica para monitorar o tamanho de nossa plataforma de investimentos.</a:t>
              </a:r>
            </a:p>
            <a:p>
              <a:pPr algn="just"/>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Carteira de crédito bruta:</a:t>
              </a:r>
            </a:p>
            <a:p>
              <a:pPr algn="ctr"/>
              <a:endParaRPr lang="en-US" sz="800" b="1">
                <a:latin typeface="Calibri" panose="020F0502020204030204" pitchFamily="34" charset="0"/>
                <a:cs typeface="Calibri" panose="020F0502020204030204" pitchFamily="34" charset="0"/>
              </a:endParaRPr>
            </a:p>
            <a:p>
              <a:pPr algn="ctr"/>
              <a:r>
                <a:rPr lang="en-US" sz="800" b="0" i="0">
                  <a:latin typeface="Cambria Math" panose="02040503050406030204" pitchFamily="18" charset="0"/>
                  <a:cs typeface="Sora" pitchFamily="2" charset="0"/>
                </a:rPr>
                <a:t>Empréstimos e</a:t>
              </a:r>
              <a:r>
                <a:rPr lang="pt-BR" sz="800" b="0" i="0">
                  <a:latin typeface="Cambria Math" panose="02040503050406030204" pitchFamily="18" charset="0"/>
                  <a:cs typeface="Sora" pitchFamily="2" charset="0"/>
                </a:rPr>
                <a:t> adiantamentos a clientes+Empréstimos a instituições financeiras</a:t>
              </a:r>
              <a:endParaRPr lang="pt-BR" sz="800">
                <a:latin typeface="Calibri" panose="020F0502020204030204" pitchFamily="34" charset="0"/>
                <a:cs typeface="Calibri" panose="020F0502020204030204" pitchFamily="34" charset="0"/>
              </a:endParaRPr>
            </a:p>
            <a:p>
              <a:pPr algn="ctr"/>
              <a:endParaRPr lang="pt-BR" sz="8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Carteira remunerada:</a:t>
              </a:r>
            </a:p>
            <a:p>
              <a:pPr algn="ctr"/>
              <a:endParaRPr lang="en-US" sz="800" b="1">
                <a:latin typeface="Calibri" panose="020F0502020204030204" pitchFamily="34" charset="0"/>
                <a:cs typeface="Calibri" panose="020F0502020204030204" pitchFamily="34" charset="0"/>
              </a:endParaRPr>
            </a:p>
            <a:p>
              <a:pPr algn="ctr"/>
              <a:r>
                <a:rPr lang="en-US" sz="800" i="0">
                  <a:latin typeface="Cambria Math" panose="02040503050406030204" pitchFamily="18" charset="0"/>
                  <a:cs typeface="Sora" pitchFamily="2" charset="0"/>
                </a:rPr>
                <a:t>Empréstimos e adiantamentos a instituições financeiras +Títulos e valores mobiliários+Empréstimos e adiantamentos a clientes, líquidos de provisão para perdas esperadas +Instrumentos financeiros derivativos</a:t>
              </a:r>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500">
                <a:latin typeface="Calibri" panose="020F0502020204030204" pitchFamily="34" charset="0"/>
                <a:ea typeface="Cambria Math" panose="02040503050406030204" pitchFamily="18" charset="0"/>
                <a:cs typeface="Calibri" panose="020F0502020204030204" pitchFamily="34" charset="0"/>
              </a:endParaRPr>
            </a:p>
          </xdr:txBody>
        </xdr:sp>
      </mc:Fallback>
    </mc:AlternateContent>
    <xdr:clientData/>
  </xdr:twoCellAnchor>
  <xdr:twoCellAnchor>
    <xdr:from>
      <xdr:col>8</xdr:col>
      <xdr:colOff>135271</xdr:colOff>
      <xdr:row>81</xdr:row>
      <xdr:rowOff>144319</xdr:rowOff>
    </xdr:from>
    <xdr:to>
      <xdr:col>15</xdr:col>
      <xdr:colOff>111553</xdr:colOff>
      <xdr:row>114</xdr:row>
      <xdr:rowOff>176629</xdr:rowOff>
    </xdr:to>
    <mc:AlternateContent xmlns:mc="http://schemas.openxmlformats.org/markup-compatibility/2006" xmlns:a14="http://schemas.microsoft.com/office/drawing/2010/main">
      <mc:Choice Requires="a14">
        <xdr:sp macro="" textlink="">
          <xdr:nvSpPr>
            <xdr:cNvPr id="48" name="Retângulo 9">
              <a:extLst>
                <a:ext uri="{FF2B5EF4-FFF2-40B4-BE49-F238E27FC236}">
                  <a16:creationId xmlns:a16="http://schemas.microsoft.com/office/drawing/2014/main" id="{00000000-0008-0000-1600-000030000000}"/>
                </a:ext>
              </a:extLst>
            </xdr:cNvPr>
            <xdr:cNvSpPr/>
          </xdr:nvSpPr>
          <xdr:spPr>
            <a:xfrm>
              <a:off x="6761358" y="15053015"/>
              <a:ext cx="5774108" cy="6106223"/>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Cost of risk:</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cs typeface="Sora" pitchFamily="2" charset="0"/>
                          </a:rPr>
                        </m:ctrlPr>
                      </m:fPr>
                      <m:num>
                        <m:r>
                          <m:rPr>
                            <m:sty m:val="p"/>
                          </m:rPr>
                          <a:rPr lang="pt-BR" sz="800" i="1">
                            <a:latin typeface="Cambria Math" panose="02040503050406030204" pitchFamily="18" charset="0"/>
                            <a:cs typeface="Sora" pitchFamily="2" charset="0"/>
                          </a:rPr>
                          <m:t>Resultado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perdas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redu</m:t>
                        </m:r>
                        <m:r>
                          <a:rPr lang="pt-BR" sz="800" i="1">
                            <a:latin typeface="Cambria Math" panose="02040503050406030204" pitchFamily="18" charset="0"/>
                            <a:cs typeface="Sora" pitchFamily="2" charset="0"/>
                          </a:rPr>
                          <m:t>çã</m:t>
                        </m:r>
                        <m:r>
                          <m:rPr>
                            <m:sty m:val="p"/>
                          </m:rPr>
                          <a:rPr lang="pt-BR" sz="800" i="1">
                            <a:latin typeface="Cambria Math" panose="02040503050406030204" pitchFamily="18" charset="0"/>
                            <a:cs typeface="Sora" pitchFamily="2" charset="0"/>
                          </a:rPr>
                          <m:t>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valor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recuper</m:t>
                        </m:r>
                        <m:r>
                          <a:rPr lang="pt-BR" sz="800" i="1">
                            <a:latin typeface="Cambria Math" panose="02040503050406030204" pitchFamily="18" charset="0"/>
                            <a:cs typeface="Sora" pitchFamily="2" charset="0"/>
                          </a:rPr>
                          <m:t>á</m:t>
                        </m:r>
                        <m:r>
                          <m:rPr>
                            <m:sty m:val="p"/>
                          </m:rPr>
                          <a:rPr lang="pt-BR" sz="800" i="1">
                            <a:latin typeface="Cambria Math" panose="02040503050406030204" pitchFamily="18" charset="0"/>
                            <a:cs typeface="Sora" pitchFamily="2" charset="0"/>
                          </a:rPr>
                          <m:t>vel</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ativos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financeiros</m:t>
                        </m:r>
                        <m:r>
                          <a:rPr lang="pt-BR" sz="800" i="1">
                            <a:latin typeface="Cambria Math" panose="02040503050406030204" pitchFamily="18" charset="0"/>
                            <a:cs typeface="Sora" pitchFamily="2" charset="0"/>
                          </a:rPr>
                          <m:t> × 4</m:t>
                        </m:r>
                      </m:num>
                      <m:den>
                        <m:r>
                          <m:rPr>
                            <m:sty m:val="p"/>
                          </m:rPr>
                          <a:rPr lang="pt-BR" sz="800" i="1">
                            <a:latin typeface="Cambria Math" panose="02040503050406030204" pitchFamily="18" charset="0"/>
                            <a:cs typeface="Sora" pitchFamily="2" charset="0"/>
                          </a:rPr>
                          <m:t>M</m:t>
                        </m:r>
                        <m:r>
                          <a:rPr lang="pt-BR" sz="800" i="1">
                            <a:latin typeface="Cambria Math" panose="02040503050406030204" pitchFamily="18" charset="0"/>
                            <a:cs typeface="Sora" pitchFamily="2" charset="0"/>
                          </a:rPr>
                          <m:t>é</m:t>
                        </m:r>
                        <m:r>
                          <m:rPr>
                            <m:sty m:val="p"/>
                          </m:rPr>
                          <a:rPr lang="pt-BR" sz="800" i="1">
                            <a:latin typeface="Cambria Math" panose="02040503050406030204" pitchFamily="18" charset="0"/>
                            <a:cs typeface="Sora" pitchFamily="2" charset="0"/>
                          </a:rPr>
                          <m:t>dia</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empr</m:t>
                        </m:r>
                        <m:r>
                          <a:rPr lang="pt-BR" sz="800" i="1">
                            <a:latin typeface="Cambria Math" panose="02040503050406030204" pitchFamily="18" charset="0"/>
                            <a:cs typeface="Sora" pitchFamily="2" charset="0"/>
                          </a:rPr>
                          <m:t>é</m:t>
                        </m:r>
                        <m:r>
                          <m:rPr>
                            <m:sty m:val="p"/>
                          </m:rPr>
                          <a:rPr lang="pt-BR" sz="800" i="1">
                            <a:latin typeface="Cambria Math" panose="02040503050406030204" pitchFamily="18" charset="0"/>
                            <a:cs typeface="Sora" pitchFamily="2" charset="0"/>
                          </a:rPr>
                          <m:t>stimos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adiantamento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clientes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dos</m:t>
                        </m:r>
                        <m:r>
                          <a:rPr lang="pt-BR" sz="800" i="1">
                            <a:latin typeface="Cambria Math" panose="02040503050406030204" pitchFamily="18" charset="0"/>
                            <a:cs typeface="Sora" pitchFamily="2" charset="0"/>
                          </a:rPr>
                          <m:t> ú</m:t>
                        </m:r>
                        <m:r>
                          <m:rPr>
                            <m:sty m:val="p"/>
                          </m:rPr>
                          <a:rPr lang="pt-BR" sz="800" i="1">
                            <a:latin typeface="Cambria Math" panose="02040503050406030204" pitchFamily="18" charset="0"/>
                            <a:cs typeface="Sora" pitchFamily="2" charset="0"/>
                          </a:rPr>
                          <m:t>ltimos</m:t>
                        </m:r>
                        <m:r>
                          <a:rPr lang="pt-BR" sz="800" i="1">
                            <a:latin typeface="Cambria Math" panose="02040503050406030204" pitchFamily="18" charset="0"/>
                            <a:cs typeface="Sora" pitchFamily="2" charset="0"/>
                          </a:rPr>
                          <m:t> 2 </m:t>
                        </m:r>
                        <m:r>
                          <m:rPr>
                            <m:sty m:val="p"/>
                          </m:rPr>
                          <a:rPr lang="pt-BR" sz="800" i="1">
                            <a:latin typeface="Cambria Math" panose="02040503050406030204" pitchFamily="18" charset="0"/>
                            <a:cs typeface="Sora" pitchFamily="2" charset="0"/>
                          </a:rPr>
                          <m:t>trimestres</m:t>
                        </m:r>
                        <m:r>
                          <a:rPr lang="pt-BR" sz="800" i="1">
                            <a:latin typeface="Cambria Math" panose="02040503050406030204" pitchFamily="18" charset="0"/>
                            <a:cs typeface="Sora" pitchFamily="2" charset="0"/>
                          </a:rPr>
                          <m:t> </m:t>
                        </m: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Cost of risk excluindo antecipação de recebíveis de cartão de crédito:</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cs typeface="Sora" pitchFamily="2" charset="0"/>
                          </a:rPr>
                        </m:ctrlPr>
                      </m:fPr>
                      <m:num>
                        <m:r>
                          <m:rPr>
                            <m:sty m:val="p"/>
                          </m:rPr>
                          <a:rPr lang="pt-BR" sz="800" i="1">
                            <a:latin typeface="Cambria Math" panose="02040503050406030204" pitchFamily="18" charset="0"/>
                            <a:cs typeface="Sora" pitchFamily="2" charset="0"/>
                          </a:rPr>
                          <m:t>Resultado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perdas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redu</m:t>
                        </m:r>
                        <m:r>
                          <a:rPr lang="pt-BR" sz="800" i="1">
                            <a:latin typeface="Cambria Math" panose="02040503050406030204" pitchFamily="18" charset="0"/>
                            <a:cs typeface="Sora" pitchFamily="2" charset="0"/>
                          </a:rPr>
                          <m:t>çã</m:t>
                        </m:r>
                        <m:r>
                          <m:rPr>
                            <m:sty m:val="p"/>
                          </m:rPr>
                          <a:rPr lang="pt-BR" sz="800" i="1">
                            <a:latin typeface="Cambria Math" panose="02040503050406030204" pitchFamily="18" charset="0"/>
                            <a:cs typeface="Sora" pitchFamily="2" charset="0"/>
                          </a:rPr>
                          <m:t>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valor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recuper</m:t>
                        </m:r>
                        <m:r>
                          <a:rPr lang="pt-BR" sz="800" i="1">
                            <a:latin typeface="Cambria Math" panose="02040503050406030204" pitchFamily="18" charset="0"/>
                            <a:cs typeface="Sora" pitchFamily="2" charset="0"/>
                          </a:rPr>
                          <m:t>á</m:t>
                        </m:r>
                        <m:r>
                          <m:rPr>
                            <m:sty m:val="p"/>
                          </m:rPr>
                          <a:rPr lang="pt-BR" sz="800" i="1">
                            <a:latin typeface="Cambria Math" panose="02040503050406030204" pitchFamily="18" charset="0"/>
                            <a:cs typeface="Sora" pitchFamily="2" charset="0"/>
                          </a:rPr>
                          <m:t>vel</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ativos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financeiros</m:t>
                        </m:r>
                        <m:r>
                          <a:rPr lang="pt-BR" sz="800" i="1">
                            <a:latin typeface="Cambria Math" panose="02040503050406030204" pitchFamily="18" charset="0"/>
                            <a:cs typeface="Sora" pitchFamily="2" charset="0"/>
                          </a:rPr>
                          <m:t> × 4</m:t>
                        </m:r>
                      </m:num>
                      <m:den>
                        <m:r>
                          <m:rPr>
                            <m:sty m:val="p"/>
                          </m:rPr>
                          <a:rPr lang="pt-BR" sz="800">
                            <a:latin typeface="Cambria Math" panose="02040503050406030204" pitchFamily="18" charset="0"/>
                            <a:cs typeface="Sora" pitchFamily="2" charset="0"/>
                          </a:rPr>
                          <m:t>M</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dia</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empr</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stimos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adiantamento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a</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clientes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dos</m:t>
                        </m:r>
                        <m:r>
                          <a:rPr lang="pt-BR" sz="800">
                            <a:latin typeface="Cambria Math" panose="02040503050406030204" pitchFamily="18" charset="0"/>
                            <a:cs typeface="Sora" pitchFamily="2" charset="0"/>
                          </a:rPr>
                          <m:t> ú</m:t>
                        </m:r>
                        <m:r>
                          <m:rPr>
                            <m:sty m:val="p"/>
                          </m:rPr>
                          <a:rPr lang="pt-BR" sz="800">
                            <a:latin typeface="Cambria Math" panose="02040503050406030204" pitchFamily="18" charset="0"/>
                            <a:cs typeface="Sora" pitchFamily="2" charset="0"/>
                          </a:rPr>
                          <m:t>ltimos</m:t>
                        </m:r>
                        <m:r>
                          <a:rPr lang="pt-BR" sz="800">
                            <a:latin typeface="Cambria Math" panose="02040503050406030204" pitchFamily="18" charset="0"/>
                            <a:cs typeface="Sora" pitchFamily="2" charset="0"/>
                          </a:rPr>
                          <m:t> 2 </m:t>
                        </m:r>
                        <m:r>
                          <m:rPr>
                            <m:sty m:val="p"/>
                          </m:rPr>
                          <a:rPr lang="pt-BR" sz="800">
                            <a:latin typeface="Cambria Math" panose="02040503050406030204" pitchFamily="18" charset="0"/>
                            <a:cs typeface="Sora" pitchFamily="2" charset="0"/>
                          </a:rPr>
                          <m:t>trimestres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excluindoantecipa</m:t>
                        </m:r>
                        <m:r>
                          <a:rPr lang="pt-BR" sz="800">
                            <a:latin typeface="Cambria Math" panose="02040503050406030204" pitchFamily="18" charset="0"/>
                            <a:cs typeface="Sora" pitchFamily="2" charset="0"/>
                          </a:rPr>
                          <m:t>çã</m:t>
                        </m:r>
                        <m:r>
                          <m:rPr>
                            <m:sty m:val="p"/>
                          </m:rPr>
                          <a:rPr lang="pt-BR" sz="800">
                            <a:latin typeface="Cambria Math" panose="02040503050406030204" pitchFamily="18" charset="0"/>
                            <a:cs typeface="Sora" pitchFamily="2" charset="0"/>
                          </a:rPr>
                          <m:t>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receb</m:t>
                        </m:r>
                        <m:r>
                          <a:rPr lang="pt-BR" sz="800">
                            <a:latin typeface="Cambria Math" panose="02040503050406030204" pitchFamily="18" charset="0"/>
                            <a:cs typeface="Sora" pitchFamily="2" charset="0"/>
                          </a:rPr>
                          <m:t>í</m:t>
                        </m:r>
                        <m:r>
                          <m:rPr>
                            <m:sty m:val="p"/>
                          </m:rPr>
                          <a:rPr lang="pt-BR" sz="800">
                            <a:latin typeface="Cambria Math" panose="02040503050406030204" pitchFamily="18" charset="0"/>
                            <a:cs typeface="Sora" pitchFamily="2" charset="0"/>
                          </a:rPr>
                          <m:t>veis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cart</m:t>
                        </m:r>
                        <m:r>
                          <a:rPr lang="pt-BR" sz="800">
                            <a:latin typeface="Cambria Math" panose="02040503050406030204" pitchFamily="18" charset="0"/>
                            <a:cs typeface="Sora" pitchFamily="2" charset="0"/>
                          </a:rPr>
                          <m:t>ã</m:t>
                        </m:r>
                        <m:r>
                          <m:rPr>
                            <m:sty m:val="p"/>
                          </m:rPr>
                          <a:rPr lang="pt-BR" sz="800">
                            <a:latin typeface="Cambria Math" panose="02040503050406030204" pitchFamily="18" charset="0"/>
                            <a:cs typeface="Sora" pitchFamily="2" charset="0"/>
                          </a:rPr>
                          <m:t>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cr</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dito</m:t>
                        </m: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Cost of risk excluindo cartão de crédito:</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cs typeface="Sora" pitchFamily="2" charset="0"/>
                          </a:rPr>
                        </m:ctrlPr>
                      </m:fPr>
                      <m:num>
                        <m:r>
                          <m:rPr>
                            <m:sty m:val="p"/>
                          </m:rPr>
                          <a:rPr lang="pt-BR" sz="800" i="1">
                            <a:latin typeface="Cambria Math" panose="02040503050406030204" pitchFamily="18" charset="0"/>
                            <a:cs typeface="Sora" pitchFamily="2" charset="0"/>
                          </a:rPr>
                          <m:t>Resultado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perdas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por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redu</m:t>
                        </m:r>
                        <m:r>
                          <a:rPr lang="pt-BR" sz="800" i="1">
                            <a:latin typeface="Cambria Math" panose="02040503050406030204" pitchFamily="18" charset="0"/>
                            <a:cs typeface="Sora" pitchFamily="2" charset="0"/>
                          </a:rPr>
                          <m:t>çã</m:t>
                        </m:r>
                        <m:r>
                          <m:rPr>
                            <m:sty m:val="p"/>
                          </m:rPr>
                          <a:rPr lang="pt-BR" sz="800" i="1">
                            <a:latin typeface="Cambria Math" panose="02040503050406030204" pitchFamily="18" charset="0"/>
                            <a:cs typeface="Sora" pitchFamily="2" charset="0"/>
                          </a:rPr>
                          <m:t>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ao</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valor</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recuper</m:t>
                        </m:r>
                        <m:r>
                          <a:rPr lang="pt-BR" sz="800" i="1">
                            <a:latin typeface="Cambria Math" panose="02040503050406030204" pitchFamily="18" charset="0"/>
                            <a:cs typeface="Sora" pitchFamily="2" charset="0"/>
                          </a:rPr>
                          <m:t>á</m:t>
                        </m:r>
                        <m:r>
                          <m:rPr>
                            <m:sty m:val="p"/>
                          </m:rPr>
                          <a:rPr lang="pt-BR" sz="800" i="1">
                            <a:latin typeface="Cambria Math" panose="02040503050406030204" pitchFamily="18" charset="0"/>
                            <a:cs typeface="Sora" pitchFamily="2" charset="0"/>
                          </a:rPr>
                          <m:t>vel</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de</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ativos</m:t>
                        </m:r>
                        <m:r>
                          <a:rPr lang="pt-BR" sz="800" i="1">
                            <a:latin typeface="Cambria Math" panose="02040503050406030204" pitchFamily="18" charset="0"/>
                            <a:cs typeface="Sora" pitchFamily="2" charset="0"/>
                          </a:rPr>
                          <m:t> </m:t>
                        </m:r>
                        <m:r>
                          <m:rPr>
                            <m:sty m:val="p"/>
                          </m:rPr>
                          <a:rPr lang="pt-BR" sz="800" i="1">
                            <a:latin typeface="Cambria Math" panose="02040503050406030204" pitchFamily="18" charset="0"/>
                            <a:cs typeface="Sora" pitchFamily="2" charset="0"/>
                          </a:rPr>
                          <m:t>financeiros</m:t>
                        </m:r>
                        <m:r>
                          <a:rPr lang="pt-BR" sz="800" i="1">
                            <a:latin typeface="Cambria Math" panose="02040503050406030204" pitchFamily="18" charset="0"/>
                            <a:cs typeface="Sora" pitchFamily="2" charset="0"/>
                          </a:rPr>
                          <m:t> × 4</m:t>
                        </m:r>
                      </m:num>
                      <m:den>
                        <m:r>
                          <m:rPr>
                            <m:sty m:val="p"/>
                          </m:rPr>
                          <a:rPr lang="pt-BR" sz="800">
                            <a:latin typeface="Cambria Math" panose="02040503050406030204" pitchFamily="18" charset="0"/>
                            <a:cs typeface="Sora" pitchFamily="2" charset="0"/>
                          </a:rPr>
                          <m:t>M</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dia</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empr</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stimos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adiantamento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a</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clientes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dos</m:t>
                        </m:r>
                        <m:r>
                          <a:rPr lang="pt-BR" sz="800">
                            <a:latin typeface="Cambria Math" panose="02040503050406030204" pitchFamily="18" charset="0"/>
                            <a:cs typeface="Sora" pitchFamily="2" charset="0"/>
                          </a:rPr>
                          <m:t> ú</m:t>
                        </m:r>
                        <m:r>
                          <m:rPr>
                            <m:sty m:val="p"/>
                          </m:rPr>
                          <a:rPr lang="pt-BR" sz="800">
                            <a:latin typeface="Cambria Math" panose="02040503050406030204" pitchFamily="18" charset="0"/>
                            <a:cs typeface="Sora" pitchFamily="2" charset="0"/>
                          </a:rPr>
                          <m:t>ltimos</m:t>
                        </m:r>
                        <m:r>
                          <a:rPr lang="pt-BR" sz="800">
                            <a:latin typeface="Cambria Math" panose="02040503050406030204" pitchFamily="18" charset="0"/>
                            <a:cs typeface="Sora" pitchFamily="2" charset="0"/>
                          </a:rPr>
                          <m:t> 2 </m:t>
                        </m:r>
                        <m:r>
                          <m:rPr>
                            <m:sty m:val="p"/>
                          </m:rPr>
                          <a:rPr lang="pt-BR" sz="800">
                            <a:latin typeface="Cambria Math" panose="02040503050406030204" pitchFamily="18" charset="0"/>
                            <a:cs typeface="Sora" pitchFamily="2" charset="0"/>
                          </a:rPr>
                          <m:t>trimestres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excluindo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cart</m:t>
                        </m:r>
                        <m:r>
                          <a:rPr lang="pt-BR" sz="800">
                            <a:latin typeface="Cambria Math" panose="02040503050406030204" pitchFamily="18" charset="0"/>
                            <a:cs typeface="Sora" pitchFamily="2" charset="0"/>
                          </a:rPr>
                          <m:t>ã</m:t>
                        </m:r>
                        <m:r>
                          <m:rPr>
                            <m:sty m:val="p"/>
                          </m:rPr>
                          <a:rPr lang="pt-BR" sz="800">
                            <a:latin typeface="Cambria Math" panose="02040503050406030204" pitchFamily="18" charset="0"/>
                            <a:cs typeface="Sora" pitchFamily="2" charset="0"/>
                          </a:rPr>
                          <m:t>o</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cr</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dito</m:t>
                        </m:r>
                      </m:den>
                    </m:f>
                    <m:r>
                      <a:rPr lang="pt-BR" sz="800" i="1">
                        <a:latin typeface="Cambria Math" panose="02040503050406030204" pitchFamily="18" charset="0"/>
                        <a:cs typeface="Sora" pitchFamily="2" charset="0"/>
                      </a:rPr>
                      <m:t> </m:t>
                    </m:r>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Custo de  funding:</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en-US" sz="800" i="1">
                            <a:latin typeface="Cambria Math" panose="02040503050406030204" pitchFamily="18" charset="0"/>
                            <a:cs typeface="Sora" pitchFamily="2" charset="0"/>
                          </a:rPr>
                        </m:ctrlPr>
                      </m:fPr>
                      <m:num>
                        <m:r>
                          <m:rPr>
                            <m:sty m:val="p"/>
                          </m:rPr>
                          <a:rPr lang="pt-BR" sz="800" b="0" i="0">
                            <a:latin typeface="Cambria Math" panose="02040503050406030204" pitchFamily="18" charset="0"/>
                            <a:cs typeface="Sora" pitchFamily="2" charset="0"/>
                          </a:rPr>
                          <m:t>Despesas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juros</m:t>
                        </m:r>
                        <m:r>
                          <a:rPr lang="pt-BR" sz="800" b="0" i="0">
                            <a:latin typeface="Cambria Math" panose="02040503050406030204" pitchFamily="18" charset="0"/>
                            <a:cs typeface="Sora" pitchFamily="2" charset="0"/>
                          </a:rPr>
                          <m:t> × 4</m:t>
                        </m:r>
                      </m:num>
                      <m:den>
                        <m:eqArr>
                          <m:eqArrPr>
                            <m:ctrlPr>
                              <a:rPr lang="pt-BR" sz="800" i="1">
                                <a:latin typeface="Cambria Math" panose="02040503050406030204" pitchFamily="18" charset="0"/>
                                <a:cs typeface="Sora" pitchFamily="2" charset="0"/>
                              </a:rPr>
                            </m:ctrlPr>
                          </m:eqArrPr>
                          <m:e>
                            <m:r>
                              <m:rPr>
                                <m:sty m:val="p"/>
                              </m:rPr>
                              <a:rPr lang="pt-BR" sz="800" i="0">
                                <a:latin typeface="Cambria Math" panose="02040503050406030204" pitchFamily="18" charset="0"/>
                                <a:cs typeface="Sora" pitchFamily="2" charset="0"/>
                              </a:rPr>
                              <m:t>M</m:t>
                            </m:r>
                            <m:r>
                              <a:rPr lang="pt-BR" sz="800" i="0">
                                <a:latin typeface="Cambria Math" panose="02040503050406030204" pitchFamily="18" charset="0"/>
                                <a:cs typeface="Sora" pitchFamily="2" charset="0"/>
                              </a:rPr>
                              <m:t>é</m:t>
                            </m:r>
                            <m:r>
                              <m:rPr>
                                <m:sty m:val="p"/>
                              </m:rPr>
                              <a:rPr lang="pt-BR" sz="800" i="0">
                                <a:latin typeface="Cambria Math" panose="02040503050406030204" pitchFamily="18" charset="0"/>
                                <a:cs typeface="Sora" pitchFamily="2" charset="0"/>
                              </a:rPr>
                              <m:t>dia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passivos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remunerados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dos</m:t>
                            </m:r>
                            <m:r>
                              <a:rPr lang="pt-BR" sz="800" i="0">
                                <a:latin typeface="Cambria Math" panose="02040503050406030204" pitchFamily="18" charset="0"/>
                                <a:cs typeface="Sora" pitchFamily="2" charset="0"/>
                              </a:rPr>
                              <m:t> ú</m:t>
                            </m:r>
                            <m:r>
                              <m:rPr>
                                <m:sty m:val="p"/>
                              </m:rPr>
                              <a:rPr lang="pt-BR" sz="800" i="0">
                                <a:latin typeface="Cambria Math" panose="02040503050406030204" pitchFamily="18" charset="0"/>
                                <a:cs typeface="Sora" pitchFamily="2" charset="0"/>
                              </a:rPr>
                              <m:t>ltimos</m:t>
                            </m:r>
                            <m:r>
                              <a:rPr lang="pt-BR" sz="800" i="0">
                                <a:latin typeface="Cambria Math" panose="02040503050406030204" pitchFamily="18" charset="0"/>
                                <a:cs typeface="Sora" pitchFamily="2" charset="0"/>
                              </a:rPr>
                              <m:t> 2 </m:t>
                            </m:r>
                            <m:r>
                              <m:rPr>
                                <m:sty m:val="p"/>
                              </m:rPr>
                              <a:rPr lang="pt-BR" sz="800" i="0">
                                <a:latin typeface="Cambria Math" panose="02040503050406030204" pitchFamily="18" charset="0"/>
                                <a:cs typeface="Sora" pitchFamily="2" charset="0"/>
                              </a:rPr>
                              <m:t>trimestres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dep</m:t>
                            </m:r>
                            <m:r>
                              <a:rPr lang="pt-BR" sz="800" i="0">
                                <a:latin typeface="Cambria Math" panose="02040503050406030204" pitchFamily="18" charset="0"/>
                                <a:cs typeface="Sora" pitchFamily="2" charset="0"/>
                              </a:rPr>
                              <m:t>ó</m:t>
                            </m:r>
                            <m:r>
                              <m:rPr>
                                <m:sty m:val="p"/>
                              </m:rPr>
                              <a:rPr lang="pt-BR" sz="800" i="0">
                                <a:latin typeface="Cambria Math" panose="02040503050406030204" pitchFamily="18" charset="0"/>
                                <a:cs typeface="Sora" pitchFamily="2" charset="0"/>
                              </a:rPr>
                              <m:t>sitos</m:t>
                            </m:r>
                            <m:r>
                              <a:rPr lang="pt-BR" sz="800" i="0">
                                <a:latin typeface="Cambria Math" panose="02040503050406030204" pitchFamily="18" charset="0"/>
                                <a:cs typeface="Sora" pitchFamily="2" charset="0"/>
                              </a:rPr>
                              <m:t> à </m:t>
                            </m:r>
                            <m:r>
                              <m:rPr>
                                <m:sty m:val="p"/>
                              </m:rPr>
                              <a:rPr lang="pt-BR" sz="800" i="0">
                                <a:latin typeface="Cambria Math" panose="02040503050406030204" pitchFamily="18" charset="0"/>
                                <a:cs typeface="Sora" pitchFamily="2" charset="0"/>
                              </a:rPr>
                              <m:t>vista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dep</m:t>
                            </m:r>
                            <m:r>
                              <a:rPr lang="pt-BR" sz="800" i="0">
                                <a:latin typeface="Cambria Math" panose="02040503050406030204" pitchFamily="18" charset="0"/>
                                <a:cs typeface="Sora" pitchFamily="2" charset="0"/>
                              </a:rPr>
                              <m:t>ó</m:t>
                            </m:r>
                            <m:r>
                              <m:rPr>
                                <m:sty m:val="p"/>
                              </m:rPr>
                              <a:rPr lang="pt-BR" sz="800" i="0">
                                <a:latin typeface="Cambria Math" panose="02040503050406030204" pitchFamily="18" charset="0"/>
                                <a:cs typeface="Sora" pitchFamily="2" charset="0"/>
                              </a:rPr>
                              <m:t>sitos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prazo</m:t>
                            </m:r>
                            <m:r>
                              <a:rPr lang="pt-BR" sz="800" i="0">
                                <a:latin typeface="Cambria Math" panose="02040503050406030204" pitchFamily="18" charset="0"/>
                                <a:cs typeface="Sora" pitchFamily="2" charset="0"/>
                              </a:rPr>
                              <m:t>,</m:t>
                            </m:r>
                            <m:r>
                              <m:rPr>
                                <m:sty m:val="p"/>
                              </m:rPr>
                              <a:rPr lang="pt-BR" sz="800" i="0">
                                <a:latin typeface="Cambria Math" panose="02040503050406030204" pitchFamily="18" charset="0"/>
                                <a:cs typeface="Sora" pitchFamily="2" charset="0"/>
                              </a:rPr>
                              <m:t>poupan</m:t>
                            </m:r>
                            <m:r>
                              <a:rPr lang="pt-BR" sz="800" i="0">
                                <a:latin typeface="Cambria Math" panose="02040503050406030204" pitchFamily="18" charset="0"/>
                                <a:cs typeface="Sora" pitchFamily="2" charset="0"/>
                              </a:rPr>
                              <m:t>ç</m:t>
                            </m:r>
                            <m:r>
                              <m:rPr>
                                <m:sty m:val="p"/>
                              </m:rPr>
                              <a:rPr lang="pt-BR" sz="800" i="0">
                                <a:latin typeface="Cambria Math" panose="02040503050406030204" pitchFamily="18" charset="0"/>
                                <a:cs typeface="Sora" pitchFamily="2" charset="0"/>
                              </a:rPr>
                              <m:t>a</m:t>
                            </m:r>
                            <m:r>
                              <a:rPr lang="pt-BR" sz="800" i="0">
                                <a:latin typeface="Cambria Math" panose="02040503050406030204" pitchFamily="18" charset="0"/>
                                <a:cs typeface="Sora" pitchFamily="2" charset="0"/>
                              </a:rPr>
                              <m:t>, </m:t>
                            </m:r>
                          </m:e>
                          <m:e>
                            <m:r>
                              <m:rPr>
                                <m:sty m:val="p"/>
                              </m:rPr>
                              <a:rPr lang="pt-BR" sz="800" i="0">
                                <a:latin typeface="Cambria Math" panose="02040503050406030204" pitchFamily="18" charset="0"/>
                                <a:cs typeface="Sora" pitchFamily="2" charset="0"/>
                              </a:rPr>
                              <m:t>credores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por</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recursos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liberar</m:t>
                            </m:r>
                            <m:r>
                              <a:rPr lang="pt-BR" sz="800" i="0">
                                <a:latin typeface="Cambria Math" panose="02040503050406030204" pitchFamily="18" charset="0"/>
                                <a:cs typeface="Sora" pitchFamily="2" charset="0"/>
                              </a:rPr>
                              <m:t>,</m:t>
                            </m:r>
                            <m:r>
                              <m:rPr>
                                <m:sty m:val="p"/>
                              </m:rPr>
                              <a:rPr lang="pt-BR" sz="800" i="0">
                                <a:latin typeface="Cambria Math" panose="02040503050406030204" pitchFamily="18" charset="0"/>
                                <a:cs typeface="Sora" pitchFamily="2" charset="0"/>
                              </a:rPr>
                              <m:t>t</m:t>
                            </m:r>
                            <m:r>
                              <a:rPr lang="pt-BR" sz="800" i="0">
                                <a:latin typeface="Cambria Math" panose="02040503050406030204" pitchFamily="18" charset="0"/>
                                <a:cs typeface="Sora" pitchFamily="2" charset="0"/>
                              </a:rPr>
                              <m:t>í</m:t>
                            </m:r>
                            <m:r>
                              <m:rPr>
                                <m:sty m:val="p"/>
                              </m:rPr>
                              <a:rPr lang="pt-BR" sz="800" i="0">
                                <a:latin typeface="Cambria Math" panose="02040503050406030204" pitchFamily="18" charset="0"/>
                                <a:cs typeface="Sora" pitchFamily="2" charset="0"/>
                              </a:rPr>
                              <m:t>tulos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emitidos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obriga</m:t>
                            </m:r>
                            <m:r>
                              <a:rPr lang="pt-BR" sz="800" i="0">
                                <a:latin typeface="Cambria Math" panose="02040503050406030204" pitchFamily="18" charset="0"/>
                                <a:cs typeface="Sora" pitchFamily="2" charset="0"/>
                              </a:rPr>
                              <m:t>çõ</m:t>
                            </m:r>
                            <m:r>
                              <m:rPr>
                                <m:sty m:val="p"/>
                              </m:rPr>
                              <a:rPr lang="pt-BR" sz="800" i="0">
                                <a:latin typeface="Cambria Math" panose="02040503050406030204" pitchFamily="18" charset="0"/>
                                <a:cs typeface="Sora" pitchFamily="2" charset="0"/>
                              </a:rPr>
                              <m:t>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com</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redes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cart</m:t>
                            </m:r>
                            <m:r>
                              <a:rPr lang="pt-BR" sz="800" i="0">
                                <a:latin typeface="Cambria Math" panose="02040503050406030204" pitchFamily="18" charset="0"/>
                                <a:cs typeface="Sora" pitchFamily="2" charset="0"/>
                              </a:rPr>
                              <m:t>ã</m:t>
                            </m:r>
                            <m:r>
                              <m:rPr>
                                <m:sty m:val="p"/>
                              </m:rPr>
                              <a:rPr lang="pt-BR" sz="800" i="0">
                                <a:latin typeface="Cambria Math" panose="02040503050406030204" pitchFamily="18" charset="0"/>
                                <a:cs typeface="Sora" pitchFamily="2" charset="0"/>
                              </a:rPr>
                              <m:t>o</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cr</m:t>
                            </m:r>
                            <m:r>
                              <a:rPr lang="pt-BR" sz="800" i="0">
                                <a:latin typeface="Cambria Math" panose="02040503050406030204" pitchFamily="18" charset="0"/>
                                <a:cs typeface="Sora" pitchFamily="2" charset="0"/>
                              </a:rPr>
                              <m:t>é</m:t>
                            </m:r>
                            <m:r>
                              <m:rPr>
                                <m:sty m:val="p"/>
                              </m:rPr>
                              <a:rPr lang="pt-BR" sz="800" i="0">
                                <a:latin typeface="Cambria Math" panose="02040503050406030204" pitchFamily="18" charset="0"/>
                                <a:cs typeface="Sora" pitchFamily="2" charset="0"/>
                              </a:rPr>
                              <m:t>dito</m:t>
                            </m:r>
                            <m:r>
                              <a:rPr lang="pt-BR" sz="800" i="0">
                                <a:latin typeface="Cambria Math" panose="02040503050406030204" pitchFamily="18" charset="0"/>
                                <a:cs typeface="Sora" pitchFamily="2" charset="0"/>
                              </a:rPr>
                              <m:t>,</m:t>
                            </m:r>
                          </m:e>
                          <m:e>
                            <m:r>
                              <m:rPr>
                                <m:sty m:val="p"/>
                              </m:rPr>
                              <a:rPr lang="pt-BR" sz="800" i="0">
                                <a:latin typeface="Cambria Math" panose="02040503050406030204" pitchFamily="18" charset="0"/>
                                <a:cs typeface="Sora" pitchFamily="2" charset="0"/>
                              </a:rPr>
                              <m:t>obriga</m:t>
                            </m:r>
                            <m:r>
                              <a:rPr lang="pt-BR" sz="800" i="0">
                                <a:latin typeface="Cambria Math" panose="02040503050406030204" pitchFamily="18" charset="0"/>
                                <a:cs typeface="Sora" pitchFamily="2" charset="0"/>
                              </a:rPr>
                              <m:t>çõ</m:t>
                            </m:r>
                            <m:r>
                              <m:rPr>
                                <m:sty m:val="p"/>
                              </m:rPr>
                              <a:rPr lang="pt-BR" sz="800" i="0">
                                <a:latin typeface="Cambria Math" panose="02040503050406030204" pitchFamily="18" charset="0"/>
                                <a:cs typeface="Sora" pitchFamily="2" charset="0"/>
                              </a:rPr>
                              <m:t>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por</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opera</m:t>
                            </m:r>
                            <m:r>
                              <a:rPr lang="pt-BR" sz="800" i="0">
                                <a:latin typeface="Cambria Math" panose="02040503050406030204" pitchFamily="18" charset="0"/>
                                <a:cs typeface="Sora" pitchFamily="2" charset="0"/>
                              </a:rPr>
                              <m:t>çõ</m:t>
                            </m:r>
                            <m:r>
                              <m:rPr>
                                <m:sty m:val="p"/>
                              </m:rPr>
                              <a:rPr lang="pt-BR" sz="800" i="0">
                                <a:latin typeface="Cambria Math" panose="02040503050406030204" pitchFamily="18" charset="0"/>
                                <a:cs typeface="Sora" pitchFamily="2" charset="0"/>
                              </a:rPr>
                              <m:t>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compromissadas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dep</m:t>
                            </m:r>
                            <m:r>
                              <a:rPr lang="pt-BR" sz="800" i="0">
                                <a:latin typeface="Cambria Math" panose="02040503050406030204" pitchFamily="18" charset="0"/>
                                <a:cs typeface="Sora" pitchFamily="2" charset="0"/>
                              </a:rPr>
                              <m:t>ó</m:t>
                            </m:r>
                            <m:r>
                              <m:rPr>
                                <m:sty m:val="p"/>
                              </m:rPr>
                              <a:rPr lang="pt-BR" sz="800" i="0">
                                <a:latin typeface="Cambria Math" panose="02040503050406030204" pitchFamily="18" charset="0"/>
                                <a:cs typeface="Sora" pitchFamily="2" charset="0"/>
                              </a:rPr>
                              <m:t>sitos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interfinanceiros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outros</m:t>
                            </m:r>
                            <m:r>
                              <a:rPr lang="pt-BR" sz="800" i="0">
                                <a:latin typeface="Cambria Math" panose="02040503050406030204" pitchFamily="18" charset="0"/>
                                <a:cs typeface="Sora" pitchFamily="2" charset="0"/>
                              </a:rPr>
                              <m:t>)</m:t>
                            </m:r>
                          </m:e>
                        </m:eqArr>
                      </m:den>
                    </m:f>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Custo de servir (CTS):</a:t>
              </a:r>
            </a:p>
            <a:p>
              <a:pPr algn="ctr"/>
              <a:endParaRPr lang="en-US" sz="800">
                <a:solidFill>
                  <a:schemeClr val="tx1">
                    <a:lumMod val="85000"/>
                    <a:lumOff val="15000"/>
                  </a:schemeClr>
                </a:solidFill>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a:rPr lang="pt-BR" sz="800">
                            <a:latin typeface="Cambria Math" panose="02040503050406030204" pitchFamily="18" charset="0"/>
                          </a:rPr>
                          <m:t>(</m:t>
                        </m:r>
                        <m:r>
                          <m:rPr>
                            <m:sty m:val="p"/>
                          </m:rPr>
                          <a:rPr lang="en-US" sz="800">
                            <a:solidFill>
                              <a:schemeClr val="tx1">
                                <a:lumMod val="85000"/>
                                <a:lumOff val="15000"/>
                              </a:schemeClr>
                            </a:solidFill>
                            <a:latin typeface="Cambria Math" panose="02040503050406030204" pitchFamily="18" charset="0"/>
                            <a:cs typeface="Sora" pitchFamily="2" charset="0"/>
                          </a:rPr>
                          <m:t>Despesas</m:t>
                        </m:r>
                        <m:r>
                          <a:rPr lang="en-US" sz="800">
                            <a:solidFill>
                              <a:schemeClr val="tx1">
                                <a:lumMod val="85000"/>
                                <a:lumOff val="15000"/>
                              </a:schemeClr>
                            </a:solidFill>
                            <a:latin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cs typeface="Sora" pitchFamily="2" charset="0"/>
                          </a:rPr>
                          <m:t>de</m:t>
                        </m:r>
                        <m:r>
                          <a:rPr lang="en-US" sz="800">
                            <a:solidFill>
                              <a:schemeClr val="tx1">
                                <a:lumMod val="85000"/>
                                <a:lumOff val="15000"/>
                              </a:schemeClr>
                            </a:solidFill>
                            <a:latin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cs typeface="Sora" pitchFamily="2" charset="0"/>
                          </a:rPr>
                          <m:t>pessoal</m:t>
                        </m:r>
                        <m:r>
                          <a:rPr lang="en-US" sz="800">
                            <a:solidFill>
                              <a:schemeClr val="tx1">
                                <a:lumMod val="85000"/>
                                <a:lumOff val="15000"/>
                              </a:schemeClr>
                            </a:solidFill>
                            <a:latin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cs typeface="Sora" pitchFamily="2" charset="0"/>
                          </a:rPr>
                          <m:t>D</m:t>
                        </m:r>
                        <m:r>
                          <m:rPr>
                            <m:sty m:val="p"/>
                          </m:rPr>
                          <a:rPr lang="en-US" sz="800">
                            <a:solidFill>
                              <a:schemeClr val="tx1">
                                <a:lumMod val="85000"/>
                                <a:lumOff val="15000"/>
                              </a:schemeClr>
                            </a:solidFill>
                            <a:latin typeface="Cambria Math" panose="02040503050406030204" pitchFamily="18" charset="0"/>
                            <a:cs typeface="Sora" pitchFamily="2" charset="0"/>
                          </a:rPr>
                          <m:t>espesas</m:t>
                        </m:r>
                        <m:r>
                          <a:rPr lang="en-US" sz="800">
                            <a:solidFill>
                              <a:schemeClr val="tx1">
                                <a:lumMod val="85000"/>
                                <a:lumOff val="15000"/>
                              </a:schemeClr>
                            </a:solidFill>
                            <a:latin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cs typeface="Sora" pitchFamily="2" charset="0"/>
                          </a:rPr>
                          <m:t>administrativas</m:t>
                        </m:r>
                        <m:r>
                          <a:rPr lang="pt-BR" sz="800" i="1">
                            <a:solidFill>
                              <a:schemeClr val="tx1">
                                <a:lumMod val="85000"/>
                                <a:lumOff val="15000"/>
                              </a:schemeClr>
                            </a:solidFill>
                            <a:latin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cs typeface="Sora" pitchFamily="2" charset="0"/>
                          </a:rPr>
                          <m:t>CAC</m:t>
                        </m:r>
                        <m:r>
                          <a:rPr lang="en-US" sz="800">
                            <a:solidFill>
                              <a:schemeClr val="tx1">
                                <a:lumMod val="85000"/>
                                <a:lumOff val="15000"/>
                              </a:schemeClr>
                            </a:solidFill>
                            <a:latin typeface="Cambria Math" panose="02040503050406030204" pitchFamily="18" charset="0"/>
                            <a:cs typeface="Sora" pitchFamily="2" charset="0"/>
                          </a:rPr>
                          <m:t> </m:t>
                        </m:r>
                        <m:r>
                          <m:rPr>
                            <m:sty m:val="p"/>
                          </m:rPr>
                          <a:rPr lang="en-US" sz="800">
                            <a:solidFill>
                              <a:schemeClr val="tx1">
                                <a:lumMod val="85000"/>
                                <a:lumOff val="15000"/>
                              </a:schemeClr>
                            </a:solidFill>
                            <a:latin typeface="Cambria Math" panose="02040503050406030204" pitchFamily="18" charset="0"/>
                            <a:cs typeface="Sora" pitchFamily="2" charset="0"/>
                          </a:rPr>
                          <m:t>Total</m:t>
                        </m:r>
                        <m:r>
                          <a:rPr lang="en-US" sz="800">
                            <a:solidFill>
                              <a:schemeClr val="tx1">
                                <a:lumMod val="85000"/>
                                <a:lumOff val="15000"/>
                              </a:schemeClr>
                            </a:solidFill>
                            <a:latin typeface="Cambria Math" panose="02040503050406030204" pitchFamily="18" charset="0"/>
                            <a:cs typeface="Sora" pitchFamily="2" charset="0"/>
                          </a:rPr>
                          <m:t> )÷</m:t>
                        </m:r>
                        <m:r>
                          <a:rPr lang="pt-BR" sz="800" i="1">
                            <a:solidFill>
                              <a:schemeClr val="tx1">
                                <a:lumMod val="85000"/>
                                <a:lumOff val="15000"/>
                              </a:schemeClr>
                            </a:solidFill>
                            <a:latin typeface="Cambria Math" panose="02040503050406030204" pitchFamily="18" charset="0"/>
                            <a:cs typeface="Sora" pitchFamily="2" charset="0"/>
                          </a:rPr>
                          <m:t>3)</m:t>
                        </m:r>
                      </m:num>
                      <m:den>
                        <m:r>
                          <m:rPr>
                            <m:sty m:val="p"/>
                          </m:rPr>
                          <a:rPr lang="pt-BR" sz="800">
                            <a:latin typeface="Cambria Math" panose="02040503050406030204" pitchFamily="18" charset="0"/>
                            <a:cs typeface="Sora" pitchFamily="2" charset="0"/>
                          </a:rPr>
                          <m:t>M</m:t>
                        </m:r>
                        <m:r>
                          <a:rPr lang="pt-BR" sz="800">
                            <a:latin typeface="Cambria Math" panose="02040503050406030204" pitchFamily="18" charset="0"/>
                            <a:cs typeface="Sora" pitchFamily="2" charset="0"/>
                          </a:rPr>
                          <m:t>é</m:t>
                        </m:r>
                        <m:r>
                          <m:rPr>
                            <m:sty m:val="p"/>
                          </m:rPr>
                          <a:rPr lang="pt-BR" sz="800">
                            <a:latin typeface="Cambria Math" panose="02040503050406030204" pitchFamily="18" charset="0"/>
                            <a:cs typeface="Sora" pitchFamily="2" charset="0"/>
                          </a:rPr>
                          <m:t>dia</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clientes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ativos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dos</m:t>
                        </m:r>
                        <m:r>
                          <a:rPr lang="pt-BR" sz="800">
                            <a:latin typeface="Cambria Math" panose="02040503050406030204" pitchFamily="18" charset="0"/>
                            <a:cs typeface="Sora" pitchFamily="2" charset="0"/>
                          </a:rPr>
                          <m:t> ú</m:t>
                        </m:r>
                        <m:r>
                          <m:rPr>
                            <m:sty m:val="p"/>
                          </m:rPr>
                          <a:rPr lang="pt-BR" sz="800">
                            <a:latin typeface="Cambria Math" panose="02040503050406030204" pitchFamily="18" charset="0"/>
                            <a:cs typeface="Sora" pitchFamily="2" charset="0"/>
                          </a:rPr>
                          <m:t>ltimos</m:t>
                        </m:r>
                        <m:r>
                          <a:rPr lang="pt-BR" sz="800">
                            <a:latin typeface="Cambria Math" panose="02040503050406030204" pitchFamily="18" charset="0"/>
                            <a:cs typeface="Sora" pitchFamily="2" charset="0"/>
                          </a:rPr>
                          <m:t> 2 </m:t>
                        </m:r>
                        <m:r>
                          <m:rPr>
                            <m:sty m:val="p"/>
                          </m:rPr>
                          <a:rPr lang="pt-BR" sz="800">
                            <a:latin typeface="Cambria Math" panose="02040503050406030204" pitchFamily="18" charset="0"/>
                            <a:cs typeface="Sora" pitchFamily="2" charset="0"/>
                          </a:rPr>
                          <m:t>trimestres</m:t>
                        </m:r>
                      </m:den>
                    </m:f>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Fee income ratio:</a:t>
              </a:r>
            </a:p>
            <a:p>
              <a:endParaRPr lang="pt-BR"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servi</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ç</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comiss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õ</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Outras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receitas</m:t>
                        </m:r>
                      </m:num>
                      <m:den>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 + </m:t>
                        </m:r>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servi</m:t>
                        </m:r>
                        <m:r>
                          <a:rPr lang="pt-BR" sz="800">
                            <a:latin typeface="Cambria Math" panose="02040503050406030204" pitchFamily="18" charset="0"/>
                          </a:rPr>
                          <m:t>ç</m:t>
                        </m:r>
                        <m:r>
                          <m:rPr>
                            <m:sty m:val="p"/>
                          </m:rPr>
                          <a:rPr lang="pt-BR" sz="800">
                            <a:latin typeface="Cambria Math" panose="02040503050406030204" pitchFamily="18" charset="0"/>
                          </a:rPr>
                          <m:t>os</m:t>
                        </m:r>
                        <m:r>
                          <a:rPr lang="pt-BR" sz="800">
                            <a:latin typeface="Cambria Math" panose="02040503050406030204" pitchFamily="18" charset="0"/>
                          </a:rPr>
                          <m:t> </m:t>
                        </m:r>
                        <m:r>
                          <m:rPr>
                            <m:sty m:val="p"/>
                          </m:rPr>
                          <a:rPr lang="pt-BR" sz="800">
                            <a:latin typeface="Cambria Math" panose="02040503050406030204" pitchFamily="18" charset="0"/>
                          </a:rPr>
                          <m:t>e</m:t>
                        </m:r>
                        <m:r>
                          <a:rPr lang="pt-BR" sz="800">
                            <a:latin typeface="Cambria Math" panose="02040503050406030204" pitchFamily="18" charset="0"/>
                          </a:rPr>
                          <m:t> </m:t>
                        </m:r>
                        <m:r>
                          <m:rPr>
                            <m:sty m:val="p"/>
                          </m:rPr>
                          <a:rPr lang="pt-BR" sz="800">
                            <a:latin typeface="Cambria Math" panose="02040503050406030204" pitchFamily="18" charset="0"/>
                          </a:rPr>
                          <m:t>comiss</m:t>
                        </m:r>
                        <m:r>
                          <a:rPr lang="pt-BR" sz="800">
                            <a:latin typeface="Cambria Math" panose="02040503050406030204" pitchFamily="18" charset="0"/>
                          </a:rPr>
                          <m:t>õ</m:t>
                        </m:r>
                        <m:r>
                          <m:rPr>
                            <m:sty m:val="p"/>
                          </m:rPr>
                          <a:rPr lang="pt-BR" sz="800">
                            <a:latin typeface="Cambria Math" panose="02040503050406030204" pitchFamily="18" charset="0"/>
                          </a:rPr>
                          <m:t>es</m:t>
                        </m:r>
                        <m:r>
                          <a:rPr lang="pt-BR" sz="800">
                            <a:latin typeface="Cambria Math" panose="02040503050406030204" pitchFamily="18" charset="0"/>
                          </a:rPr>
                          <m:t>+</m:t>
                        </m:r>
                        <m:r>
                          <m:rPr>
                            <m:sty m:val="p"/>
                          </m:rPr>
                          <a:rPr lang="pt-BR" sz="800">
                            <a:latin typeface="Cambria Math" panose="02040503050406030204" pitchFamily="18" charset="0"/>
                          </a:rPr>
                          <m:t>Outras</m:t>
                        </m:r>
                        <m:r>
                          <a:rPr lang="pt-BR" sz="800">
                            <a:latin typeface="Cambria Math" panose="02040503050406030204" pitchFamily="18" charset="0"/>
                          </a:rPr>
                          <m:t> </m:t>
                        </m:r>
                        <m:r>
                          <m:rPr>
                            <m:sty m:val="p"/>
                          </m:rPr>
                          <a:rPr lang="pt-BR" sz="800">
                            <a:latin typeface="Cambria Math" panose="02040503050406030204" pitchFamily="18" charset="0"/>
                          </a:rPr>
                          <m:t>Receitas</m:t>
                        </m:r>
                      </m:den>
                    </m:f>
                    <m:r>
                      <a:rPr lang="pt-BR" sz="800" b="0" i="1">
                        <a:latin typeface="Cambria Math" panose="02040503050406030204" pitchFamily="18" charset="0"/>
                      </a:rPr>
                      <m:t> </m:t>
                    </m:r>
                  </m:oMath>
                </m:oMathPara>
              </a14:m>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xdr:txBody>
        </xdr:sp>
      </mc:Choice>
      <mc:Fallback xmlns="">
        <xdr:sp macro="" textlink="">
          <xdr:nvSpPr>
            <xdr:cNvPr id="48" name="Retângulo 9">
              <a:extLst>
                <a:ext uri="{FF2B5EF4-FFF2-40B4-BE49-F238E27FC236}">
                  <a16:creationId xmlns:a16="http://schemas.microsoft.com/office/drawing/2014/main" id="{5B278FE1-A57E-AFEA-C21F-490D8D7CDCD1}"/>
                </a:ext>
              </a:extLst>
            </xdr:cNvPr>
            <xdr:cNvSpPr/>
          </xdr:nvSpPr>
          <xdr:spPr>
            <a:xfrm>
              <a:off x="6761358" y="15053015"/>
              <a:ext cx="5774108" cy="6106223"/>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Cost of risk:</a:t>
              </a:r>
            </a:p>
            <a:p>
              <a:endParaRPr lang="en-US" sz="800" b="1">
                <a:latin typeface="Calibri" panose="020F0502020204030204" pitchFamily="34" charset="0"/>
                <a:cs typeface="Calibri" panose="020F0502020204030204" pitchFamily="34" charset="0"/>
              </a:endParaRPr>
            </a:p>
            <a:p>
              <a:pP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Resultado de perdas por redução ao valor recuperável de ativos financeiros × 4</a:t>
              </a: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Média de empréstimos e adiantamento a clientes dos últimos 2 trimestres </a:t>
              </a:r>
              <a:r>
                <a:rPr lang="en-US" sz="800" i="0">
                  <a:latin typeface="Cambria Math" panose="02040503050406030204" pitchFamily="18" charset="0"/>
                  <a:cs typeface="Sora" pitchFamily="2" charset="0"/>
                </a:rPr>
                <a:t>)</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Cost of risk excluindo antecipação de recebíveis de cartão de crédito:</a:t>
              </a:r>
            </a:p>
            <a:p>
              <a:endParaRPr lang="en-US" sz="800" b="1">
                <a:latin typeface="Calibri" panose="020F0502020204030204" pitchFamily="34" charset="0"/>
                <a:cs typeface="Calibri" panose="020F0502020204030204" pitchFamily="34" charset="0"/>
              </a:endParaRPr>
            </a:p>
            <a:p>
              <a:pP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Resultado de perdas por redução ao valor recuperável de ativos financeiros × 4</a:t>
              </a: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Média de empréstimos e adiantamento a clientes dos últimos 2 trimestres excluindoantecipação de recebíveis de cartão de crédito</a:t>
              </a:r>
              <a:r>
                <a:rPr lang="en-US" sz="800" i="0">
                  <a:latin typeface="Cambria Math" panose="02040503050406030204" pitchFamily="18" charset="0"/>
                  <a:cs typeface="Sora" pitchFamily="2" charset="0"/>
                </a:rPr>
                <a:t>)</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Cost of risk excluindo cartão de crédito:</a:t>
              </a:r>
            </a:p>
            <a:p>
              <a:endParaRPr lang="en-US" sz="800" b="1">
                <a:latin typeface="Calibri" panose="020F0502020204030204" pitchFamily="34" charset="0"/>
                <a:cs typeface="Calibri" panose="020F0502020204030204" pitchFamily="34" charset="0"/>
              </a:endParaRPr>
            </a:p>
            <a:p>
              <a:pP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Resultado de perdas por redução ao valor recuperável de ativos financeiros × 4</a:t>
              </a: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Média de empréstimos e adiantamento a clientes dos últimos 2 trimestres excluindo cartão de crédito</a:t>
              </a:r>
              <a:r>
                <a:rPr lang="en-US" sz="80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  </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Custo de  funding:</a:t>
              </a:r>
            </a:p>
            <a:p>
              <a:endParaRPr lang="en-US" sz="800" b="1">
                <a:latin typeface="Calibri" panose="020F0502020204030204" pitchFamily="34" charset="0"/>
                <a:cs typeface="Calibri" panose="020F0502020204030204" pitchFamily="34" charset="0"/>
              </a:endParaRPr>
            </a:p>
            <a:p>
              <a:pPr/>
              <a:r>
                <a:rPr lang="en-US" sz="800" i="0">
                  <a:latin typeface="Cambria Math" panose="02040503050406030204" pitchFamily="18" charset="0"/>
                  <a:cs typeface="Sora" pitchFamily="2" charset="0"/>
                </a:rPr>
                <a:t>(</a:t>
              </a:r>
              <a:r>
                <a:rPr lang="pt-BR" sz="800" b="0" i="0">
                  <a:latin typeface="Cambria Math" panose="02040503050406030204" pitchFamily="18" charset="0"/>
                  <a:cs typeface="Sora" pitchFamily="2" charset="0"/>
                </a:rPr>
                <a:t>Despesas de juros × 4</a:t>
              </a:r>
              <a:r>
                <a:rPr lang="en-US" sz="800" b="0" i="0">
                  <a:latin typeface="Cambria Math" panose="02040503050406030204" pitchFamily="18" charset="0"/>
                  <a:cs typeface="Sora" pitchFamily="2" charset="0"/>
                </a:rPr>
                <a:t>)/</a:t>
              </a:r>
              <a:r>
                <a:rPr lang="pt-BR" sz="800" b="0" i="0">
                  <a:latin typeface="Cambria Math" panose="02040503050406030204" pitchFamily="18" charset="0"/>
                  <a:cs typeface="Sora" pitchFamily="2" charset="0"/>
                </a:rPr>
                <a:t>█(</a:t>
              </a:r>
              <a:r>
                <a:rPr lang="pt-BR" sz="800" i="0">
                  <a:latin typeface="Cambria Math" panose="02040503050406030204" pitchFamily="18" charset="0"/>
                  <a:cs typeface="Sora" pitchFamily="2" charset="0"/>
                </a:rPr>
                <a:t>Média dos passivos remunerados dos últimos 2 trimestres (depósitos à vista, depósitos a prazo,poupança, @credores por recursos a liberar,títulos emitidos, obrigações com redes de cartão de crédito,@obrigações por operações compromissadas, depósitos interfinanceiros e outros))</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Custo de servir (CTS):</a:t>
              </a:r>
            </a:p>
            <a:p>
              <a:pPr algn="ctr"/>
              <a:endParaRPr lang="en-US" sz="800">
                <a:solidFill>
                  <a:schemeClr val="tx1">
                    <a:lumMod val="85000"/>
                    <a:lumOff val="15000"/>
                  </a:schemeClr>
                </a:solidFill>
                <a:latin typeface="Calibri" panose="020F0502020204030204" pitchFamily="34" charset="0"/>
                <a:cs typeface="Calibri" panose="020F0502020204030204" pitchFamily="34" charset="0"/>
              </a:endParaRPr>
            </a:p>
            <a:p>
              <a:pPr algn="ctr"/>
              <a:r>
                <a:rPr lang="pt-BR" sz="800" i="0">
                  <a:latin typeface="Cambria Math" panose="02040503050406030204" pitchFamily="18" charset="0"/>
                </a:rPr>
                <a:t>((</a:t>
              </a:r>
              <a:r>
                <a:rPr lang="en-US" sz="800" i="0">
                  <a:solidFill>
                    <a:schemeClr val="tx1">
                      <a:lumMod val="85000"/>
                      <a:lumOff val="15000"/>
                    </a:schemeClr>
                  </a:solidFill>
                  <a:latin typeface="Cambria Math" panose="02040503050406030204" pitchFamily="18" charset="0"/>
                  <a:cs typeface="Sora" pitchFamily="2" charset="0"/>
                </a:rPr>
                <a:t>Despesas de pessoal+</a:t>
              </a:r>
              <a:r>
                <a:rPr lang="pt-BR" sz="800" b="0" i="0">
                  <a:solidFill>
                    <a:schemeClr val="tx1">
                      <a:lumMod val="85000"/>
                      <a:lumOff val="15000"/>
                    </a:schemeClr>
                  </a:solidFill>
                  <a:latin typeface="Cambria Math" panose="02040503050406030204" pitchFamily="18" charset="0"/>
                  <a:cs typeface="Sora" pitchFamily="2" charset="0"/>
                </a:rPr>
                <a:t>D</a:t>
              </a:r>
              <a:r>
                <a:rPr lang="en-US" sz="800" i="0">
                  <a:solidFill>
                    <a:schemeClr val="tx1">
                      <a:lumMod val="85000"/>
                      <a:lumOff val="15000"/>
                    </a:schemeClr>
                  </a:solidFill>
                  <a:latin typeface="Cambria Math" panose="02040503050406030204" pitchFamily="18" charset="0"/>
                  <a:cs typeface="Sora" pitchFamily="2" charset="0"/>
                </a:rPr>
                <a:t>espesas administrativas</a:t>
              </a:r>
              <a:r>
                <a:rPr lang="pt-BR" sz="800" i="0">
                  <a:solidFill>
                    <a:schemeClr val="tx1">
                      <a:lumMod val="85000"/>
                      <a:lumOff val="15000"/>
                    </a:schemeClr>
                  </a:solidFill>
                  <a:latin typeface="Cambria Math" panose="02040503050406030204" pitchFamily="18" charset="0"/>
                  <a:cs typeface="Sora" pitchFamily="2" charset="0"/>
                </a:rPr>
                <a:t> −</a:t>
              </a:r>
              <a:r>
                <a:rPr lang="en-US" sz="800" i="0">
                  <a:solidFill>
                    <a:schemeClr val="tx1">
                      <a:lumMod val="85000"/>
                      <a:lumOff val="15000"/>
                    </a:schemeClr>
                  </a:solidFill>
                  <a:latin typeface="Cambria Math" panose="02040503050406030204" pitchFamily="18" charset="0"/>
                  <a:cs typeface="Sora" pitchFamily="2" charset="0"/>
                </a:rPr>
                <a:t>CAC Total )÷</a:t>
              </a:r>
              <a:r>
                <a:rPr lang="pt-BR" sz="800" i="0">
                  <a:solidFill>
                    <a:schemeClr val="tx1">
                      <a:lumMod val="85000"/>
                      <a:lumOff val="15000"/>
                    </a:schemeClr>
                  </a:solidFill>
                  <a:latin typeface="Cambria Math" panose="02040503050406030204" pitchFamily="18" charset="0"/>
                  <a:cs typeface="Sora" pitchFamily="2" charset="0"/>
                </a:rPr>
                <a:t>3))/(</a:t>
              </a:r>
              <a:r>
                <a:rPr lang="pt-BR" sz="800" i="0">
                  <a:latin typeface="Cambria Math" panose="02040503050406030204" pitchFamily="18" charset="0"/>
                  <a:cs typeface="Sora" pitchFamily="2" charset="0"/>
                </a:rPr>
                <a:t>Média de clientes ativos dos últimos 2 trimestres)</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Fee income ratio:</a:t>
              </a:r>
            </a:p>
            <a:p>
              <a:endParaRPr lang="pt-BR"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Receita de servi</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ç</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os e comiss</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õ</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es+Outras receitas)/(</a:t>
              </a:r>
              <a:r>
                <a:rPr lang="pt-BR" sz="800" i="0">
                  <a:latin typeface="Cambria Math" panose="02040503050406030204" pitchFamily="18" charset="0"/>
                </a:rPr>
                <a:t>Resultado líquido de juros + Resultado líquido de serviços e comissões+Outras Receitas)</a:t>
              </a:r>
              <a:r>
                <a:rPr lang="pt-BR" sz="800" b="0" i="0">
                  <a:latin typeface="Cambria Math" panose="02040503050406030204" pitchFamily="18" charset="0"/>
                </a:rPr>
                <a:t>  </a:t>
              </a:r>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xdr:txBody>
        </xdr:sp>
      </mc:Fallback>
    </mc:AlternateContent>
    <xdr:clientData/>
  </xdr:twoCellAnchor>
  <xdr:twoCellAnchor>
    <xdr:from>
      <xdr:col>8</xdr:col>
      <xdr:colOff>122382</xdr:colOff>
      <xdr:row>113</xdr:row>
      <xdr:rowOff>127386</xdr:rowOff>
    </xdr:from>
    <xdr:to>
      <xdr:col>15</xdr:col>
      <xdr:colOff>97409</xdr:colOff>
      <xdr:row>143</xdr:row>
      <xdr:rowOff>181212</xdr:rowOff>
    </xdr:to>
    <mc:AlternateContent xmlns:mc="http://schemas.openxmlformats.org/markup-compatibility/2006" xmlns:a14="http://schemas.microsoft.com/office/drawing/2010/main">
      <mc:Choice Requires="a14">
        <xdr:sp macro="" textlink="">
          <xdr:nvSpPr>
            <xdr:cNvPr id="49" name="Retângulo 9">
              <a:extLst>
                <a:ext uri="{FF2B5EF4-FFF2-40B4-BE49-F238E27FC236}">
                  <a16:creationId xmlns:a16="http://schemas.microsoft.com/office/drawing/2014/main" id="{00000000-0008-0000-1600-000031000000}"/>
                </a:ext>
              </a:extLst>
            </xdr:cNvPr>
            <xdr:cNvSpPr/>
          </xdr:nvSpPr>
          <xdr:spPr>
            <a:xfrm>
              <a:off x="6748469" y="20925937"/>
              <a:ext cx="5772853" cy="557556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Formação de estágio 3:</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a:latin typeface="Cambria Math" panose="02040503050406030204" pitchFamily="18" charset="0"/>
                          </a:rPr>
                          <m:t>Saldo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est</m:t>
                        </m:r>
                        <m:r>
                          <a:rPr lang="pt-BR" sz="800">
                            <a:latin typeface="Cambria Math" panose="02040503050406030204" pitchFamily="18" charset="0"/>
                          </a:rPr>
                          <m:t>á</m:t>
                        </m:r>
                        <m:r>
                          <m:rPr>
                            <m:sty m:val="p"/>
                          </m:rPr>
                          <a:rPr lang="pt-BR" sz="800">
                            <a:latin typeface="Cambria Math" panose="02040503050406030204" pitchFamily="18" charset="0"/>
                          </a:rPr>
                          <m:t>gio</m:t>
                        </m:r>
                        <m:r>
                          <a:rPr lang="pt-BR" sz="800">
                            <a:latin typeface="Cambria Math" panose="02040503050406030204" pitchFamily="18" charset="0"/>
                          </a:rPr>
                          <m:t> 3 </m:t>
                        </m:r>
                        <m:r>
                          <m:rPr>
                            <m:sty m:val="p"/>
                          </m:rPr>
                          <a:rPr lang="pt-BR" sz="800">
                            <a:latin typeface="Cambria Math" panose="02040503050406030204" pitchFamily="18" charset="0"/>
                          </a:rPr>
                          <m:t>do</m:t>
                        </m:r>
                        <m:r>
                          <a:rPr lang="pt-BR" sz="800">
                            <a:latin typeface="Cambria Math" panose="02040503050406030204" pitchFamily="18" charset="0"/>
                          </a:rPr>
                          <m:t> </m:t>
                        </m:r>
                        <m:r>
                          <m:rPr>
                            <m:sty m:val="p"/>
                          </m:rPr>
                          <a:rPr lang="pt-BR" sz="800">
                            <a:latin typeface="Cambria Math" panose="02040503050406030204" pitchFamily="18" charset="0"/>
                          </a:rPr>
                          <m:t>trimestre</m:t>
                        </m:r>
                        <m:r>
                          <a:rPr lang="pt-BR" sz="800">
                            <a:latin typeface="Cambria Math" panose="02040503050406030204" pitchFamily="18" charset="0"/>
                          </a:rPr>
                          <m:t> </m:t>
                        </m:r>
                        <m:r>
                          <m:rPr>
                            <m:sty m:val="p"/>
                          </m:rPr>
                          <a:rPr lang="pt-BR" sz="800">
                            <a:latin typeface="Cambria Math" panose="02040503050406030204" pitchFamily="18" charset="0"/>
                          </a:rPr>
                          <m:t>atual</m:t>
                        </m:r>
                        <m:r>
                          <a:rPr lang="pt-BR" sz="800">
                            <a:latin typeface="Cambria Math" panose="02040503050406030204" pitchFamily="18" charset="0"/>
                          </a:rPr>
                          <m:t> –</m:t>
                        </m:r>
                        <m:r>
                          <m:rPr>
                            <m:sty m:val="p"/>
                          </m:rPr>
                          <a:rPr lang="pt-BR" sz="800">
                            <a:latin typeface="Cambria Math" panose="02040503050406030204" pitchFamily="18" charset="0"/>
                          </a:rPr>
                          <m:t>Saldo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est</m:t>
                        </m:r>
                        <m:r>
                          <a:rPr lang="pt-BR" sz="800">
                            <a:latin typeface="Cambria Math" panose="02040503050406030204" pitchFamily="18" charset="0"/>
                          </a:rPr>
                          <m:t>á</m:t>
                        </m:r>
                        <m:r>
                          <m:rPr>
                            <m:sty m:val="p"/>
                          </m:rPr>
                          <a:rPr lang="pt-BR" sz="800">
                            <a:latin typeface="Cambria Math" panose="02040503050406030204" pitchFamily="18" charset="0"/>
                          </a:rPr>
                          <m:t>gio</m:t>
                        </m:r>
                        <m:r>
                          <a:rPr lang="pt-BR" sz="800">
                            <a:latin typeface="Cambria Math" panose="02040503050406030204" pitchFamily="18" charset="0"/>
                          </a:rPr>
                          <m:t> 3 </m:t>
                        </m:r>
                        <m:r>
                          <m:rPr>
                            <m:sty m:val="p"/>
                          </m:rPr>
                          <a:rPr lang="pt-BR" sz="800">
                            <a:latin typeface="Cambria Math" panose="02040503050406030204" pitchFamily="18" charset="0"/>
                          </a:rPr>
                          <m:t>do</m:t>
                        </m:r>
                        <m:r>
                          <a:rPr lang="pt-BR" sz="800">
                            <a:latin typeface="Cambria Math" panose="02040503050406030204" pitchFamily="18" charset="0"/>
                          </a:rPr>
                          <m:t> </m:t>
                        </m:r>
                        <m:r>
                          <m:rPr>
                            <m:sty m:val="p"/>
                          </m:rPr>
                          <a:rPr lang="pt-BR" sz="800">
                            <a:latin typeface="Cambria Math" panose="02040503050406030204" pitchFamily="18" charset="0"/>
                          </a:rPr>
                          <m:t>trimestre</m:t>
                        </m:r>
                        <m:r>
                          <a:rPr lang="pt-BR" sz="800">
                            <a:latin typeface="Cambria Math" panose="02040503050406030204" pitchFamily="18" charset="0"/>
                          </a:rPr>
                          <m:t> </m:t>
                        </m:r>
                        <m:r>
                          <m:rPr>
                            <m:sty m:val="p"/>
                          </m:rPr>
                          <a:rPr lang="pt-BR" sz="800">
                            <a:latin typeface="Cambria Math" panose="02040503050406030204" pitchFamily="18" charset="0"/>
                          </a:rPr>
                          <m:t>anterior</m:t>
                        </m:r>
                        <m:r>
                          <a:rPr lang="pt-BR" sz="800">
                            <a:latin typeface="Cambria Math" panose="02040503050406030204" pitchFamily="18" charset="0"/>
                          </a:rPr>
                          <m:t> +</m:t>
                        </m:r>
                        <m:r>
                          <m:rPr>
                            <m:sty m:val="p"/>
                          </m:rPr>
                          <a:rPr lang="pt-BR" sz="800">
                            <a:latin typeface="Cambria Math" panose="02040503050406030204" pitchFamily="18" charset="0"/>
                          </a:rPr>
                          <m:t>Migra</m:t>
                        </m:r>
                        <m:r>
                          <a:rPr lang="pt-BR" sz="800">
                            <a:latin typeface="Cambria Math" panose="02040503050406030204" pitchFamily="18" charset="0"/>
                          </a:rPr>
                          <m:t>çã</m:t>
                        </m:r>
                        <m:r>
                          <m:rPr>
                            <m:sty m:val="p"/>
                          </m:rPr>
                          <a:rPr lang="pt-BR" sz="800">
                            <a:latin typeface="Cambria Math" panose="02040503050406030204" pitchFamily="18" charset="0"/>
                          </a:rPr>
                          <m:t>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write</m:t>
                        </m:r>
                        <m:r>
                          <a:rPr lang="pt-BR" sz="800">
                            <a:latin typeface="Cambria Math" panose="02040503050406030204" pitchFamily="18" charset="0"/>
                          </a:rPr>
                          <m:t>−</m:t>
                        </m:r>
                        <m:r>
                          <m:rPr>
                            <m:sty m:val="p"/>
                          </m:rPr>
                          <a:rPr lang="pt-BR" sz="800">
                            <a:latin typeface="Cambria Math" panose="02040503050406030204" pitchFamily="18" charset="0"/>
                          </a:rPr>
                          <m:t>off</m:t>
                        </m:r>
                        <m:r>
                          <a:rPr lang="pt-BR" sz="800">
                            <a:latin typeface="Cambria Math" panose="02040503050406030204" pitchFamily="18" charset="0"/>
                          </a:rPr>
                          <m:t> </m:t>
                        </m:r>
                        <m:r>
                          <m:rPr>
                            <m:sty m:val="p"/>
                          </m:rPr>
                          <a:rPr lang="pt-BR" sz="800">
                            <a:latin typeface="Cambria Math" panose="02040503050406030204" pitchFamily="18" charset="0"/>
                          </a:rPr>
                          <m:t>no</m:t>
                        </m:r>
                        <m:r>
                          <a:rPr lang="pt-BR" sz="800">
                            <a:latin typeface="Cambria Math" panose="02040503050406030204" pitchFamily="18" charset="0"/>
                          </a:rPr>
                          <m:t> </m:t>
                        </m:r>
                        <m:r>
                          <m:rPr>
                            <m:sty m:val="p"/>
                          </m:rPr>
                          <a:rPr lang="pt-BR" sz="800">
                            <a:latin typeface="Cambria Math" panose="02040503050406030204" pitchFamily="18" charset="0"/>
                          </a:rPr>
                          <m:t>trimestre</m:t>
                        </m:r>
                        <m:r>
                          <a:rPr lang="pt-BR" sz="800">
                            <a:latin typeface="Cambria Math" panose="02040503050406030204" pitchFamily="18" charset="0"/>
                          </a:rPr>
                          <m:t> </m:t>
                        </m:r>
                        <m:r>
                          <m:rPr>
                            <m:sty m:val="p"/>
                          </m:rPr>
                          <a:rPr lang="pt-BR" sz="800">
                            <a:latin typeface="Cambria Math" panose="02040503050406030204" pitchFamily="18" charset="0"/>
                          </a:rPr>
                          <m:t>atual</m:t>
                        </m:r>
                      </m:num>
                      <m:den>
                        <m:r>
                          <m:rPr>
                            <m:sty m:val="p"/>
                          </m:rPr>
                          <a:rPr lang="en-US" sz="800" i="0">
                            <a:latin typeface="Cambria Math" panose="02040503050406030204" pitchFamily="18" charset="0"/>
                            <a:cs typeface="Sora" pitchFamily="2" charset="0"/>
                          </a:rPr>
                          <m:t>Empr</m:t>
                        </m:r>
                        <m:r>
                          <a:rPr lang="en-US" sz="800" i="0">
                            <a:latin typeface="Cambria Math" panose="02040503050406030204" pitchFamily="18" charset="0"/>
                            <a:cs typeface="Sora" pitchFamily="2" charset="0"/>
                          </a:rPr>
                          <m:t>é</m:t>
                        </m:r>
                        <m:r>
                          <m:rPr>
                            <m:sty m:val="p"/>
                          </m:rPr>
                          <a:rPr lang="en-US" sz="800" i="0">
                            <a:latin typeface="Cambria Math" panose="02040503050406030204" pitchFamily="18" charset="0"/>
                            <a:cs typeface="Sora" pitchFamily="2" charset="0"/>
                          </a:rPr>
                          <m:t>stimos</m:t>
                        </m:r>
                        <m:r>
                          <a:rPr lang="en-US" sz="800" i="0">
                            <a:latin typeface="Cambria Math" panose="02040503050406030204" pitchFamily="18" charset="0"/>
                            <a:cs typeface="Sora" pitchFamily="2" charset="0"/>
                          </a:rPr>
                          <m:t> </m:t>
                        </m:r>
                        <m:r>
                          <m:rPr>
                            <m:sty m:val="p"/>
                          </m:rPr>
                          <a:rPr lang="en-US" sz="800" i="0">
                            <a:latin typeface="Cambria Math" panose="02040503050406030204" pitchFamily="18" charset="0"/>
                            <a:cs typeface="Sora" pitchFamily="2" charset="0"/>
                          </a:rPr>
                          <m:t>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adiantamentos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totais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trimestre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anterior</m:t>
                        </m:r>
                      </m:den>
                    </m:f>
                    <m:r>
                      <a:rPr lang="pt-BR" sz="800" b="0" i="1">
                        <a:latin typeface="Cambria Math" panose="02040503050406030204" pitchFamily="18" charset="0"/>
                        <a:cs typeface="Sora" pitchFamily="2" charset="0"/>
                      </a:rPr>
                      <m:t> </m:t>
                    </m:r>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Formação de NPL:</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eqArr>
                          <m:eqArrPr>
                            <m:ctrlPr>
                              <a:rPr lang="pt-BR" sz="800" i="1">
                                <a:latin typeface="Cambria Math" panose="02040503050406030204" pitchFamily="18" charset="0"/>
                              </a:rPr>
                            </m:ctrlPr>
                          </m:eqArrPr>
                          <m:e>
                            <m:r>
                              <m:rPr>
                                <m:sty m:val="p"/>
                              </m:rPr>
                              <a:rPr lang="pt-BR" sz="800">
                                <a:latin typeface="Cambria Math" panose="02040503050406030204" pitchFamily="18" charset="0"/>
                              </a:rPr>
                              <m:t>Saldo</m:t>
                            </m:r>
                            <m:r>
                              <a:rPr lang="pt-BR" sz="800">
                                <a:latin typeface="Cambria Math" panose="02040503050406030204" pitchFamily="18" charset="0"/>
                              </a:rPr>
                              <m:t> </m:t>
                            </m:r>
                            <m:r>
                              <m:rPr>
                                <m:sty m:val="p"/>
                              </m:rPr>
                              <a:rPr lang="pt-BR" sz="800">
                                <a:latin typeface="Cambria Math" panose="02040503050406030204" pitchFamily="18" charset="0"/>
                              </a:rPr>
                              <m:t>vencido</m:t>
                            </m:r>
                            <m:r>
                              <a:rPr lang="pt-BR" sz="800">
                                <a:latin typeface="Cambria Math" panose="02040503050406030204" pitchFamily="18" charset="0"/>
                              </a:rPr>
                              <m:t> </m:t>
                            </m:r>
                            <m:r>
                              <m:rPr>
                                <m:sty m:val="p"/>
                              </m:rPr>
                              <a:rPr lang="pt-BR" sz="800">
                                <a:latin typeface="Cambria Math" panose="02040503050406030204" pitchFamily="18" charset="0"/>
                              </a:rPr>
                              <m:t>h</m:t>
                            </m:r>
                            <m:r>
                              <a:rPr lang="pt-BR" sz="800">
                                <a:latin typeface="Cambria Math" panose="02040503050406030204" pitchFamily="18" charset="0"/>
                              </a:rPr>
                              <m:t>á </m:t>
                            </m:r>
                            <m:r>
                              <m:rPr>
                                <m:sty m:val="p"/>
                              </m:rPr>
                              <a:rPr lang="pt-BR" sz="800">
                                <a:latin typeface="Cambria Math" panose="02040503050406030204" pitchFamily="18" charset="0"/>
                              </a:rPr>
                              <m:t>mais</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90 </m:t>
                            </m:r>
                            <m:r>
                              <m:rPr>
                                <m:sty m:val="p"/>
                              </m:rPr>
                              <a:rPr lang="pt-BR" sz="800">
                                <a:latin typeface="Cambria Math" panose="02040503050406030204" pitchFamily="18" charset="0"/>
                              </a:rPr>
                              <m:t>dias</m:t>
                            </m:r>
                            <m:r>
                              <a:rPr lang="pt-BR" sz="800">
                                <a:latin typeface="Cambria Math" panose="02040503050406030204" pitchFamily="18" charset="0"/>
                              </a:rPr>
                              <m:t> </m:t>
                            </m:r>
                            <m:r>
                              <m:rPr>
                                <m:sty m:val="p"/>
                              </m:rPr>
                              <a:rPr lang="pt-BR" sz="800">
                                <a:latin typeface="Cambria Math" panose="02040503050406030204" pitchFamily="18" charset="0"/>
                              </a:rPr>
                              <m:t>do</m:t>
                            </m:r>
                            <m:r>
                              <a:rPr lang="pt-BR" sz="800">
                                <a:latin typeface="Cambria Math" panose="02040503050406030204" pitchFamily="18" charset="0"/>
                              </a:rPr>
                              <m:t> </m:t>
                            </m:r>
                            <m:r>
                              <m:rPr>
                                <m:sty m:val="p"/>
                              </m:rPr>
                              <a:rPr lang="pt-BR" sz="800">
                                <a:latin typeface="Cambria Math" panose="02040503050406030204" pitchFamily="18" charset="0"/>
                              </a:rPr>
                              <m:t>trimestre</m:t>
                            </m:r>
                            <m:r>
                              <a:rPr lang="pt-BR" sz="800">
                                <a:latin typeface="Cambria Math" panose="02040503050406030204" pitchFamily="18" charset="0"/>
                              </a:rPr>
                              <m:t> </m:t>
                            </m:r>
                            <m:r>
                              <m:rPr>
                                <m:sty m:val="p"/>
                              </m:rPr>
                              <a:rPr lang="pt-BR" sz="800">
                                <a:latin typeface="Cambria Math" panose="02040503050406030204" pitchFamily="18" charset="0"/>
                              </a:rPr>
                              <m:t>atual</m:t>
                            </m:r>
                            <m:r>
                              <a:rPr lang="pt-BR" sz="800">
                                <a:latin typeface="Cambria Math" panose="02040503050406030204" pitchFamily="18" charset="0"/>
                              </a:rPr>
                              <m:t> –</m:t>
                            </m:r>
                            <m:r>
                              <m:rPr>
                                <m:sty m:val="p"/>
                              </m:rPr>
                              <a:rPr lang="pt-BR" sz="800">
                                <a:latin typeface="Cambria Math" panose="02040503050406030204" pitchFamily="18" charset="0"/>
                              </a:rPr>
                              <m:t>Saldo</m:t>
                            </m:r>
                            <m:r>
                              <a:rPr lang="pt-BR" sz="800">
                                <a:latin typeface="Cambria Math" panose="02040503050406030204" pitchFamily="18" charset="0"/>
                              </a:rPr>
                              <m:t> </m:t>
                            </m:r>
                            <m:r>
                              <m:rPr>
                                <m:sty m:val="p"/>
                              </m:rPr>
                              <a:rPr lang="pt-BR" sz="800">
                                <a:latin typeface="Cambria Math" panose="02040503050406030204" pitchFamily="18" charset="0"/>
                              </a:rPr>
                              <m:t>vencido</m:t>
                            </m:r>
                            <m:r>
                              <a:rPr lang="pt-BR" sz="800">
                                <a:latin typeface="Cambria Math" panose="02040503050406030204" pitchFamily="18" charset="0"/>
                              </a:rPr>
                              <m:t> </m:t>
                            </m:r>
                            <m:r>
                              <m:rPr>
                                <m:sty m:val="p"/>
                              </m:rPr>
                              <a:rPr lang="pt-BR" sz="800">
                                <a:latin typeface="Cambria Math" panose="02040503050406030204" pitchFamily="18" charset="0"/>
                              </a:rPr>
                              <m:t>h</m:t>
                            </m:r>
                            <m:r>
                              <a:rPr lang="pt-BR" sz="800">
                                <a:latin typeface="Cambria Math" panose="02040503050406030204" pitchFamily="18" charset="0"/>
                              </a:rPr>
                              <m:t>á </m:t>
                            </m:r>
                            <m:r>
                              <m:rPr>
                                <m:sty m:val="p"/>
                              </m:rPr>
                              <a:rPr lang="pt-BR" sz="800">
                                <a:latin typeface="Cambria Math" panose="02040503050406030204" pitchFamily="18" charset="0"/>
                              </a:rPr>
                              <m:t>mais</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90 </m:t>
                            </m:r>
                            <m:r>
                              <m:rPr>
                                <m:sty m:val="p"/>
                              </m:rPr>
                              <a:rPr lang="pt-BR" sz="800">
                                <a:latin typeface="Cambria Math" panose="02040503050406030204" pitchFamily="18" charset="0"/>
                              </a:rPr>
                              <m:t>dias</m:t>
                            </m:r>
                            <m:r>
                              <a:rPr lang="pt-BR" sz="800">
                                <a:latin typeface="Cambria Math" panose="02040503050406030204" pitchFamily="18" charset="0"/>
                              </a:rPr>
                              <m:t> </m:t>
                            </m:r>
                            <m:r>
                              <m:rPr>
                                <m:sty m:val="p"/>
                              </m:rPr>
                              <a:rPr lang="pt-BR" sz="800">
                                <a:latin typeface="Cambria Math" panose="02040503050406030204" pitchFamily="18" charset="0"/>
                              </a:rPr>
                              <m:t>do</m:t>
                            </m:r>
                            <m:r>
                              <a:rPr lang="pt-BR" sz="800" b="0" i="0">
                                <a:latin typeface="Cambria Math" panose="02040503050406030204" pitchFamily="18" charset="0"/>
                              </a:rPr>
                              <m:t> </m:t>
                            </m:r>
                            <m:r>
                              <m:rPr>
                                <m:sty m:val="p"/>
                              </m:rPr>
                              <a:rPr lang="pt-BR" sz="800">
                                <a:latin typeface="Cambria Math" panose="02040503050406030204" pitchFamily="18" charset="0"/>
                              </a:rPr>
                              <m:t>trimestreanterior</m:t>
                            </m:r>
                            <m:r>
                              <a:rPr lang="pt-BR" sz="800">
                                <a:latin typeface="Cambria Math" panose="02040503050406030204" pitchFamily="18" charset="0"/>
                              </a:rPr>
                              <m:t> +</m:t>
                            </m:r>
                            <m:r>
                              <m:rPr>
                                <m:sty m:val="p"/>
                              </m:rPr>
                              <a:rPr lang="pt-BR" sz="800">
                                <a:latin typeface="Cambria Math" panose="02040503050406030204" pitchFamily="18" charset="0"/>
                              </a:rPr>
                              <m:t>Migra</m:t>
                            </m:r>
                            <m:r>
                              <a:rPr lang="pt-BR" sz="800">
                                <a:latin typeface="Cambria Math" panose="02040503050406030204" pitchFamily="18" charset="0"/>
                              </a:rPr>
                              <m:t>çã</m:t>
                            </m:r>
                            <m:r>
                              <m:rPr>
                                <m:sty m:val="p"/>
                              </m:rPr>
                              <a:rPr lang="pt-BR" sz="800">
                                <a:latin typeface="Cambria Math" panose="02040503050406030204" pitchFamily="18" charset="0"/>
                              </a:rPr>
                              <m:t>o</m:t>
                            </m:r>
                            <m:r>
                              <a:rPr lang="pt-BR" sz="800">
                                <a:latin typeface="Cambria Math" panose="02040503050406030204" pitchFamily="18" charset="0"/>
                              </a:rPr>
                              <m:t> </m:t>
                            </m:r>
                            <m:r>
                              <m:rPr>
                                <m:sty m:val="p"/>
                              </m:rPr>
                              <a:rPr lang="pt-BR" sz="800">
                                <a:latin typeface="Cambria Math" panose="02040503050406030204" pitchFamily="18" charset="0"/>
                              </a:rPr>
                              <m:t>de</m:t>
                            </m:r>
                          </m:e>
                          <m:e>
                            <m:r>
                              <a:rPr lang="pt-BR" sz="800" b="0" i="0">
                                <a:latin typeface="Cambria Math" panose="02040503050406030204" pitchFamily="18" charset="0"/>
                              </a:rPr>
                              <m:t> </m:t>
                            </m:r>
                            <m:r>
                              <m:rPr>
                                <m:sty m:val="p"/>
                              </m:rPr>
                              <a:rPr lang="pt-BR" sz="800">
                                <a:latin typeface="Cambria Math" panose="02040503050406030204" pitchFamily="18" charset="0"/>
                              </a:rPr>
                              <m:t>write</m:t>
                            </m:r>
                            <m:r>
                              <a:rPr lang="pt-BR" sz="800">
                                <a:latin typeface="Cambria Math" panose="02040503050406030204" pitchFamily="18" charset="0"/>
                              </a:rPr>
                              <m:t>−</m:t>
                            </m:r>
                            <m:r>
                              <m:rPr>
                                <m:sty m:val="p"/>
                              </m:rPr>
                              <a:rPr lang="pt-BR" sz="800">
                                <a:latin typeface="Cambria Math" panose="02040503050406030204" pitchFamily="18" charset="0"/>
                              </a:rPr>
                              <m:t>off</m:t>
                            </m:r>
                            <m:r>
                              <a:rPr lang="pt-BR" sz="800">
                                <a:latin typeface="Cambria Math" panose="02040503050406030204" pitchFamily="18" charset="0"/>
                              </a:rPr>
                              <m:t> </m:t>
                            </m:r>
                            <m:r>
                              <m:rPr>
                                <m:sty m:val="p"/>
                              </m:rPr>
                              <a:rPr lang="pt-BR" sz="800">
                                <a:latin typeface="Cambria Math" panose="02040503050406030204" pitchFamily="18" charset="0"/>
                              </a:rPr>
                              <m:t>no</m:t>
                            </m:r>
                            <m:r>
                              <a:rPr lang="pt-BR" sz="800">
                                <a:latin typeface="Cambria Math" panose="02040503050406030204" pitchFamily="18" charset="0"/>
                              </a:rPr>
                              <m:t> </m:t>
                            </m:r>
                            <m:r>
                              <m:rPr>
                                <m:sty m:val="p"/>
                              </m:rPr>
                              <a:rPr lang="pt-BR" sz="800">
                                <a:latin typeface="Cambria Math" panose="02040503050406030204" pitchFamily="18" charset="0"/>
                              </a:rPr>
                              <m:t>trimestre</m:t>
                            </m:r>
                            <m:r>
                              <a:rPr lang="pt-BR" sz="800">
                                <a:latin typeface="Cambria Math" panose="02040503050406030204" pitchFamily="18" charset="0"/>
                              </a:rPr>
                              <m:t> </m:t>
                            </m:r>
                            <m:r>
                              <m:rPr>
                                <m:sty m:val="p"/>
                              </m:rPr>
                              <a:rPr lang="pt-BR" sz="800">
                                <a:latin typeface="Cambria Math" panose="02040503050406030204" pitchFamily="18" charset="0"/>
                              </a:rPr>
                              <m:t>atual</m:t>
                            </m:r>
                            <m:r>
                              <m:rPr>
                                <m:nor/>
                              </m:rPr>
                              <a:rPr lang="pt-BR" sz="800">
                                <a:latin typeface="Calibri" panose="020F0502020204030204" pitchFamily="34" charset="0"/>
                                <a:cs typeface="Calibri" panose="020F0502020204030204" pitchFamily="34" charset="0"/>
                              </a:rPr>
                              <m:t> </m:t>
                            </m:r>
                          </m:e>
                        </m:eqArr>
                      </m:num>
                      <m:den>
                        <m:r>
                          <m:rPr>
                            <m:sty m:val="p"/>
                          </m:rPr>
                          <a:rPr lang="en-US" sz="800" i="0">
                            <a:latin typeface="Cambria Math" panose="02040503050406030204" pitchFamily="18" charset="0"/>
                            <a:cs typeface="Sora" pitchFamily="2" charset="0"/>
                          </a:rPr>
                          <m:t>Empr</m:t>
                        </m:r>
                        <m:r>
                          <a:rPr lang="en-US" sz="800" i="0">
                            <a:latin typeface="Cambria Math" panose="02040503050406030204" pitchFamily="18" charset="0"/>
                            <a:cs typeface="Sora" pitchFamily="2" charset="0"/>
                          </a:rPr>
                          <m:t>é</m:t>
                        </m:r>
                        <m:r>
                          <m:rPr>
                            <m:sty m:val="p"/>
                          </m:rPr>
                          <a:rPr lang="en-US" sz="800" i="0">
                            <a:latin typeface="Cambria Math" panose="02040503050406030204" pitchFamily="18" charset="0"/>
                            <a:cs typeface="Sora" pitchFamily="2" charset="0"/>
                          </a:rPr>
                          <m:t>stimos</m:t>
                        </m:r>
                        <m:r>
                          <a:rPr lang="en-US" sz="800" i="0">
                            <a:latin typeface="Cambria Math" panose="02040503050406030204" pitchFamily="18" charset="0"/>
                            <a:cs typeface="Sora" pitchFamily="2" charset="0"/>
                          </a:rPr>
                          <m:t> </m:t>
                        </m:r>
                        <m:r>
                          <m:rPr>
                            <m:sty m:val="p"/>
                          </m:rPr>
                          <a:rPr lang="en-US" sz="800" i="0">
                            <a:latin typeface="Cambria Math" panose="02040503050406030204" pitchFamily="18" charset="0"/>
                            <a:cs typeface="Sora" pitchFamily="2" charset="0"/>
                          </a:rPr>
                          <m:t>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adiantamentos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a</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clientes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totais</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do</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trimestre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anterior</m:t>
                        </m:r>
                      </m:den>
                    </m:f>
                    <m:r>
                      <a:rPr lang="pt-BR" sz="800" i="1">
                        <a:latin typeface="Cambria Math" panose="02040503050406030204" pitchFamily="18" charset="0"/>
                      </a:rPr>
                      <m:t> </m:t>
                    </m:r>
                  </m:oMath>
                </m:oMathPara>
              </a14:m>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Funding:</a:t>
              </a:r>
            </a:p>
            <a:p>
              <a:endParaRPr lang="pt-BR"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ep</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ó</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sitos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à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vista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dep</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ó</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sitos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prazo</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í</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tulos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emitidos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credores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por</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recursos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liberar</m:t>
                    </m:r>
                  </m:oMath>
                </m:oMathPara>
              </a14:m>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Índice de basiléia:</a:t>
              </a:r>
            </a:p>
            <a:p>
              <a:endParaRPr lang="pt-BR" sz="800" b="1">
                <a:highlight>
                  <a:srgbClr val="FFFF00"/>
                </a:highlight>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b="0" i="0">
                            <a:latin typeface="Cambria Math" panose="02040503050406030204" pitchFamily="18" charset="0"/>
                          </a:rPr>
                          <m:t>Patrim</m:t>
                        </m:r>
                        <m:r>
                          <a:rPr lang="pt-BR" sz="800" i="0">
                            <a:latin typeface="Cambria Math" panose="02040503050406030204" pitchFamily="18" charset="0"/>
                          </a:rPr>
                          <m:t>ô</m:t>
                        </m:r>
                        <m:r>
                          <m:rPr>
                            <m:sty m:val="p"/>
                          </m:rPr>
                          <a:rPr lang="pt-BR" sz="800" b="0" i="0">
                            <a:latin typeface="Cambria Math" panose="02040503050406030204" pitchFamily="18" charset="0"/>
                          </a:rPr>
                          <m:t>nio</m:t>
                        </m:r>
                        <m:r>
                          <a:rPr lang="pt-BR" sz="800" b="0" i="0">
                            <a:latin typeface="Cambria Math" panose="02040503050406030204" pitchFamily="18" charset="0"/>
                          </a:rPr>
                          <m:t> </m:t>
                        </m:r>
                        <m:r>
                          <m:rPr>
                            <m:sty m:val="p"/>
                          </m:rPr>
                          <a:rPr lang="pt-BR" sz="800" b="0" i="0">
                            <a:latin typeface="Cambria Math" panose="02040503050406030204" pitchFamily="18" charset="0"/>
                          </a:rPr>
                          <m:t>de</m:t>
                        </m:r>
                        <m:r>
                          <a:rPr lang="pt-BR" sz="800" b="0" i="0">
                            <a:latin typeface="Cambria Math" panose="02040503050406030204" pitchFamily="18" charset="0"/>
                          </a:rPr>
                          <m:t> </m:t>
                        </m:r>
                        <m:r>
                          <m:rPr>
                            <m:sty m:val="p"/>
                          </m:rPr>
                          <a:rPr lang="pt-BR" sz="800" b="0" i="0">
                            <a:latin typeface="Cambria Math" panose="02040503050406030204" pitchFamily="18" charset="0"/>
                          </a:rPr>
                          <m:t>refer</m:t>
                        </m:r>
                        <m:r>
                          <a:rPr lang="pt-BR" sz="800" i="0">
                            <a:latin typeface="Cambria Math" panose="02040503050406030204" pitchFamily="18" charset="0"/>
                          </a:rPr>
                          <m:t>ê</m:t>
                        </m:r>
                        <m:r>
                          <m:rPr>
                            <m:sty m:val="p"/>
                          </m:rPr>
                          <a:rPr lang="pt-BR" sz="800" b="0" i="0">
                            <a:latin typeface="Cambria Math" panose="02040503050406030204" pitchFamily="18" charset="0"/>
                          </a:rPr>
                          <m:t>ncia</m:t>
                        </m:r>
                        <m:r>
                          <a:rPr lang="pt-BR" sz="800" b="0" i="0">
                            <a:latin typeface="Cambria Math" panose="02040503050406030204" pitchFamily="18" charset="0"/>
                          </a:rPr>
                          <m:t> </m:t>
                        </m:r>
                        <m:r>
                          <m:rPr>
                            <m:sty m:val="p"/>
                          </m:rPr>
                          <a:rPr lang="pt-BR" sz="800" b="0" i="0">
                            <a:latin typeface="Cambria Math" panose="02040503050406030204" pitchFamily="18" charset="0"/>
                          </a:rPr>
                          <m:t>n</m:t>
                        </m:r>
                        <m:r>
                          <a:rPr lang="pt-BR" sz="800" i="0">
                            <a:latin typeface="Cambria Math" panose="02040503050406030204" pitchFamily="18" charset="0"/>
                          </a:rPr>
                          <m:t>í</m:t>
                        </m:r>
                        <m:r>
                          <m:rPr>
                            <m:sty m:val="p"/>
                          </m:rPr>
                          <a:rPr lang="pt-BR" sz="800" b="0" i="0">
                            <a:latin typeface="Cambria Math" panose="02040503050406030204" pitchFamily="18" charset="0"/>
                          </a:rPr>
                          <m:t>vel</m:t>
                        </m:r>
                        <m:r>
                          <a:rPr lang="pt-BR" sz="800" b="0" i="0">
                            <a:latin typeface="Cambria Math" panose="02040503050406030204" pitchFamily="18" charset="0"/>
                          </a:rPr>
                          <m:t> </m:t>
                        </m:r>
                        <m:r>
                          <m:rPr>
                            <m:sty m:val="p"/>
                          </m:rPr>
                          <a:rPr lang="pt-BR" sz="800" b="0" i="0">
                            <a:latin typeface="Cambria Math" panose="02040503050406030204" pitchFamily="18" charset="0"/>
                          </a:rPr>
                          <m:t>I</m:t>
                        </m:r>
                      </m:num>
                      <m:den>
                        <m:r>
                          <m:rPr>
                            <m:sty m:val="p"/>
                          </m:rPr>
                          <a:rPr lang="pt-BR" sz="800" b="0" i="0">
                            <a:latin typeface="Cambria Math" panose="02040503050406030204" pitchFamily="18" charset="0"/>
                          </a:rPr>
                          <m:t>Ativos</m:t>
                        </m:r>
                        <m:r>
                          <a:rPr lang="pt-BR" sz="800" b="0" i="0">
                            <a:latin typeface="Cambria Math" panose="02040503050406030204" pitchFamily="18" charset="0"/>
                          </a:rPr>
                          <m:t> </m:t>
                        </m:r>
                        <m:r>
                          <m:rPr>
                            <m:sty m:val="p"/>
                          </m:rPr>
                          <a:rPr lang="pt-BR" sz="800" b="0" i="0">
                            <a:latin typeface="Cambria Math" panose="02040503050406030204" pitchFamily="18" charset="0"/>
                          </a:rPr>
                          <m:t>ponderados</m:t>
                        </m:r>
                        <m:r>
                          <a:rPr lang="pt-BR" sz="800" b="0" i="0">
                            <a:latin typeface="Cambria Math" panose="02040503050406030204" pitchFamily="18" charset="0"/>
                          </a:rPr>
                          <m:t> </m:t>
                        </m:r>
                        <m:r>
                          <m:rPr>
                            <m:sty m:val="p"/>
                          </m:rPr>
                          <a:rPr lang="pt-BR" sz="800" b="0" i="0">
                            <a:latin typeface="Cambria Math" panose="02040503050406030204" pitchFamily="18" charset="0"/>
                          </a:rPr>
                          <m:t>por</m:t>
                        </m:r>
                        <m:r>
                          <a:rPr lang="pt-BR" sz="800" b="0" i="0">
                            <a:latin typeface="Cambria Math" panose="02040503050406030204" pitchFamily="18" charset="0"/>
                          </a:rPr>
                          <m:t> </m:t>
                        </m:r>
                        <m:r>
                          <m:rPr>
                            <m:sty m:val="p"/>
                          </m:rPr>
                          <a:rPr lang="pt-BR" sz="800" b="0" i="0">
                            <a:latin typeface="Cambria Math" panose="02040503050406030204" pitchFamily="18" charset="0"/>
                          </a:rPr>
                          <m:t>risco</m:t>
                        </m:r>
                      </m:den>
                    </m:f>
                  </m:oMath>
                </m:oMathPara>
              </a14:m>
              <a:endParaRPr lang="pt-BR" sz="800">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cobertura:</a:t>
              </a:r>
            </a:p>
            <a:p>
              <a:endPar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b="0" i="0">
                            <a:latin typeface="Cambria Math" panose="02040503050406030204" pitchFamily="18" charset="0"/>
                          </a:rPr>
                          <m:t>Provis</m:t>
                        </m:r>
                        <m:r>
                          <a:rPr lang="pt-BR" sz="800" i="0">
                            <a:latin typeface="Cambria Math" panose="02040503050406030204" pitchFamily="18" charset="0"/>
                          </a:rPr>
                          <m:t>ã</m:t>
                        </m:r>
                        <m:r>
                          <m:rPr>
                            <m:sty m:val="p"/>
                          </m:rPr>
                          <a:rPr lang="pt-BR" sz="800" b="0" i="0">
                            <a:latin typeface="Cambria Math" panose="02040503050406030204" pitchFamily="18" charset="0"/>
                          </a:rPr>
                          <m:t>o</m:t>
                        </m:r>
                        <m:r>
                          <a:rPr lang="pt-BR" sz="800" b="0" i="0">
                            <a:latin typeface="Cambria Math" panose="02040503050406030204" pitchFamily="18" charset="0"/>
                          </a:rPr>
                          <m:t> </m:t>
                        </m:r>
                        <m:r>
                          <m:rPr>
                            <m:sty m:val="p"/>
                          </m:rPr>
                          <a:rPr lang="pt-BR" sz="800" b="0" i="0">
                            <a:latin typeface="Cambria Math" panose="02040503050406030204" pitchFamily="18" charset="0"/>
                          </a:rPr>
                          <m:t>de</m:t>
                        </m:r>
                        <m:r>
                          <a:rPr lang="pt-BR" sz="800" b="0" i="0">
                            <a:latin typeface="Cambria Math" panose="02040503050406030204" pitchFamily="18" charset="0"/>
                          </a:rPr>
                          <m:t> </m:t>
                        </m:r>
                        <m:r>
                          <m:rPr>
                            <m:sty m:val="p"/>
                          </m:rPr>
                          <a:rPr lang="pt-BR" sz="800" b="0" i="0">
                            <a:latin typeface="Cambria Math" panose="02040503050406030204" pitchFamily="18" charset="0"/>
                          </a:rPr>
                          <m:t>perdas</m:t>
                        </m:r>
                        <m:r>
                          <a:rPr lang="pt-BR" sz="800" b="0" i="0">
                            <a:latin typeface="Cambria Math" panose="02040503050406030204" pitchFamily="18" charset="0"/>
                          </a:rPr>
                          <m:t> </m:t>
                        </m:r>
                        <m:r>
                          <m:rPr>
                            <m:sty m:val="p"/>
                          </m:rPr>
                          <a:rPr lang="pt-BR" sz="800" b="0" i="0">
                            <a:latin typeface="Cambria Math" panose="02040503050406030204" pitchFamily="18" charset="0"/>
                          </a:rPr>
                          <m:t>esperadas</m:t>
                        </m:r>
                      </m:num>
                      <m:den>
                        <m:r>
                          <m:rPr>
                            <m:sty m:val="p"/>
                          </m:rPr>
                          <a:rPr lang="pt-BR" sz="800" i="0">
                            <a:latin typeface="Cambria Math" panose="02040503050406030204" pitchFamily="18" charset="0"/>
                          </a:rPr>
                          <m:t>NPL</m:t>
                        </m:r>
                        <m:r>
                          <a:rPr lang="pt-BR" sz="800" i="0">
                            <a:latin typeface="Cambria Math" panose="02040503050406030204" pitchFamily="18" charset="0"/>
                          </a:rPr>
                          <m:t>&gt; 90 </m:t>
                        </m:r>
                        <m:r>
                          <m:rPr>
                            <m:sty m:val="p"/>
                          </m:rPr>
                          <a:rPr lang="pt-BR" sz="800" i="0">
                            <a:latin typeface="Cambria Math" panose="02040503050406030204" pitchFamily="18" charset="0"/>
                          </a:rPr>
                          <m:t>dias</m:t>
                        </m:r>
                      </m:den>
                    </m:f>
                    <m:r>
                      <a:rPr lang="pt-BR" sz="800" i="1">
                        <a:latin typeface="Cambria Math" panose="02040503050406030204" pitchFamily="18" charset="0"/>
                      </a:rPr>
                      <m:t> </m:t>
                    </m:r>
                  </m:oMath>
                </m:oMathPara>
              </a14:m>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Funding:</a:t>
              </a:r>
            </a:p>
            <a:p>
              <a:endParaRPr lang="pt-BR"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ep</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ó</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sitos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à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vista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dep</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ó</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sitos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prazo</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í</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tulos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emitidos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credores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por</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recursos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a</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liberar</m:t>
                    </m:r>
                  </m:oMath>
                </m:oMathPara>
              </a14:m>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Índice de basiléia:</a:t>
              </a:r>
            </a:p>
            <a:p>
              <a:endParaRPr lang="pt-BR" sz="800" b="1">
                <a:highlight>
                  <a:srgbClr val="FFFF00"/>
                </a:highlight>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b="0" i="0">
                            <a:latin typeface="Cambria Math" panose="02040503050406030204" pitchFamily="18" charset="0"/>
                          </a:rPr>
                          <m:t>Patrim</m:t>
                        </m:r>
                        <m:r>
                          <a:rPr lang="pt-BR" sz="800" i="0">
                            <a:latin typeface="Cambria Math" panose="02040503050406030204" pitchFamily="18" charset="0"/>
                          </a:rPr>
                          <m:t>ô</m:t>
                        </m:r>
                        <m:r>
                          <m:rPr>
                            <m:sty m:val="p"/>
                          </m:rPr>
                          <a:rPr lang="pt-BR" sz="800" b="0" i="0">
                            <a:latin typeface="Cambria Math" panose="02040503050406030204" pitchFamily="18" charset="0"/>
                          </a:rPr>
                          <m:t>nio</m:t>
                        </m:r>
                        <m:r>
                          <a:rPr lang="pt-BR" sz="800" b="0" i="0">
                            <a:latin typeface="Cambria Math" panose="02040503050406030204" pitchFamily="18" charset="0"/>
                          </a:rPr>
                          <m:t> </m:t>
                        </m:r>
                        <m:r>
                          <m:rPr>
                            <m:sty m:val="p"/>
                          </m:rPr>
                          <a:rPr lang="pt-BR" sz="800" b="0" i="0">
                            <a:latin typeface="Cambria Math" panose="02040503050406030204" pitchFamily="18" charset="0"/>
                          </a:rPr>
                          <m:t>de</m:t>
                        </m:r>
                        <m:r>
                          <a:rPr lang="pt-BR" sz="800" b="0" i="0">
                            <a:latin typeface="Cambria Math" panose="02040503050406030204" pitchFamily="18" charset="0"/>
                          </a:rPr>
                          <m:t> </m:t>
                        </m:r>
                        <m:r>
                          <m:rPr>
                            <m:sty m:val="p"/>
                          </m:rPr>
                          <a:rPr lang="pt-BR" sz="800" b="0" i="0">
                            <a:latin typeface="Cambria Math" panose="02040503050406030204" pitchFamily="18" charset="0"/>
                          </a:rPr>
                          <m:t>refer</m:t>
                        </m:r>
                        <m:r>
                          <a:rPr lang="pt-BR" sz="800" i="0">
                            <a:latin typeface="Cambria Math" panose="02040503050406030204" pitchFamily="18" charset="0"/>
                          </a:rPr>
                          <m:t>ê</m:t>
                        </m:r>
                        <m:r>
                          <m:rPr>
                            <m:sty m:val="p"/>
                          </m:rPr>
                          <a:rPr lang="pt-BR" sz="800" b="0" i="0">
                            <a:latin typeface="Cambria Math" panose="02040503050406030204" pitchFamily="18" charset="0"/>
                          </a:rPr>
                          <m:t>ncia</m:t>
                        </m:r>
                        <m:r>
                          <a:rPr lang="pt-BR" sz="800" b="0" i="0">
                            <a:latin typeface="Cambria Math" panose="02040503050406030204" pitchFamily="18" charset="0"/>
                          </a:rPr>
                          <m:t> </m:t>
                        </m:r>
                        <m:r>
                          <m:rPr>
                            <m:sty m:val="p"/>
                          </m:rPr>
                          <a:rPr lang="pt-BR" sz="800" b="0" i="0">
                            <a:latin typeface="Cambria Math" panose="02040503050406030204" pitchFamily="18" charset="0"/>
                          </a:rPr>
                          <m:t>n</m:t>
                        </m:r>
                        <m:r>
                          <a:rPr lang="pt-BR" sz="800" i="0">
                            <a:latin typeface="Cambria Math" panose="02040503050406030204" pitchFamily="18" charset="0"/>
                          </a:rPr>
                          <m:t>í</m:t>
                        </m:r>
                        <m:r>
                          <m:rPr>
                            <m:sty m:val="p"/>
                          </m:rPr>
                          <a:rPr lang="pt-BR" sz="800" b="0" i="0">
                            <a:latin typeface="Cambria Math" panose="02040503050406030204" pitchFamily="18" charset="0"/>
                          </a:rPr>
                          <m:t>vel</m:t>
                        </m:r>
                        <m:r>
                          <a:rPr lang="pt-BR" sz="800" b="0" i="0">
                            <a:latin typeface="Cambria Math" panose="02040503050406030204" pitchFamily="18" charset="0"/>
                          </a:rPr>
                          <m:t> </m:t>
                        </m:r>
                        <m:r>
                          <m:rPr>
                            <m:sty m:val="p"/>
                          </m:rPr>
                          <a:rPr lang="pt-BR" sz="800" b="0" i="0">
                            <a:latin typeface="Cambria Math" panose="02040503050406030204" pitchFamily="18" charset="0"/>
                          </a:rPr>
                          <m:t>I</m:t>
                        </m:r>
                      </m:num>
                      <m:den>
                        <m:r>
                          <m:rPr>
                            <m:sty m:val="p"/>
                          </m:rPr>
                          <a:rPr lang="pt-BR" sz="800" b="0" i="0">
                            <a:latin typeface="Cambria Math" panose="02040503050406030204" pitchFamily="18" charset="0"/>
                          </a:rPr>
                          <m:t>Ativos</m:t>
                        </m:r>
                        <m:r>
                          <a:rPr lang="pt-BR" sz="800" b="0" i="0">
                            <a:latin typeface="Cambria Math" panose="02040503050406030204" pitchFamily="18" charset="0"/>
                          </a:rPr>
                          <m:t> </m:t>
                        </m:r>
                        <m:r>
                          <m:rPr>
                            <m:sty m:val="p"/>
                          </m:rPr>
                          <a:rPr lang="pt-BR" sz="800" b="0" i="0">
                            <a:latin typeface="Cambria Math" panose="02040503050406030204" pitchFamily="18" charset="0"/>
                          </a:rPr>
                          <m:t>ponderados</m:t>
                        </m:r>
                        <m:r>
                          <a:rPr lang="pt-BR" sz="800" b="0" i="0">
                            <a:latin typeface="Cambria Math" panose="02040503050406030204" pitchFamily="18" charset="0"/>
                          </a:rPr>
                          <m:t> </m:t>
                        </m:r>
                        <m:r>
                          <m:rPr>
                            <m:sty m:val="p"/>
                          </m:rPr>
                          <a:rPr lang="pt-BR" sz="800" b="0" i="0">
                            <a:latin typeface="Cambria Math" panose="02040503050406030204" pitchFamily="18" charset="0"/>
                          </a:rPr>
                          <m:t>por</m:t>
                        </m:r>
                        <m:r>
                          <a:rPr lang="pt-BR" sz="800" b="0" i="0">
                            <a:latin typeface="Cambria Math" panose="02040503050406030204" pitchFamily="18" charset="0"/>
                          </a:rPr>
                          <m:t> </m:t>
                        </m:r>
                        <m:r>
                          <m:rPr>
                            <m:sty m:val="p"/>
                          </m:rPr>
                          <a:rPr lang="pt-BR" sz="800" b="0" i="0">
                            <a:latin typeface="Cambria Math" panose="02040503050406030204" pitchFamily="18" charset="0"/>
                          </a:rPr>
                          <m:t>risco</m:t>
                        </m:r>
                      </m:den>
                    </m:f>
                  </m:oMath>
                </m:oMathPara>
              </a14:m>
              <a:endParaRPr lang="pt-BR" sz="800">
                <a:latin typeface="Calibri" panose="020F05020202040302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xdr:txBody>
        </xdr:sp>
      </mc:Choice>
      <mc:Fallback xmlns="">
        <xdr:sp macro="" textlink="">
          <xdr:nvSpPr>
            <xdr:cNvPr id="49" name="Retângulo 9">
              <a:extLst>
                <a:ext uri="{FF2B5EF4-FFF2-40B4-BE49-F238E27FC236}">
                  <a16:creationId xmlns:a16="http://schemas.microsoft.com/office/drawing/2014/main" id="{D2ED4C4B-0394-2855-8577-585CCB8A4BBD}"/>
                </a:ext>
              </a:extLst>
            </xdr:cNvPr>
            <xdr:cNvSpPr/>
          </xdr:nvSpPr>
          <xdr:spPr>
            <a:xfrm>
              <a:off x="6748469" y="20925937"/>
              <a:ext cx="5772853" cy="5575565"/>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Formação de estágio 3:</a:t>
              </a:r>
            </a:p>
            <a:p>
              <a:endParaRPr lang="en-US"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(Saldo de estágio 3 do trimestre atual –Saldo de estágio 3 do trimestre anterior +Migração de write−off no trimestre atual)/(</a:t>
              </a:r>
              <a:r>
                <a:rPr lang="en-US" sz="800" i="0">
                  <a:latin typeface="Cambria Math" panose="02040503050406030204" pitchFamily="18" charset="0"/>
                  <a:cs typeface="Sora" pitchFamily="2" charset="0"/>
                </a:rPr>
                <a:t>Empréstimos e</a:t>
              </a:r>
              <a:r>
                <a:rPr lang="pt-BR" sz="800" i="0">
                  <a:latin typeface="Cambria Math" panose="02040503050406030204" pitchFamily="18" charset="0"/>
                  <a:cs typeface="Sora" pitchFamily="2" charset="0"/>
                </a:rPr>
                <a:t> adiantamentos a clientes</a:t>
              </a:r>
              <a:r>
                <a:rPr lang="pt-BR" sz="800" b="0" i="0">
                  <a:latin typeface="Cambria Math" panose="02040503050406030204" pitchFamily="18" charset="0"/>
                  <a:cs typeface="Sora" pitchFamily="2" charset="0"/>
                </a:rPr>
                <a:t> totais do trimestre anterior)  </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Formação de NPL:</a:t>
              </a:r>
            </a:p>
            <a:p>
              <a:endParaRPr lang="en-US"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█(Saldo vencido há mais de 90 dias do trimestre atual –Saldo vencido há mais de 90 dias do</a:t>
              </a:r>
              <a:r>
                <a:rPr lang="pt-BR" sz="800" b="0" i="0">
                  <a:latin typeface="Cambria Math" panose="02040503050406030204" pitchFamily="18" charset="0"/>
                </a:rPr>
                <a:t> </a:t>
              </a:r>
              <a:r>
                <a:rPr lang="pt-BR" sz="800" i="0">
                  <a:latin typeface="Cambria Math" panose="02040503050406030204" pitchFamily="18" charset="0"/>
                </a:rPr>
                <a:t>trimestreanterior +Migração de@</a:t>
              </a:r>
              <a:r>
                <a:rPr lang="pt-BR" sz="800" b="0" i="0">
                  <a:latin typeface="Cambria Math" panose="02040503050406030204" pitchFamily="18" charset="0"/>
                </a:rPr>
                <a:t> </a:t>
              </a:r>
              <a:r>
                <a:rPr lang="pt-BR" sz="800" i="0">
                  <a:latin typeface="Cambria Math" panose="02040503050406030204" pitchFamily="18" charset="0"/>
                </a:rPr>
                <a:t>write−off no trimestre atual"</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r>
                <a:rPr lang="en-US" sz="800" i="0">
                  <a:latin typeface="Cambria Math" panose="02040503050406030204" pitchFamily="18" charset="0"/>
                  <a:cs typeface="Sora" pitchFamily="2" charset="0"/>
                </a:rPr>
                <a:t>Empréstimos e</a:t>
              </a:r>
              <a:r>
                <a:rPr lang="pt-BR" sz="800" i="0">
                  <a:latin typeface="Cambria Math" panose="02040503050406030204" pitchFamily="18" charset="0"/>
                  <a:cs typeface="Sora" pitchFamily="2" charset="0"/>
                </a:rPr>
                <a:t> adiantamentos a clientes</a:t>
              </a:r>
              <a:r>
                <a:rPr lang="pt-BR" sz="800" b="0" i="0">
                  <a:latin typeface="Cambria Math" panose="02040503050406030204" pitchFamily="18" charset="0"/>
                  <a:cs typeface="Sora" pitchFamily="2" charset="0"/>
                </a:rPr>
                <a:t> totais do trimestre anterior) </a:t>
              </a:r>
              <a:r>
                <a:rPr lang="pt-BR" sz="800" i="0">
                  <a:latin typeface="Cambria Math" panose="02040503050406030204" pitchFamily="18" charset="0"/>
                </a:rPr>
                <a:t> </a:t>
              </a:r>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Funding:</a:t>
              </a:r>
            </a:p>
            <a:p>
              <a:endParaRPr lang="pt-BR" sz="800" b="1">
                <a:latin typeface="Calibri" panose="020F0502020204030204" pitchFamily="34" charset="0"/>
                <a:cs typeface="Calibri" panose="020F0502020204030204" pitchFamily="34" charset="0"/>
              </a:endParaRPr>
            </a:p>
            <a:p>
              <a:pP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D</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ep</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ó</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sitos à vista+dep</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ó</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sitos a prazo+t</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í</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tulos emitidos+credores por recursos a liberar</a:t>
              </a:r>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Índice de basiléia:</a:t>
              </a:r>
            </a:p>
            <a:p>
              <a:endParaRPr lang="pt-BR" sz="800" b="1">
                <a:highlight>
                  <a:srgbClr val="FFFF00"/>
                </a:highlight>
                <a:latin typeface="Calibri" panose="020F0502020204030204" pitchFamily="34" charset="0"/>
                <a:cs typeface="Calibri" panose="020F0502020204030204" pitchFamily="34" charset="0"/>
              </a:endParaRPr>
            </a:p>
            <a:p>
              <a:pPr algn="ctr"/>
              <a:r>
                <a:rPr lang="pt-BR" sz="800" i="0">
                  <a:latin typeface="Cambria Math" panose="02040503050406030204" pitchFamily="18" charset="0"/>
                </a:rPr>
                <a:t>(</a:t>
              </a:r>
              <a:r>
                <a:rPr lang="pt-BR" sz="800" b="0" i="0">
                  <a:latin typeface="Cambria Math" panose="02040503050406030204" pitchFamily="18" charset="0"/>
                </a:rPr>
                <a:t>Patrim</a:t>
              </a:r>
              <a:r>
                <a:rPr lang="pt-BR" sz="800" i="0">
                  <a:latin typeface="Cambria Math" panose="02040503050406030204" pitchFamily="18" charset="0"/>
                </a:rPr>
                <a:t>ô</a:t>
              </a:r>
              <a:r>
                <a:rPr lang="pt-BR" sz="800" b="0" i="0">
                  <a:latin typeface="Cambria Math" panose="02040503050406030204" pitchFamily="18" charset="0"/>
                </a:rPr>
                <a:t>nio de refer</a:t>
              </a:r>
              <a:r>
                <a:rPr lang="pt-BR" sz="800" i="0">
                  <a:latin typeface="Cambria Math" panose="02040503050406030204" pitchFamily="18" charset="0"/>
                </a:rPr>
                <a:t>ê</a:t>
              </a:r>
              <a:r>
                <a:rPr lang="pt-BR" sz="800" b="0" i="0">
                  <a:latin typeface="Cambria Math" panose="02040503050406030204" pitchFamily="18" charset="0"/>
                </a:rPr>
                <a:t>ncia n</a:t>
              </a:r>
              <a:r>
                <a:rPr lang="pt-BR" sz="800" i="0">
                  <a:latin typeface="Cambria Math" panose="02040503050406030204" pitchFamily="18" charset="0"/>
                </a:rPr>
                <a:t>í</a:t>
              </a:r>
              <a:r>
                <a:rPr lang="pt-BR" sz="800" b="0" i="0">
                  <a:latin typeface="Cambria Math" panose="02040503050406030204" pitchFamily="18" charset="0"/>
                </a:rPr>
                <a:t>vel I)/(Ativos ponderados por risco)</a:t>
              </a:r>
              <a:endParaRPr lang="pt-BR" sz="800">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cobertura:</a:t>
              </a:r>
            </a:p>
            <a:p>
              <a:endPar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r>
                <a:rPr lang="pt-BR" sz="800" i="0">
                  <a:latin typeface="Cambria Math" panose="02040503050406030204" pitchFamily="18" charset="0"/>
                </a:rPr>
                <a:t>(</a:t>
              </a:r>
              <a:r>
                <a:rPr lang="pt-BR" sz="800" b="0" i="0">
                  <a:latin typeface="Cambria Math" panose="02040503050406030204" pitchFamily="18" charset="0"/>
                </a:rPr>
                <a:t>Provis</a:t>
              </a:r>
              <a:r>
                <a:rPr lang="pt-BR" sz="800" i="0">
                  <a:latin typeface="Cambria Math" panose="02040503050406030204" pitchFamily="18" charset="0"/>
                </a:rPr>
                <a:t>ã</a:t>
              </a:r>
              <a:r>
                <a:rPr lang="pt-BR" sz="800" b="0" i="0">
                  <a:latin typeface="Cambria Math" panose="02040503050406030204" pitchFamily="18" charset="0"/>
                </a:rPr>
                <a:t>o de perdas esperadas)/(</a:t>
              </a:r>
              <a:r>
                <a:rPr lang="pt-BR" sz="800" i="0">
                  <a:latin typeface="Cambria Math" panose="02040503050406030204" pitchFamily="18" charset="0"/>
                </a:rPr>
                <a:t>NPL&gt; 90 dias)  </a:t>
              </a:r>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Funding:</a:t>
              </a:r>
            </a:p>
            <a:p>
              <a:endParaRPr lang="pt-BR" sz="800" b="1">
                <a:latin typeface="Calibri" panose="020F0502020204030204" pitchFamily="34" charset="0"/>
                <a:cs typeface="Calibri" panose="020F0502020204030204" pitchFamily="34" charset="0"/>
              </a:endParaRPr>
            </a:p>
            <a:p>
              <a:pP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D</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ep</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ó</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sitos à vista+dep</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ó</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sitos a prazo+t</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í</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tulos emitidos+credores por recursos a liberar</a:t>
              </a:r>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Índice de basiléia:</a:t>
              </a:r>
            </a:p>
            <a:p>
              <a:endParaRPr lang="pt-BR" sz="800" b="1">
                <a:highlight>
                  <a:srgbClr val="FFFF00"/>
                </a:highlight>
                <a:latin typeface="Calibri" panose="020F0502020204030204" pitchFamily="34" charset="0"/>
                <a:cs typeface="Calibri" panose="020F0502020204030204" pitchFamily="34" charset="0"/>
              </a:endParaRPr>
            </a:p>
            <a:p>
              <a:pPr algn="ctr"/>
              <a:r>
                <a:rPr lang="pt-BR" sz="800" i="0">
                  <a:latin typeface="Cambria Math" panose="02040503050406030204" pitchFamily="18" charset="0"/>
                </a:rPr>
                <a:t>(</a:t>
              </a:r>
              <a:r>
                <a:rPr lang="pt-BR" sz="800" b="0" i="0">
                  <a:latin typeface="Cambria Math" panose="02040503050406030204" pitchFamily="18" charset="0"/>
                </a:rPr>
                <a:t>Patrim</a:t>
              </a:r>
              <a:r>
                <a:rPr lang="pt-BR" sz="800" i="0">
                  <a:latin typeface="Cambria Math" panose="02040503050406030204" pitchFamily="18" charset="0"/>
                </a:rPr>
                <a:t>ô</a:t>
              </a:r>
              <a:r>
                <a:rPr lang="pt-BR" sz="800" b="0" i="0">
                  <a:latin typeface="Cambria Math" panose="02040503050406030204" pitchFamily="18" charset="0"/>
                </a:rPr>
                <a:t>nio de refer</a:t>
              </a:r>
              <a:r>
                <a:rPr lang="pt-BR" sz="800" i="0">
                  <a:latin typeface="Cambria Math" panose="02040503050406030204" pitchFamily="18" charset="0"/>
                </a:rPr>
                <a:t>ê</a:t>
              </a:r>
              <a:r>
                <a:rPr lang="pt-BR" sz="800" b="0" i="0">
                  <a:latin typeface="Cambria Math" panose="02040503050406030204" pitchFamily="18" charset="0"/>
                </a:rPr>
                <a:t>ncia n</a:t>
              </a:r>
              <a:r>
                <a:rPr lang="pt-BR" sz="800" i="0">
                  <a:latin typeface="Cambria Math" panose="02040503050406030204" pitchFamily="18" charset="0"/>
                </a:rPr>
                <a:t>í</a:t>
              </a:r>
              <a:r>
                <a:rPr lang="pt-BR" sz="800" b="0" i="0">
                  <a:latin typeface="Cambria Math" panose="02040503050406030204" pitchFamily="18" charset="0"/>
                </a:rPr>
                <a:t>vel I)/(Ativos ponderados por risco)</a:t>
              </a:r>
              <a:endParaRPr lang="pt-BR" sz="800">
                <a:latin typeface="Calibri" panose="020F05020202040302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xdr:txBody>
        </xdr:sp>
      </mc:Fallback>
    </mc:AlternateContent>
    <xdr:clientData/>
  </xdr:twoCellAnchor>
  <xdr:twoCellAnchor>
    <xdr:from>
      <xdr:col>8</xdr:col>
      <xdr:colOff>135270</xdr:colOff>
      <xdr:row>140</xdr:row>
      <xdr:rowOff>86591</xdr:rowOff>
    </xdr:from>
    <xdr:to>
      <xdr:col>15</xdr:col>
      <xdr:colOff>111552</xdr:colOff>
      <xdr:row>171</xdr:row>
      <xdr:rowOff>33303</xdr:rowOff>
    </xdr:to>
    <mc:AlternateContent xmlns:mc="http://schemas.openxmlformats.org/markup-compatibility/2006" xmlns:a14="http://schemas.microsoft.com/office/drawing/2010/main">
      <mc:Choice Requires="a14">
        <xdr:sp macro="" textlink="">
          <xdr:nvSpPr>
            <xdr:cNvPr id="50" name="Retângulo 9">
              <a:extLst>
                <a:ext uri="{FF2B5EF4-FFF2-40B4-BE49-F238E27FC236}">
                  <a16:creationId xmlns:a16="http://schemas.microsoft.com/office/drawing/2014/main" id="{00000000-0008-0000-1600-000032000000}"/>
                </a:ext>
              </a:extLst>
            </xdr:cNvPr>
            <xdr:cNvSpPr/>
          </xdr:nvSpPr>
          <xdr:spPr>
            <a:xfrm>
              <a:off x="6761357" y="25854707"/>
              <a:ext cx="5774108" cy="56525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cobertura:</a:t>
              </a:r>
            </a:p>
            <a:p>
              <a:endPar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b="0" i="0">
                            <a:latin typeface="Cambria Math" panose="02040503050406030204" pitchFamily="18" charset="0"/>
                          </a:rPr>
                          <m:t>Provis</m:t>
                        </m:r>
                        <m:r>
                          <a:rPr lang="pt-BR" sz="800" i="0">
                            <a:latin typeface="Cambria Math" panose="02040503050406030204" pitchFamily="18" charset="0"/>
                          </a:rPr>
                          <m:t>ã</m:t>
                        </m:r>
                        <m:r>
                          <m:rPr>
                            <m:sty m:val="p"/>
                          </m:rPr>
                          <a:rPr lang="pt-BR" sz="800" b="0" i="0">
                            <a:latin typeface="Cambria Math" panose="02040503050406030204" pitchFamily="18" charset="0"/>
                          </a:rPr>
                          <m:t>o</m:t>
                        </m:r>
                        <m:r>
                          <a:rPr lang="pt-BR" sz="800" b="0" i="0">
                            <a:latin typeface="Cambria Math" panose="02040503050406030204" pitchFamily="18" charset="0"/>
                          </a:rPr>
                          <m:t> </m:t>
                        </m:r>
                        <m:r>
                          <m:rPr>
                            <m:sty m:val="p"/>
                          </m:rPr>
                          <a:rPr lang="pt-BR" sz="800" b="0" i="0">
                            <a:latin typeface="Cambria Math" panose="02040503050406030204" pitchFamily="18" charset="0"/>
                          </a:rPr>
                          <m:t>de</m:t>
                        </m:r>
                        <m:r>
                          <a:rPr lang="pt-BR" sz="800" b="0" i="0">
                            <a:latin typeface="Cambria Math" panose="02040503050406030204" pitchFamily="18" charset="0"/>
                          </a:rPr>
                          <m:t> </m:t>
                        </m:r>
                        <m:r>
                          <m:rPr>
                            <m:sty m:val="p"/>
                          </m:rPr>
                          <a:rPr lang="pt-BR" sz="800" b="0" i="0">
                            <a:latin typeface="Cambria Math" panose="02040503050406030204" pitchFamily="18" charset="0"/>
                          </a:rPr>
                          <m:t>perdas</m:t>
                        </m:r>
                        <m:r>
                          <a:rPr lang="pt-BR" sz="800" b="0" i="0">
                            <a:latin typeface="Cambria Math" panose="02040503050406030204" pitchFamily="18" charset="0"/>
                          </a:rPr>
                          <m:t> </m:t>
                        </m:r>
                        <m:r>
                          <m:rPr>
                            <m:sty m:val="p"/>
                          </m:rPr>
                          <a:rPr lang="pt-BR" sz="800" b="0" i="0">
                            <a:latin typeface="Cambria Math" panose="02040503050406030204" pitchFamily="18" charset="0"/>
                          </a:rPr>
                          <m:t>esperadas</m:t>
                        </m:r>
                      </m:num>
                      <m:den>
                        <m:r>
                          <m:rPr>
                            <m:sty m:val="p"/>
                          </m:rPr>
                          <a:rPr lang="pt-BR" sz="800" i="0">
                            <a:latin typeface="Cambria Math" panose="02040503050406030204" pitchFamily="18" charset="0"/>
                          </a:rPr>
                          <m:t>NPL</m:t>
                        </m:r>
                        <m:r>
                          <a:rPr lang="pt-BR" sz="800" i="0">
                            <a:latin typeface="Cambria Math" panose="02040503050406030204" pitchFamily="18" charset="0"/>
                          </a:rPr>
                          <m:t>&gt; 90 </m:t>
                        </m:r>
                        <m:r>
                          <m:rPr>
                            <m:sty m:val="p"/>
                          </m:rPr>
                          <a:rPr lang="pt-BR" sz="800" i="0">
                            <a:latin typeface="Cambria Math" panose="02040503050406030204" pitchFamily="18" charset="0"/>
                          </a:rPr>
                          <m:t>dias</m:t>
                        </m:r>
                      </m:den>
                    </m:f>
                  </m:oMath>
                </m:oMathPara>
              </a14:m>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eqArr>
                          <m:eqArrPr>
                            <m:ctrlPr>
                              <a:rPr lang="pt-BR" sz="800" i="1">
                                <a:latin typeface="Cambria Math" panose="02040503050406030204" pitchFamily="18" charset="0"/>
                              </a:rPr>
                            </m:ctrlPr>
                          </m:eqArrPr>
                          <m:e>
                            <m:r>
                              <a:rPr lang="pt-BR" sz="800" i="0">
                                <a:latin typeface="Cambria Math" panose="02040503050406030204" pitchFamily="18" charset="0"/>
                              </a:rPr>
                              <m:t> </m:t>
                            </m:r>
                          </m:e>
                          <m:e>
                            <m:r>
                              <m:rPr>
                                <m:sty m:val="p"/>
                              </m:rPr>
                              <a:rPr lang="pt-BR" sz="800" i="0">
                                <a:latin typeface="Cambria Math" panose="02040503050406030204" pitchFamily="18" charset="0"/>
                              </a:rPr>
                              <m:t>Despesa</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pessoal</m:t>
                            </m:r>
                            <m:r>
                              <a:rPr lang="pt-BR" sz="800" i="0">
                                <a:latin typeface="Cambria Math" panose="02040503050406030204" pitchFamily="18" charset="0"/>
                              </a:rPr>
                              <m:t>+</m:t>
                            </m:r>
                            <m:r>
                              <m:rPr>
                                <m:sty m:val="p"/>
                              </m:rPr>
                              <a:rPr lang="pt-BR" sz="800">
                                <a:latin typeface="Cambria Math" panose="02040503050406030204" pitchFamily="18" charset="0"/>
                              </a:rPr>
                              <m:t>Despesas</m:t>
                            </m:r>
                            <m:r>
                              <a:rPr lang="pt-BR" sz="800">
                                <a:latin typeface="Cambria Math" panose="02040503050406030204" pitchFamily="18" charset="0"/>
                              </a:rPr>
                              <m:t> </m:t>
                            </m:r>
                            <m:r>
                              <m:rPr>
                                <m:sty m:val="p"/>
                              </m:rPr>
                              <a:rPr lang="pt-BR" sz="800">
                                <a:latin typeface="Cambria Math" panose="02040503050406030204" pitchFamily="18" charset="0"/>
                              </a:rPr>
                              <m:t>administrativas</m:t>
                            </m:r>
                            <m:r>
                              <a:rPr lang="pt-BR" sz="800" b="0" i="0">
                                <a:latin typeface="Cambria Math" panose="02040503050406030204" pitchFamily="18" charset="0"/>
                              </a:rPr>
                              <m:t>+</m:t>
                            </m:r>
                            <m:r>
                              <m:rPr>
                                <m:sty m:val="p"/>
                              </m:rPr>
                              <a:rPr lang="pt-BR" sz="800" b="0" i="0">
                                <a:latin typeface="Cambria Math" panose="02040503050406030204" pitchFamily="18" charset="0"/>
                              </a:rPr>
                              <m:t>Deprecia</m:t>
                            </m:r>
                            <m:r>
                              <a:rPr lang="pt-BR" sz="800" i="0">
                                <a:latin typeface="Cambria Math" panose="02040503050406030204" pitchFamily="18" charset="0"/>
                              </a:rPr>
                              <m:t>çã</m:t>
                            </m:r>
                            <m:r>
                              <m:rPr>
                                <m:sty m:val="p"/>
                              </m:rPr>
                              <a:rPr lang="pt-BR" sz="800" b="0" i="0">
                                <a:latin typeface="Cambria Math" panose="02040503050406030204" pitchFamily="18" charset="0"/>
                              </a:rPr>
                              <m:t>o</m:t>
                            </m:r>
                            <m:r>
                              <a:rPr lang="pt-BR" sz="800" b="0" i="0">
                                <a:latin typeface="Cambria Math" panose="02040503050406030204" pitchFamily="18" charset="0"/>
                              </a:rPr>
                              <m:t> </m:t>
                            </m:r>
                            <m:r>
                              <m:rPr>
                                <m:sty m:val="p"/>
                              </m:rPr>
                              <a:rPr lang="pt-BR" sz="800" b="0" i="0">
                                <a:latin typeface="Cambria Math" panose="02040503050406030204" pitchFamily="18" charset="0"/>
                              </a:rPr>
                              <m:t>e</m:t>
                            </m:r>
                            <m:r>
                              <a:rPr lang="pt-BR" sz="800" b="0" i="0">
                                <a:latin typeface="Cambria Math" panose="02040503050406030204" pitchFamily="18" charset="0"/>
                              </a:rPr>
                              <m:t> </m:t>
                            </m:r>
                            <m:r>
                              <m:rPr>
                                <m:sty m:val="p"/>
                              </m:rPr>
                              <a:rPr lang="pt-BR" sz="800" b="0" i="0">
                                <a:latin typeface="Cambria Math" panose="02040503050406030204" pitchFamily="18" charset="0"/>
                              </a:rPr>
                              <m:t>amortiza</m:t>
                            </m:r>
                            <m:r>
                              <a:rPr lang="pt-BR" sz="800" i="0">
                                <a:latin typeface="Cambria Math" panose="02040503050406030204" pitchFamily="18" charset="0"/>
                              </a:rPr>
                              <m:t>çã</m:t>
                            </m:r>
                            <m:r>
                              <m:rPr>
                                <m:sty m:val="p"/>
                              </m:rPr>
                              <a:rPr lang="pt-BR" sz="800" b="0" i="0">
                                <a:latin typeface="Cambria Math" panose="02040503050406030204" pitchFamily="18" charset="0"/>
                              </a:rPr>
                              <m:t>o</m:t>
                            </m:r>
                          </m:e>
                        </m:eqArr>
                      </m:num>
                      <m:den>
                        <m:eqArr>
                          <m:eqArrPr>
                            <m:ctrlPr>
                              <a:rPr lang="pt-BR" sz="800" i="1">
                                <a:latin typeface="Cambria Math" panose="02040503050406030204" pitchFamily="18" charset="0"/>
                              </a:rPr>
                            </m:ctrlPr>
                          </m:eqArrPr>
                          <m:e>
                            <m:r>
                              <m:rPr>
                                <m:sty m:val="p"/>
                              </m:rPr>
                              <a:rPr lang="pt-BR" sz="800">
                                <a:latin typeface="Cambria Math" panose="02040503050406030204" pitchFamily="18" charset="0"/>
                              </a:rPr>
                              <m:t>Receita</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m:t>
                            </m:r>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servi</m:t>
                            </m:r>
                            <m:r>
                              <a:rPr lang="pt-BR" sz="800">
                                <a:latin typeface="Cambria Math" panose="02040503050406030204" pitchFamily="18" charset="0"/>
                              </a:rPr>
                              <m:t>ç</m:t>
                            </m:r>
                            <m:r>
                              <m:rPr>
                                <m:sty m:val="p"/>
                              </m:rPr>
                              <a:rPr lang="pt-BR" sz="800">
                                <a:latin typeface="Cambria Math" panose="02040503050406030204" pitchFamily="18" charset="0"/>
                              </a:rPr>
                              <m:t>os</m:t>
                            </m:r>
                            <m:r>
                              <a:rPr lang="pt-BR" sz="800">
                                <a:latin typeface="Cambria Math" panose="02040503050406030204" pitchFamily="18" charset="0"/>
                              </a:rPr>
                              <m:t> </m:t>
                            </m:r>
                            <m:r>
                              <m:rPr>
                                <m:sty m:val="p"/>
                              </m:rPr>
                              <a:rPr lang="pt-BR" sz="800">
                                <a:latin typeface="Cambria Math" panose="02040503050406030204" pitchFamily="18" charset="0"/>
                              </a:rPr>
                              <m:t>e</m:t>
                            </m:r>
                            <m:r>
                              <a:rPr lang="pt-BR" sz="800">
                                <a:latin typeface="Cambria Math" panose="02040503050406030204" pitchFamily="18" charset="0"/>
                              </a:rPr>
                              <m:t> </m:t>
                            </m:r>
                            <m:r>
                              <m:rPr>
                                <m:sty m:val="p"/>
                              </m:rPr>
                              <a:rPr lang="pt-BR" sz="800">
                                <a:latin typeface="Cambria Math" panose="02040503050406030204" pitchFamily="18" charset="0"/>
                              </a:rPr>
                              <m:t>comiss</m:t>
                            </m:r>
                            <m:r>
                              <a:rPr lang="pt-BR" sz="800">
                                <a:latin typeface="Cambria Math" panose="02040503050406030204" pitchFamily="18" charset="0"/>
                              </a:rPr>
                              <m:t>õ</m:t>
                            </m:r>
                            <m:r>
                              <m:rPr>
                                <m:sty m:val="p"/>
                              </m:rPr>
                              <a:rPr lang="pt-BR" sz="800">
                                <a:latin typeface="Cambria Math" panose="02040503050406030204" pitchFamily="18" charset="0"/>
                              </a:rPr>
                              <m:t>es</m:t>
                            </m:r>
                            <m:r>
                              <a:rPr lang="pt-BR" sz="800">
                                <a:latin typeface="Cambria Math" panose="02040503050406030204" pitchFamily="18" charset="0"/>
                              </a:rPr>
                              <m:t>+</m:t>
                            </m:r>
                            <m:r>
                              <m:rPr>
                                <m:nor/>
                              </m:rPr>
                              <a:rPr lang="pt-BR" sz="800">
                                <a:latin typeface="Calibri" panose="020F0502020204030204" pitchFamily="34" charset="0"/>
                                <a:cs typeface="Calibri" panose="020F0502020204030204" pitchFamily="34" charset="0"/>
                              </a:rPr>
                              <m:t> </m:t>
                            </m:r>
                            <m:r>
                              <m:rPr>
                                <m:sty m:val="p"/>
                              </m:rPr>
                              <a:rPr lang="en-US" sz="800">
                                <a:latin typeface="Cambria Math" panose="02040503050406030204" pitchFamily="18" charset="0"/>
                                <a:cs typeface="Sora" pitchFamily="2" charset="0"/>
                              </a:rPr>
                              <m:t>Re</m:t>
                            </m:r>
                            <m:r>
                              <m:rPr>
                                <m:sty m:val="p"/>
                              </m:rPr>
                              <a:rPr lang="pt-BR" sz="800">
                                <a:latin typeface="Cambria Math" panose="02040503050406030204" pitchFamily="18" charset="0"/>
                                <a:cs typeface="Sora" pitchFamily="2" charset="0"/>
                              </a:rPr>
                              <m:t>sultado</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t</m:t>
                            </m:r>
                            <m:r>
                              <a:rPr lang="en-US" sz="800">
                                <a:latin typeface="Cambria Math" panose="02040503050406030204" pitchFamily="18" charset="0"/>
                                <a:cs typeface="Sora" pitchFamily="2" charset="0"/>
                              </a:rPr>
                              <m:t>í</m:t>
                            </m:r>
                            <m:r>
                              <m:rPr>
                                <m:sty m:val="p"/>
                              </m:rPr>
                              <a:rPr lang="en-US" sz="800">
                                <a:latin typeface="Cambria Math" panose="02040503050406030204" pitchFamily="18" charset="0"/>
                                <a:cs typeface="Sora" pitchFamily="2" charset="0"/>
                              </a:rPr>
                              <m:t>tulos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valores</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mobili</m:t>
                            </m:r>
                            <m:r>
                              <a:rPr lang="en-US" sz="800">
                                <a:latin typeface="Cambria Math" panose="02040503050406030204" pitchFamily="18" charset="0"/>
                                <a:cs typeface="Sora" pitchFamily="2" charset="0"/>
                              </a:rPr>
                              <m:t>á</m:t>
                            </m:r>
                            <m:r>
                              <m:rPr>
                                <m:sty m:val="p"/>
                              </m:rPr>
                              <a:rPr lang="en-US" sz="800">
                                <a:latin typeface="Cambria Math" panose="02040503050406030204" pitchFamily="18" charset="0"/>
                                <a:cs typeface="Sora" pitchFamily="2" charset="0"/>
                              </a:rPr>
                              <m:t>rios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derivativos</m:t>
                            </m:r>
                            <m:r>
                              <a:rPr lang="pt-BR" sz="800">
                                <a:latin typeface="Cambria Math" panose="02040503050406030204" pitchFamily="18" charset="0"/>
                              </a:rPr>
                              <m:t>+ </m:t>
                            </m:r>
                            <m:r>
                              <m:rPr>
                                <m:sty m:val="p"/>
                              </m:rPr>
                              <a:rPr lang="pt-BR" sz="800">
                                <a:latin typeface="Cambria Math" panose="02040503050406030204" pitchFamily="18" charset="0"/>
                              </a:rPr>
                              <m:t>Outras</m:t>
                            </m:r>
                          </m:e>
                          <m:e>
                            <m:r>
                              <m:rPr>
                                <m:sty m:val="p"/>
                              </m:rPr>
                              <a:rPr lang="pt-BR" sz="800">
                                <a:latin typeface="Cambria Math" panose="02040503050406030204" pitchFamily="18" charset="0"/>
                              </a:rPr>
                              <m:t>receitas</m:t>
                            </m:r>
                            <m:r>
                              <a:rPr lang="pt-BR" sz="800">
                                <a:latin typeface="Cambria Math" panose="02040503050406030204" pitchFamily="18" charset="0"/>
                              </a:rPr>
                              <m:t>−</m:t>
                            </m:r>
                            <m:r>
                              <m:rPr>
                                <m:sty m:val="p"/>
                              </m:rPr>
                              <a:rPr lang="pt-BR" sz="800">
                                <a:latin typeface="Cambria Math" panose="02040503050406030204" pitchFamily="18" charset="0"/>
                              </a:rPr>
                              <m:t>Despesas</m:t>
                            </m:r>
                            <m:r>
                              <a:rPr lang="pt-BR" sz="800">
                                <a:latin typeface="Cambria Math" panose="02040503050406030204" pitchFamily="18" charset="0"/>
                              </a:rPr>
                              <m:t> </m:t>
                            </m:r>
                            <m:r>
                              <m:rPr>
                                <m:sty m:val="p"/>
                              </m:rPr>
                              <a:rPr lang="pt-BR" sz="800">
                                <a:latin typeface="Cambria Math" panose="02040503050406030204" pitchFamily="18" charset="0"/>
                              </a:rPr>
                              <m:t>tribut</m:t>
                            </m:r>
                            <m:r>
                              <a:rPr lang="pt-BR" sz="800">
                                <a:latin typeface="Cambria Math" panose="02040503050406030204" pitchFamily="18" charset="0"/>
                              </a:rPr>
                              <m:t>á</m:t>
                            </m:r>
                            <m:r>
                              <m:rPr>
                                <m:sty m:val="p"/>
                              </m:rPr>
                              <a:rPr lang="pt-BR" sz="800">
                                <a:latin typeface="Cambria Math" panose="02040503050406030204" pitchFamily="18" charset="0"/>
                              </a:rPr>
                              <m:t>rias</m:t>
                            </m:r>
                            <m:r>
                              <m:rPr>
                                <m:nor/>
                              </m:rPr>
                              <a:rPr lang="pt-BR" sz="800">
                                <a:latin typeface="Calibri" panose="020F0502020204030204" pitchFamily="34" charset="0"/>
                                <a:cs typeface="Calibri" panose="020F0502020204030204" pitchFamily="34" charset="0"/>
                              </a:rPr>
                              <m:t> </m:t>
                            </m:r>
                          </m:e>
                        </m:eqArr>
                      </m:den>
                    </m:f>
                    <m:r>
                      <a:rPr lang="pt-BR" sz="800" i="1">
                        <a:latin typeface="Cambria Math" panose="02040503050406030204" pitchFamily="18" charset="0"/>
                      </a:rPr>
                      <m:t> </m:t>
                    </m:r>
                  </m:oMath>
                </m:oMathPara>
              </a14:m>
              <a:endParaRPr lang="en-US" sz="800" b="1">
                <a:latin typeface="Calibri" panose="020F0502020204030204" pitchFamily="34" charset="0"/>
                <a:cs typeface="Calibri" panose="020F0502020204030204" pitchFamily="34" charset="0"/>
              </a:endParaRPr>
            </a:p>
            <a:p>
              <a:pPr algn="ct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 administrativo:</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a:latin typeface="Cambria Math" panose="02040503050406030204" pitchFamily="18" charset="0"/>
                          </a:rPr>
                          <m:t>Despesas</m:t>
                        </m:r>
                        <m:r>
                          <a:rPr lang="pt-BR" sz="800">
                            <a:latin typeface="Cambria Math" panose="02040503050406030204" pitchFamily="18" charset="0"/>
                          </a:rPr>
                          <m:t> </m:t>
                        </m:r>
                        <m:r>
                          <m:rPr>
                            <m:sty m:val="p"/>
                          </m:rPr>
                          <a:rPr lang="pt-BR" sz="800">
                            <a:latin typeface="Cambria Math" panose="02040503050406030204" pitchFamily="18" charset="0"/>
                          </a:rPr>
                          <m:t>administrativas</m:t>
                        </m:r>
                        <m:r>
                          <a:rPr lang="pt-BR" sz="800">
                            <a:latin typeface="Cambria Math" panose="02040503050406030204" pitchFamily="18" charset="0"/>
                          </a:rPr>
                          <m:t>+</m:t>
                        </m:r>
                        <m:r>
                          <m:rPr>
                            <m:sty m:val="p"/>
                          </m:rPr>
                          <a:rPr lang="pt-BR" sz="800">
                            <a:latin typeface="Cambria Math" panose="02040503050406030204" pitchFamily="18" charset="0"/>
                          </a:rPr>
                          <m:t>Deprecia</m:t>
                        </m:r>
                        <m:r>
                          <a:rPr lang="pt-BR" sz="800">
                            <a:latin typeface="Cambria Math" panose="02040503050406030204" pitchFamily="18" charset="0"/>
                          </a:rPr>
                          <m:t>çã</m:t>
                        </m:r>
                        <m:r>
                          <m:rPr>
                            <m:sty m:val="p"/>
                          </m:rPr>
                          <a:rPr lang="pt-BR" sz="800">
                            <a:latin typeface="Cambria Math" panose="02040503050406030204" pitchFamily="18" charset="0"/>
                          </a:rPr>
                          <m:t>o</m:t>
                        </m:r>
                        <m:r>
                          <a:rPr lang="pt-BR" sz="800">
                            <a:latin typeface="Cambria Math" panose="02040503050406030204" pitchFamily="18" charset="0"/>
                          </a:rPr>
                          <m:t> </m:t>
                        </m:r>
                        <m:r>
                          <m:rPr>
                            <m:sty m:val="p"/>
                          </m:rPr>
                          <a:rPr lang="pt-BR" sz="800">
                            <a:latin typeface="Cambria Math" panose="02040503050406030204" pitchFamily="18" charset="0"/>
                          </a:rPr>
                          <m:t>e</m:t>
                        </m:r>
                        <m:r>
                          <a:rPr lang="pt-BR" sz="800">
                            <a:latin typeface="Cambria Math" panose="02040503050406030204" pitchFamily="18" charset="0"/>
                          </a:rPr>
                          <m:t> </m:t>
                        </m:r>
                        <m:r>
                          <m:rPr>
                            <m:sty m:val="p"/>
                          </m:rPr>
                          <a:rPr lang="pt-BR" sz="800">
                            <a:latin typeface="Cambria Math" panose="02040503050406030204" pitchFamily="18" charset="0"/>
                          </a:rPr>
                          <m:t>amortiza</m:t>
                        </m:r>
                        <m:r>
                          <a:rPr lang="pt-BR" sz="800">
                            <a:latin typeface="Cambria Math" panose="02040503050406030204" pitchFamily="18" charset="0"/>
                          </a:rPr>
                          <m:t>çã</m:t>
                        </m:r>
                        <m:r>
                          <m:rPr>
                            <m:sty m:val="p"/>
                          </m:rPr>
                          <a:rPr lang="pt-BR" sz="800">
                            <a:latin typeface="Cambria Math" panose="02040503050406030204" pitchFamily="18" charset="0"/>
                          </a:rPr>
                          <m:t>o</m:t>
                        </m:r>
                      </m:num>
                      <m:den>
                        <m:eqArr>
                          <m:eqArrPr>
                            <m:ctrlPr>
                              <a:rPr lang="pt-BR" sz="800" i="1">
                                <a:latin typeface="Cambria Math" panose="02040503050406030204" pitchFamily="18" charset="0"/>
                              </a:rPr>
                            </m:ctrlPr>
                          </m:eqArrPr>
                          <m:e>
                            <m:r>
                              <m:rPr>
                                <m:sty m:val="p"/>
                              </m:rPr>
                              <a:rPr lang="pt-BR" sz="800">
                                <a:latin typeface="Cambria Math" panose="02040503050406030204" pitchFamily="18" charset="0"/>
                              </a:rPr>
                              <m:t>Receita</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m:t>
                            </m:r>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servi</m:t>
                            </m:r>
                            <m:r>
                              <a:rPr lang="pt-BR" sz="800">
                                <a:latin typeface="Cambria Math" panose="02040503050406030204" pitchFamily="18" charset="0"/>
                              </a:rPr>
                              <m:t>ç</m:t>
                            </m:r>
                            <m:r>
                              <m:rPr>
                                <m:sty m:val="p"/>
                              </m:rPr>
                              <a:rPr lang="pt-BR" sz="800">
                                <a:latin typeface="Cambria Math" panose="02040503050406030204" pitchFamily="18" charset="0"/>
                              </a:rPr>
                              <m:t>os</m:t>
                            </m:r>
                            <m:r>
                              <a:rPr lang="pt-BR" sz="800">
                                <a:latin typeface="Cambria Math" panose="02040503050406030204" pitchFamily="18" charset="0"/>
                              </a:rPr>
                              <m:t> </m:t>
                            </m:r>
                            <m:r>
                              <m:rPr>
                                <m:sty m:val="p"/>
                              </m:rPr>
                              <a:rPr lang="pt-BR" sz="800">
                                <a:latin typeface="Cambria Math" panose="02040503050406030204" pitchFamily="18" charset="0"/>
                              </a:rPr>
                              <m:t>e</m:t>
                            </m:r>
                            <m:r>
                              <a:rPr lang="pt-BR" sz="800">
                                <a:latin typeface="Cambria Math" panose="02040503050406030204" pitchFamily="18" charset="0"/>
                              </a:rPr>
                              <m:t> </m:t>
                            </m:r>
                            <m:r>
                              <m:rPr>
                                <m:sty m:val="p"/>
                              </m:rPr>
                              <a:rPr lang="pt-BR" sz="800">
                                <a:latin typeface="Cambria Math" panose="02040503050406030204" pitchFamily="18" charset="0"/>
                              </a:rPr>
                              <m:t>comiss</m:t>
                            </m:r>
                            <m:r>
                              <a:rPr lang="pt-BR" sz="800">
                                <a:latin typeface="Cambria Math" panose="02040503050406030204" pitchFamily="18" charset="0"/>
                              </a:rPr>
                              <m:t>õ</m:t>
                            </m:r>
                            <m:r>
                              <m:rPr>
                                <m:sty m:val="p"/>
                              </m:rPr>
                              <a:rPr lang="pt-BR" sz="800">
                                <a:latin typeface="Cambria Math" panose="02040503050406030204" pitchFamily="18" charset="0"/>
                              </a:rPr>
                              <m:t>es</m:t>
                            </m:r>
                            <m:r>
                              <a:rPr lang="pt-BR" sz="800">
                                <a:latin typeface="Cambria Math" panose="02040503050406030204" pitchFamily="18" charset="0"/>
                              </a:rPr>
                              <m:t>+</m:t>
                            </m:r>
                            <m:r>
                              <m:rPr>
                                <m:nor/>
                              </m:rPr>
                              <a:rPr lang="pt-BR" sz="800">
                                <a:latin typeface="Calibri" panose="020F0502020204030204" pitchFamily="34" charset="0"/>
                                <a:cs typeface="Calibri" panose="020F0502020204030204" pitchFamily="34" charset="0"/>
                              </a:rPr>
                              <m:t> </m:t>
                            </m:r>
                            <m:r>
                              <m:rPr>
                                <m:sty m:val="p"/>
                              </m:rPr>
                              <a:rPr lang="en-US" sz="800">
                                <a:latin typeface="Cambria Math" panose="02040503050406030204" pitchFamily="18" charset="0"/>
                                <a:cs typeface="Sora" pitchFamily="2" charset="0"/>
                              </a:rPr>
                              <m:t>Re</m:t>
                            </m:r>
                            <m:r>
                              <m:rPr>
                                <m:sty m:val="p"/>
                              </m:rPr>
                              <a:rPr lang="pt-BR" sz="800">
                                <a:latin typeface="Cambria Math" panose="02040503050406030204" pitchFamily="18" charset="0"/>
                                <a:cs typeface="Sora" pitchFamily="2" charset="0"/>
                              </a:rPr>
                              <m:t>sultado</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t</m:t>
                            </m:r>
                            <m:r>
                              <a:rPr lang="en-US" sz="800">
                                <a:latin typeface="Cambria Math" panose="02040503050406030204" pitchFamily="18" charset="0"/>
                                <a:cs typeface="Sora" pitchFamily="2" charset="0"/>
                              </a:rPr>
                              <m:t>í</m:t>
                            </m:r>
                            <m:r>
                              <m:rPr>
                                <m:sty m:val="p"/>
                              </m:rPr>
                              <a:rPr lang="en-US" sz="800">
                                <a:latin typeface="Cambria Math" panose="02040503050406030204" pitchFamily="18" charset="0"/>
                                <a:cs typeface="Sora" pitchFamily="2" charset="0"/>
                              </a:rPr>
                              <m:t>tulos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valores</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mobili</m:t>
                            </m:r>
                            <m:r>
                              <a:rPr lang="en-US" sz="800">
                                <a:latin typeface="Cambria Math" panose="02040503050406030204" pitchFamily="18" charset="0"/>
                                <a:cs typeface="Sora" pitchFamily="2" charset="0"/>
                              </a:rPr>
                              <m:t>á</m:t>
                            </m:r>
                            <m:r>
                              <m:rPr>
                                <m:sty m:val="p"/>
                              </m:rPr>
                              <a:rPr lang="en-US" sz="800">
                                <a:latin typeface="Cambria Math" panose="02040503050406030204" pitchFamily="18" charset="0"/>
                                <a:cs typeface="Sora" pitchFamily="2" charset="0"/>
                              </a:rPr>
                              <m:t>rios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derivativos</m:t>
                            </m:r>
                            <m:r>
                              <a:rPr lang="pt-BR" sz="800">
                                <a:latin typeface="Cambria Math" panose="02040503050406030204" pitchFamily="18" charset="0"/>
                              </a:rPr>
                              <m:t>+ </m:t>
                            </m:r>
                            <m:r>
                              <m:rPr>
                                <m:sty m:val="p"/>
                              </m:rPr>
                              <a:rPr lang="pt-BR" sz="800">
                                <a:latin typeface="Cambria Math" panose="02040503050406030204" pitchFamily="18" charset="0"/>
                              </a:rPr>
                              <m:t>Outras</m:t>
                            </m:r>
                          </m:e>
                          <m:e>
                            <m:r>
                              <m:rPr>
                                <m:sty m:val="p"/>
                              </m:rPr>
                              <a:rPr lang="pt-BR" sz="800">
                                <a:latin typeface="Cambria Math" panose="02040503050406030204" pitchFamily="18" charset="0"/>
                              </a:rPr>
                              <m:t>receitas</m:t>
                            </m:r>
                            <m:r>
                              <a:rPr lang="pt-BR" sz="800">
                                <a:latin typeface="Cambria Math" panose="02040503050406030204" pitchFamily="18" charset="0"/>
                              </a:rPr>
                              <m:t>−</m:t>
                            </m:r>
                            <m:r>
                              <m:rPr>
                                <m:sty m:val="p"/>
                              </m:rPr>
                              <a:rPr lang="pt-BR" sz="800">
                                <a:latin typeface="Cambria Math" panose="02040503050406030204" pitchFamily="18" charset="0"/>
                              </a:rPr>
                              <m:t>Despesas</m:t>
                            </m:r>
                            <m:r>
                              <a:rPr lang="pt-BR" sz="800">
                                <a:latin typeface="Cambria Math" panose="02040503050406030204" pitchFamily="18" charset="0"/>
                              </a:rPr>
                              <m:t> </m:t>
                            </m:r>
                            <m:r>
                              <m:rPr>
                                <m:sty m:val="p"/>
                              </m:rPr>
                              <a:rPr lang="pt-BR" sz="800">
                                <a:latin typeface="Cambria Math" panose="02040503050406030204" pitchFamily="18" charset="0"/>
                              </a:rPr>
                              <m:t>tribut</m:t>
                            </m:r>
                            <m:r>
                              <a:rPr lang="pt-BR" sz="800">
                                <a:latin typeface="Cambria Math" panose="02040503050406030204" pitchFamily="18" charset="0"/>
                              </a:rPr>
                              <m:t>á</m:t>
                            </m:r>
                            <m:r>
                              <m:rPr>
                                <m:sty m:val="p"/>
                              </m:rPr>
                              <a:rPr lang="pt-BR" sz="800">
                                <a:latin typeface="Cambria Math" panose="02040503050406030204" pitchFamily="18" charset="0"/>
                              </a:rPr>
                              <m:t>rias</m:t>
                            </m:r>
                            <m:r>
                              <m:rPr>
                                <m:nor/>
                              </m:rPr>
                              <a:rPr lang="pt-BR" sz="800">
                                <a:latin typeface="Calibri" panose="020F0502020204030204" pitchFamily="34" charset="0"/>
                                <a:cs typeface="Calibri" panose="020F0502020204030204" pitchFamily="34" charset="0"/>
                              </a:rPr>
                              <m:t> </m:t>
                            </m:r>
                          </m:e>
                        </m:eqArr>
                      </m:den>
                    </m:f>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 de pessoal:</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eqArr>
                          <m:eqArrPr>
                            <m:ctrlPr>
                              <a:rPr lang="pt-BR" sz="800" i="1">
                                <a:latin typeface="Cambria Math" panose="02040503050406030204" pitchFamily="18" charset="0"/>
                              </a:rPr>
                            </m:ctrlPr>
                          </m:eqArrPr>
                          <m:e>
                            <m:r>
                              <a:rPr lang="pt-BR" sz="800" i="0">
                                <a:latin typeface="Cambria Math" panose="02040503050406030204" pitchFamily="18" charset="0"/>
                              </a:rPr>
                              <m:t> </m:t>
                            </m:r>
                          </m:e>
                          <m:e>
                            <m:r>
                              <m:rPr>
                                <m:sty m:val="p"/>
                              </m:rPr>
                              <a:rPr lang="pt-BR" sz="800" i="0">
                                <a:latin typeface="Cambria Math" panose="02040503050406030204" pitchFamily="18" charset="0"/>
                              </a:rPr>
                              <m:t>Despesa</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pessoal</m:t>
                            </m:r>
                          </m:e>
                        </m:eqArr>
                      </m:num>
                      <m:den>
                        <m:eqArr>
                          <m:eqArrPr>
                            <m:ctrlPr>
                              <a:rPr lang="pt-BR" sz="800" i="1">
                                <a:latin typeface="Cambria Math" panose="02040503050406030204" pitchFamily="18" charset="0"/>
                              </a:rPr>
                            </m:ctrlPr>
                          </m:eqArrPr>
                          <m:e>
                            <m:r>
                              <m:rPr>
                                <m:sty m:val="p"/>
                              </m:rPr>
                              <a:rPr lang="pt-BR" sz="800">
                                <a:latin typeface="Cambria Math" panose="02040503050406030204" pitchFamily="18" charset="0"/>
                              </a:rPr>
                              <m:t>Receita</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m:t>
                            </m:r>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servi</m:t>
                            </m:r>
                            <m:r>
                              <a:rPr lang="pt-BR" sz="800">
                                <a:latin typeface="Cambria Math" panose="02040503050406030204" pitchFamily="18" charset="0"/>
                              </a:rPr>
                              <m:t>ç</m:t>
                            </m:r>
                            <m:r>
                              <m:rPr>
                                <m:sty m:val="p"/>
                              </m:rPr>
                              <a:rPr lang="pt-BR" sz="800">
                                <a:latin typeface="Cambria Math" panose="02040503050406030204" pitchFamily="18" charset="0"/>
                              </a:rPr>
                              <m:t>os</m:t>
                            </m:r>
                            <m:r>
                              <a:rPr lang="pt-BR" sz="800">
                                <a:latin typeface="Cambria Math" panose="02040503050406030204" pitchFamily="18" charset="0"/>
                              </a:rPr>
                              <m:t> </m:t>
                            </m:r>
                            <m:r>
                              <m:rPr>
                                <m:sty m:val="p"/>
                              </m:rPr>
                              <a:rPr lang="pt-BR" sz="800">
                                <a:latin typeface="Cambria Math" panose="02040503050406030204" pitchFamily="18" charset="0"/>
                              </a:rPr>
                              <m:t>e</m:t>
                            </m:r>
                            <m:r>
                              <a:rPr lang="pt-BR" sz="800">
                                <a:latin typeface="Cambria Math" panose="02040503050406030204" pitchFamily="18" charset="0"/>
                              </a:rPr>
                              <m:t> </m:t>
                            </m:r>
                            <m:r>
                              <m:rPr>
                                <m:sty m:val="p"/>
                              </m:rPr>
                              <a:rPr lang="pt-BR" sz="800">
                                <a:latin typeface="Cambria Math" panose="02040503050406030204" pitchFamily="18" charset="0"/>
                              </a:rPr>
                              <m:t>comiss</m:t>
                            </m:r>
                            <m:r>
                              <a:rPr lang="pt-BR" sz="800">
                                <a:latin typeface="Cambria Math" panose="02040503050406030204" pitchFamily="18" charset="0"/>
                              </a:rPr>
                              <m:t>õ</m:t>
                            </m:r>
                            <m:r>
                              <m:rPr>
                                <m:sty m:val="p"/>
                              </m:rPr>
                              <a:rPr lang="pt-BR" sz="800">
                                <a:latin typeface="Cambria Math" panose="02040503050406030204" pitchFamily="18" charset="0"/>
                              </a:rPr>
                              <m:t>es</m:t>
                            </m:r>
                            <m:r>
                              <a:rPr lang="pt-BR" sz="800">
                                <a:latin typeface="Cambria Math" panose="02040503050406030204" pitchFamily="18" charset="0"/>
                              </a:rPr>
                              <m:t>+</m:t>
                            </m:r>
                            <m:r>
                              <m:rPr>
                                <m:nor/>
                              </m:rPr>
                              <a:rPr lang="pt-BR" sz="800">
                                <a:latin typeface="Calibri" panose="020F0502020204030204" pitchFamily="34" charset="0"/>
                                <a:cs typeface="Calibri" panose="020F0502020204030204" pitchFamily="34" charset="0"/>
                              </a:rPr>
                              <m:t> </m:t>
                            </m:r>
                            <m:r>
                              <m:rPr>
                                <m:sty m:val="p"/>
                              </m:rPr>
                              <a:rPr lang="en-US" sz="800">
                                <a:latin typeface="Cambria Math" panose="02040503050406030204" pitchFamily="18" charset="0"/>
                                <a:cs typeface="Sora" pitchFamily="2" charset="0"/>
                              </a:rPr>
                              <m:t>Re</m:t>
                            </m:r>
                            <m:r>
                              <m:rPr>
                                <m:sty m:val="p"/>
                              </m:rPr>
                              <a:rPr lang="pt-BR" sz="800">
                                <a:latin typeface="Cambria Math" panose="02040503050406030204" pitchFamily="18" charset="0"/>
                                <a:cs typeface="Sora" pitchFamily="2" charset="0"/>
                              </a:rPr>
                              <m:t>sultado</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de</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t</m:t>
                            </m:r>
                            <m:r>
                              <a:rPr lang="en-US" sz="800">
                                <a:latin typeface="Cambria Math" panose="02040503050406030204" pitchFamily="18" charset="0"/>
                                <a:cs typeface="Sora" pitchFamily="2" charset="0"/>
                              </a:rPr>
                              <m:t>í</m:t>
                            </m:r>
                            <m:r>
                              <m:rPr>
                                <m:sty m:val="p"/>
                              </m:rPr>
                              <a:rPr lang="en-US" sz="800">
                                <a:latin typeface="Cambria Math" panose="02040503050406030204" pitchFamily="18" charset="0"/>
                                <a:cs typeface="Sora" pitchFamily="2" charset="0"/>
                              </a:rPr>
                              <m:t>tulos</m:t>
                            </m:r>
                            <m:r>
                              <a:rPr lang="en-US" sz="80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valores</m:t>
                            </m:r>
                            <m:r>
                              <a:rPr lang="pt-BR" sz="800" b="0" i="0">
                                <a:latin typeface="Cambria Math" panose="02040503050406030204" pitchFamily="18" charset="0"/>
                                <a:cs typeface="Sora" pitchFamily="2" charset="0"/>
                              </a:rPr>
                              <m:t> </m:t>
                            </m:r>
                            <m:r>
                              <m:rPr>
                                <m:sty m:val="p"/>
                              </m:rPr>
                              <a:rPr lang="en-US" sz="800">
                                <a:latin typeface="Cambria Math" panose="02040503050406030204" pitchFamily="18" charset="0"/>
                                <a:cs typeface="Sora" pitchFamily="2" charset="0"/>
                              </a:rPr>
                              <m:t>mobili</m:t>
                            </m:r>
                            <m:r>
                              <a:rPr lang="en-US" sz="800">
                                <a:latin typeface="Cambria Math" panose="02040503050406030204" pitchFamily="18" charset="0"/>
                                <a:cs typeface="Sora" pitchFamily="2" charset="0"/>
                              </a:rPr>
                              <m:t>á</m:t>
                            </m:r>
                            <m:r>
                              <m:rPr>
                                <m:sty m:val="p"/>
                              </m:rPr>
                              <a:rPr lang="en-US" sz="800">
                                <a:latin typeface="Cambria Math" panose="02040503050406030204" pitchFamily="18" charset="0"/>
                                <a:cs typeface="Sora" pitchFamily="2" charset="0"/>
                              </a:rPr>
                              <m:t>rios</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e</m:t>
                            </m:r>
                            <m:r>
                              <a:rPr lang="pt-BR" sz="800">
                                <a:latin typeface="Cambria Math" panose="02040503050406030204" pitchFamily="18" charset="0"/>
                                <a:cs typeface="Sora" pitchFamily="2" charset="0"/>
                              </a:rPr>
                              <m:t> </m:t>
                            </m:r>
                            <m:r>
                              <m:rPr>
                                <m:sty m:val="p"/>
                              </m:rPr>
                              <a:rPr lang="pt-BR" sz="800">
                                <a:latin typeface="Cambria Math" panose="02040503050406030204" pitchFamily="18" charset="0"/>
                                <a:cs typeface="Sora" pitchFamily="2" charset="0"/>
                              </a:rPr>
                              <m:t>derivativos</m:t>
                            </m:r>
                            <m:r>
                              <a:rPr lang="pt-BR" sz="800">
                                <a:latin typeface="Cambria Math" panose="02040503050406030204" pitchFamily="18" charset="0"/>
                              </a:rPr>
                              <m:t>+ </m:t>
                            </m:r>
                            <m:r>
                              <m:rPr>
                                <m:sty m:val="p"/>
                              </m:rPr>
                              <a:rPr lang="pt-BR" sz="800">
                                <a:latin typeface="Cambria Math" panose="02040503050406030204" pitchFamily="18" charset="0"/>
                              </a:rPr>
                              <m:t>Outras</m:t>
                            </m:r>
                          </m:e>
                          <m:e>
                            <m:r>
                              <m:rPr>
                                <m:sty m:val="p"/>
                              </m:rPr>
                              <a:rPr lang="pt-BR" sz="800">
                                <a:latin typeface="Cambria Math" panose="02040503050406030204" pitchFamily="18" charset="0"/>
                              </a:rPr>
                              <m:t>receitas</m:t>
                            </m:r>
                            <m:r>
                              <a:rPr lang="pt-BR" sz="800">
                                <a:latin typeface="Cambria Math" panose="02040503050406030204" pitchFamily="18" charset="0"/>
                              </a:rPr>
                              <m:t>−</m:t>
                            </m:r>
                            <m:r>
                              <m:rPr>
                                <m:sty m:val="p"/>
                              </m:rPr>
                              <a:rPr lang="pt-BR" sz="800">
                                <a:latin typeface="Cambria Math" panose="02040503050406030204" pitchFamily="18" charset="0"/>
                              </a:rPr>
                              <m:t>Despesas</m:t>
                            </m:r>
                            <m:r>
                              <a:rPr lang="pt-BR" sz="800">
                                <a:latin typeface="Cambria Math" panose="02040503050406030204" pitchFamily="18" charset="0"/>
                              </a:rPr>
                              <m:t> </m:t>
                            </m:r>
                            <m:r>
                              <m:rPr>
                                <m:sty m:val="p"/>
                              </m:rPr>
                              <a:rPr lang="pt-BR" sz="800">
                                <a:latin typeface="Cambria Math" panose="02040503050406030204" pitchFamily="18" charset="0"/>
                              </a:rPr>
                              <m:t>tribut</m:t>
                            </m:r>
                            <m:r>
                              <a:rPr lang="pt-BR" sz="800">
                                <a:latin typeface="Cambria Math" panose="02040503050406030204" pitchFamily="18" charset="0"/>
                              </a:rPr>
                              <m:t>á</m:t>
                            </m:r>
                            <m:r>
                              <m:rPr>
                                <m:sty m:val="p"/>
                              </m:rPr>
                              <a:rPr lang="pt-BR" sz="800">
                                <a:latin typeface="Cambria Math" panose="02040503050406030204" pitchFamily="18" charset="0"/>
                              </a:rPr>
                              <m:t>rias</m:t>
                            </m:r>
                            <m:r>
                              <m:rPr>
                                <m:nor/>
                              </m:rPr>
                              <a:rPr lang="pt-BR" sz="800">
                                <a:latin typeface="Calibri" panose="020F0502020204030204" pitchFamily="34" charset="0"/>
                                <a:cs typeface="Calibri" panose="020F0502020204030204" pitchFamily="34" charset="0"/>
                              </a:rPr>
                              <m:t> </m:t>
                            </m:r>
                          </m:e>
                        </m:eqArr>
                      </m:den>
                    </m:f>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Margem bruta por cliente ativo bruta de despesas de juros:</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800" b="0" i="0">
                        <a:latin typeface="Cambria Math" panose="02040503050406030204" pitchFamily="18" charset="0"/>
                        <a:ea typeface="Inter" panose="020B0502030000000004" pitchFamily="34" charset="0"/>
                      </a:rPr>
                      <m:t>ARPAC</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Bruto</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Despesas</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Juros</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Custo</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Servir</m:t>
                    </m:r>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Margem bruta por cliente ativo líquida de despesas de juros:</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800" b="0" i="0">
                        <a:latin typeface="Cambria Math" panose="02040503050406030204" pitchFamily="18" charset="0"/>
                        <a:ea typeface="Inter" panose="020B0502030000000004" pitchFamily="34" charset="0"/>
                      </a:rPr>
                      <m:t>ARPAC</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L</m:t>
                    </m:r>
                    <m:r>
                      <a:rPr lang="pt-BR" sz="800" i="0">
                        <a:latin typeface="Cambria Math" panose="02040503050406030204" pitchFamily="18" charset="0"/>
                        <a:ea typeface="Inter" panose="020B0502030000000004" pitchFamily="34" charset="0"/>
                      </a:rPr>
                      <m:t>í</m:t>
                    </m:r>
                    <m:r>
                      <m:rPr>
                        <m:sty m:val="p"/>
                      </m:rPr>
                      <a:rPr lang="pt-BR" sz="800" b="0" i="0">
                        <a:latin typeface="Cambria Math" panose="02040503050406030204" pitchFamily="18" charset="0"/>
                        <a:ea typeface="Inter" panose="020B0502030000000004" pitchFamily="34" charset="0"/>
                      </a:rPr>
                      <m:t>quido</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Despesas</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Juros</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Custo</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de</m:t>
                    </m:r>
                    <m:r>
                      <a:rPr lang="pt-BR" sz="800" b="0" i="0">
                        <a:latin typeface="Cambria Math" panose="02040503050406030204" pitchFamily="18" charset="0"/>
                        <a:ea typeface="Inter" panose="020B0502030000000004" pitchFamily="34" charset="0"/>
                      </a:rPr>
                      <m:t> </m:t>
                    </m:r>
                    <m:r>
                      <m:rPr>
                        <m:sty m:val="p"/>
                      </m:rPr>
                      <a:rPr lang="pt-BR" sz="800" b="0" i="0">
                        <a:latin typeface="Cambria Math" panose="02040503050406030204" pitchFamily="18" charset="0"/>
                        <a:ea typeface="Inter" panose="020B0502030000000004" pitchFamily="34" charset="0"/>
                      </a:rPr>
                      <m:t>Servir</m:t>
                    </m:r>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xdr:txBody>
        </xdr:sp>
      </mc:Choice>
      <mc:Fallback xmlns="">
        <xdr:sp macro="" textlink="">
          <xdr:nvSpPr>
            <xdr:cNvPr id="50" name="Retângulo 9">
              <a:extLst>
                <a:ext uri="{FF2B5EF4-FFF2-40B4-BE49-F238E27FC236}">
                  <a16:creationId xmlns:a16="http://schemas.microsoft.com/office/drawing/2014/main" id="{35CA3697-EE6E-6784-3C77-9E55A4DD6727}"/>
                </a:ext>
              </a:extLst>
            </xdr:cNvPr>
            <xdr:cNvSpPr/>
          </xdr:nvSpPr>
          <xdr:spPr>
            <a:xfrm>
              <a:off x="6761357" y="25854707"/>
              <a:ext cx="5774108" cy="565250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cobertura:</a:t>
              </a:r>
            </a:p>
            <a:p>
              <a:endParaRPr lang="en-US" sz="800">
                <a:solidFill>
                  <a:schemeClr val="tx1">
                    <a:lumMod val="85000"/>
                    <a:lumOff val="15000"/>
                  </a:schemeClr>
                </a:solidFill>
                <a:latin typeface="Calibri" panose="020F0502020204030204" pitchFamily="34" charset="0"/>
                <a:ea typeface="Inter Light BETA" panose="020B0402030000000004" pitchFamily="34" charset="0"/>
                <a:cs typeface="Calibri" panose="020F0502020204030204" pitchFamily="34" charset="0"/>
              </a:endParaRPr>
            </a:p>
            <a:p>
              <a:pPr/>
              <a:r>
                <a:rPr lang="pt-BR" sz="800" i="0">
                  <a:latin typeface="Cambria Math" panose="02040503050406030204" pitchFamily="18" charset="0"/>
                </a:rPr>
                <a:t>(</a:t>
              </a:r>
              <a:r>
                <a:rPr lang="pt-BR" sz="800" b="0" i="0">
                  <a:latin typeface="Cambria Math" panose="02040503050406030204" pitchFamily="18" charset="0"/>
                </a:rPr>
                <a:t>Provis</a:t>
              </a:r>
              <a:r>
                <a:rPr lang="pt-BR" sz="800" i="0">
                  <a:latin typeface="Cambria Math" panose="02040503050406030204" pitchFamily="18" charset="0"/>
                </a:rPr>
                <a:t>ã</a:t>
              </a:r>
              <a:r>
                <a:rPr lang="pt-BR" sz="800" b="0" i="0">
                  <a:latin typeface="Cambria Math" panose="02040503050406030204" pitchFamily="18" charset="0"/>
                </a:rPr>
                <a:t>o de perdas esperadas)/(</a:t>
              </a:r>
              <a:r>
                <a:rPr lang="pt-BR" sz="800" i="0">
                  <a:latin typeface="Cambria Math" panose="02040503050406030204" pitchFamily="18" charset="0"/>
                </a:rPr>
                <a:t>NPL&gt; 90 dias)</a:t>
              </a:r>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a:latin typeface="Calibri" panose="020F0502020204030204" pitchFamily="34" charset="0"/>
                <a:ea typeface="Inter Light BETA" panose="020B04020300000000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r>
                <a:rPr lang="pt-BR" sz="800" i="0">
                  <a:latin typeface="Cambria Math" panose="02040503050406030204" pitchFamily="18" charset="0"/>
                </a:rPr>
                <a:t>█( @Despesa de pessoal+Despesas administrativas</a:t>
              </a:r>
              <a:r>
                <a:rPr lang="pt-BR" sz="800" b="0" i="0">
                  <a:latin typeface="Cambria Math" panose="02040503050406030204" pitchFamily="18" charset="0"/>
                </a:rPr>
                <a:t>+Deprecia</a:t>
              </a:r>
              <a:r>
                <a:rPr lang="pt-BR" sz="800" i="0">
                  <a:latin typeface="Cambria Math" panose="02040503050406030204" pitchFamily="18" charset="0"/>
                </a:rPr>
                <a:t>çã</a:t>
              </a:r>
              <a:r>
                <a:rPr lang="pt-BR" sz="800" b="0" i="0">
                  <a:latin typeface="Cambria Math" panose="02040503050406030204" pitchFamily="18" charset="0"/>
                </a:rPr>
                <a:t>o e amortiza</a:t>
              </a:r>
              <a:r>
                <a:rPr lang="pt-BR" sz="800" i="0">
                  <a:latin typeface="Cambria Math" panose="02040503050406030204" pitchFamily="18" charset="0"/>
                </a:rPr>
                <a:t>çã</a:t>
              </a:r>
              <a:r>
                <a:rPr lang="pt-BR" sz="800" b="0" i="0">
                  <a:latin typeface="Cambria Math" panose="02040503050406030204" pitchFamily="18" charset="0"/>
                </a:rPr>
                <a:t>o)/█(</a:t>
              </a:r>
              <a:r>
                <a:rPr lang="pt-BR" sz="800" i="0">
                  <a:latin typeface="Cambria Math" panose="02040503050406030204" pitchFamily="18" charset="0"/>
                </a:rPr>
                <a:t>Receita de juros+Resultado líquido de serviços e comissões+"</a:t>
              </a:r>
              <a:r>
                <a:rPr lang="pt-BR" sz="800" i="0">
                  <a:latin typeface="Calibri" panose="020F0502020204030204" pitchFamily="34" charset="0"/>
                  <a:cs typeface="Calibri" panose="020F0502020204030204" pitchFamily="34" charset="0"/>
                </a:rPr>
                <a:t> </a:t>
              </a:r>
              <a:r>
                <a:rPr lang="en-US" sz="800" i="0">
                  <a:latin typeface="Cambria Math" panose="02040503050406030204" pitchFamily="18" charset="0"/>
                  <a:cs typeface="Calibri" panose="020F0502020204030204" pitchFamily="34" charset="0"/>
                </a:rPr>
                <a:t>" </a:t>
              </a:r>
              <a:r>
                <a:rPr lang="en-US" sz="800" i="0">
                  <a:latin typeface="Cambria Math" panose="02040503050406030204" pitchFamily="18" charset="0"/>
                  <a:cs typeface="Sora" pitchFamily="2" charset="0"/>
                </a:rPr>
                <a:t>Re</a:t>
              </a:r>
              <a:r>
                <a:rPr lang="pt-BR" sz="800" i="0">
                  <a:latin typeface="Cambria Math" panose="02040503050406030204" pitchFamily="18" charset="0"/>
                  <a:cs typeface="Sora" pitchFamily="2" charset="0"/>
                </a:rPr>
                <a:t>sultado</a:t>
              </a:r>
              <a:r>
                <a:rPr lang="en-US" sz="800" i="0">
                  <a:latin typeface="Cambria Math" panose="02040503050406030204" pitchFamily="18" charset="0"/>
                  <a:cs typeface="Sora" pitchFamily="2" charset="0"/>
                </a:rPr>
                <a:t> de títulos e</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valores</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mobiliários</a:t>
              </a:r>
              <a:r>
                <a:rPr lang="pt-BR" sz="800" i="0">
                  <a:latin typeface="Cambria Math" panose="02040503050406030204" pitchFamily="18" charset="0"/>
                  <a:cs typeface="Sora" pitchFamily="2" charset="0"/>
                </a:rPr>
                <a:t> e derivativos</a:t>
              </a:r>
              <a:r>
                <a:rPr lang="pt-BR" sz="800" i="0">
                  <a:latin typeface="Cambria Math" panose="02040503050406030204" pitchFamily="18" charset="0"/>
                </a:rPr>
                <a:t>+ Outras@receitas−Despesas tributárias"</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 </a:t>
              </a:r>
              <a:r>
                <a:rPr lang="pt-BR" sz="800" i="0">
                  <a:latin typeface="Cambria Math" panose="02040503050406030204" pitchFamily="18" charset="0"/>
                </a:rPr>
                <a:t> </a:t>
              </a:r>
              <a:endParaRPr lang="en-US" sz="800" b="1">
                <a:latin typeface="Calibri" panose="020F0502020204030204" pitchFamily="34" charset="0"/>
                <a:cs typeface="Calibri" panose="020F0502020204030204" pitchFamily="34" charset="0"/>
              </a:endParaRPr>
            </a:p>
            <a:p>
              <a:pPr algn="ct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 administrativo:</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r>
                <a:rPr lang="pt-BR" sz="800" i="0">
                  <a:latin typeface="Cambria Math" panose="02040503050406030204" pitchFamily="18" charset="0"/>
                </a:rPr>
                <a:t>(Despesas administrativas+Depreciação e amortização)/█(Receita de juros+Resultado líquido de serviços e comissões+"</a:t>
              </a:r>
              <a:r>
                <a:rPr lang="pt-BR" sz="800" i="0">
                  <a:latin typeface="Calibri" panose="020F0502020204030204" pitchFamily="34" charset="0"/>
                  <a:cs typeface="Calibri" panose="020F0502020204030204" pitchFamily="34" charset="0"/>
                </a:rPr>
                <a:t> </a:t>
              </a:r>
              <a:r>
                <a:rPr lang="en-US" sz="800" i="0">
                  <a:latin typeface="Cambria Math" panose="02040503050406030204" pitchFamily="18" charset="0"/>
                  <a:cs typeface="Calibri" panose="020F0502020204030204" pitchFamily="34" charset="0"/>
                </a:rPr>
                <a:t>" </a:t>
              </a:r>
              <a:r>
                <a:rPr lang="en-US" sz="800" i="0">
                  <a:latin typeface="Cambria Math" panose="02040503050406030204" pitchFamily="18" charset="0"/>
                  <a:cs typeface="Sora" pitchFamily="2" charset="0"/>
                </a:rPr>
                <a:t>Re</a:t>
              </a:r>
              <a:r>
                <a:rPr lang="pt-BR" sz="800" i="0">
                  <a:latin typeface="Cambria Math" panose="02040503050406030204" pitchFamily="18" charset="0"/>
                  <a:cs typeface="Sora" pitchFamily="2" charset="0"/>
                </a:rPr>
                <a:t>sultado</a:t>
              </a:r>
              <a:r>
                <a:rPr lang="en-US" sz="800" i="0">
                  <a:latin typeface="Cambria Math" panose="02040503050406030204" pitchFamily="18" charset="0"/>
                  <a:cs typeface="Sora" pitchFamily="2" charset="0"/>
                </a:rPr>
                <a:t> de títulos e</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valores</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mobiliários</a:t>
              </a:r>
              <a:r>
                <a:rPr lang="pt-BR" sz="800" i="0">
                  <a:latin typeface="Cambria Math" panose="02040503050406030204" pitchFamily="18" charset="0"/>
                  <a:cs typeface="Sora" pitchFamily="2" charset="0"/>
                </a:rPr>
                <a:t> e derivativos</a:t>
              </a:r>
              <a:r>
                <a:rPr lang="pt-BR" sz="800" i="0">
                  <a:latin typeface="Cambria Math" panose="02040503050406030204" pitchFamily="18" charset="0"/>
                </a:rPr>
                <a:t>+ Outras@receitas−Despesas tributárias"</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Índice de eficiência de pessoal:</a:t>
              </a:r>
            </a:p>
            <a:p>
              <a:pPr algn="ctr"/>
              <a:endParaRPr lang="en-US" sz="800">
                <a:latin typeface="Calibri" panose="020F0502020204030204" pitchFamily="34" charset="0"/>
                <a:ea typeface="Inter" panose="020B0502030000000004" pitchFamily="34" charset="0"/>
                <a:cs typeface="Calibri" panose="020F0502020204030204" pitchFamily="34" charset="0"/>
              </a:endParaRPr>
            </a:p>
            <a:p>
              <a:pPr algn="ctr"/>
              <a:r>
                <a:rPr lang="pt-BR" sz="800" i="0">
                  <a:latin typeface="Cambria Math" panose="02040503050406030204" pitchFamily="18" charset="0"/>
                </a:rPr>
                <a:t>█( @Despesa de pessoal)/█(Receita de juros+Resultado líquido de serviços e comissões+"</a:t>
              </a:r>
              <a:r>
                <a:rPr lang="pt-BR" sz="800" i="0">
                  <a:latin typeface="Calibri" panose="020F0502020204030204" pitchFamily="34" charset="0"/>
                  <a:cs typeface="Calibri" panose="020F0502020204030204" pitchFamily="34" charset="0"/>
                </a:rPr>
                <a:t> </a:t>
              </a:r>
              <a:r>
                <a:rPr lang="en-US" sz="800" i="0">
                  <a:latin typeface="Cambria Math" panose="02040503050406030204" pitchFamily="18" charset="0"/>
                  <a:cs typeface="Calibri" panose="020F0502020204030204" pitchFamily="34" charset="0"/>
                </a:rPr>
                <a:t>" </a:t>
              </a:r>
              <a:r>
                <a:rPr lang="en-US" sz="800" i="0">
                  <a:latin typeface="Cambria Math" panose="02040503050406030204" pitchFamily="18" charset="0"/>
                  <a:cs typeface="Sora" pitchFamily="2" charset="0"/>
                </a:rPr>
                <a:t>Re</a:t>
              </a:r>
              <a:r>
                <a:rPr lang="pt-BR" sz="800" i="0">
                  <a:latin typeface="Cambria Math" panose="02040503050406030204" pitchFamily="18" charset="0"/>
                  <a:cs typeface="Sora" pitchFamily="2" charset="0"/>
                </a:rPr>
                <a:t>sultado</a:t>
              </a:r>
              <a:r>
                <a:rPr lang="en-US" sz="800" i="0">
                  <a:latin typeface="Cambria Math" panose="02040503050406030204" pitchFamily="18" charset="0"/>
                  <a:cs typeface="Sora" pitchFamily="2" charset="0"/>
                </a:rPr>
                <a:t> de títulos e</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valores</a:t>
              </a:r>
              <a:r>
                <a:rPr lang="pt-BR" sz="800" b="0" i="0">
                  <a:latin typeface="Cambria Math" panose="02040503050406030204" pitchFamily="18" charset="0"/>
                  <a:cs typeface="Sora" pitchFamily="2" charset="0"/>
                </a:rPr>
                <a:t> </a:t>
              </a:r>
              <a:r>
                <a:rPr lang="en-US" sz="800" i="0">
                  <a:latin typeface="Cambria Math" panose="02040503050406030204" pitchFamily="18" charset="0"/>
                  <a:cs typeface="Sora" pitchFamily="2" charset="0"/>
                </a:rPr>
                <a:t>mobiliários</a:t>
              </a:r>
              <a:r>
                <a:rPr lang="pt-BR" sz="800" i="0">
                  <a:latin typeface="Cambria Math" panose="02040503050406030204" pitchFamily="18" charset="0"/>
                  <a:cs typeface="Sora" pitchFamily="2" charset="0"/>
                </a:rPr>
                <a:t> e derivativos</a:t>
              </a:r>
              <a:r>
                <a:rPr lang="pt-BR" sz="800" i="0">
                  <a:latin typeface="Cambria Math" panose="02040503050406030204" pitchFamily="18" charset="0"/>
                </a:rPr>
                <a:t>+ Outras@receitas−Despesas tributárias"</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Margem bruta por cliente ativo bruta de despesas de juros:</a:t>
              </a:r>
            </a:p>
            <a:p>
              <a:endParaRPr lang="en-US" sz="800" b="1">
                <a:latin typeface="Calibri" panose="020F0502020204030204" pitchFamily="34" charset="0"/>
                <a:cs typeface="Calibri" panose="020F0502020204030204" pitchFamily="34" charset="0"/>
              </a:endParaRPr>
            </a:p>
            <a:p>
              <a:pPr/>
              <a:r>
                <a:rPr lang="pt-BR" sz="800" b="0" i="0">
                  <a:latin typeface="Cambria Math" panose="02040503050406030204" pitchFamily="18" charset="0"/>
                  <a:ea typeface="Inter" panose="020B0502030000000004" pitchFamily="34" charset="0"/>
                </a:rPr>
                <a:t>ARPAC Bruto de Despesas de Juros −Custo de Servir</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Margem bruta por cliente ativo líquida de despesas de juros:</a:t>
              </a:r>
            </a:p>
            <a:p>
              <a:endParaRPr lang="en-US" sz="800" b="1">
                <a:latin typeface="Calibri" panose="020F0502020204030204" pitchFamily="34" charset="0"/>
                <a:cs typeface="Calibri" panose="020F0502020204030204" pitchFamily="34" charset="0"/>
              </a:endParaRPr>
            </a:p>
            <a:p>
              <a:pPr/>
              <a:r>
                <a:rPr lang="pt-BR" sz="800" b="0" i="0">
                  <a:latin typeface="Cambria Math" panose="02040503050406030204" pitchFamily="18" charset="0"/>
                  <a:ea typeface="Inter" panose="020B0502030000000004" pitchFamily="34" charset="0"/>
                </a:rPr>
                <a:t>ARPAC L</a:t>
              </a:r>
              <a:r>
                <a:rPr lang="pt-BR" sz="800" i="0">
                  <a:latin typeface="Cambria Math" panose="02040503050406030204" pitchFamily="18" charset="0"/>
                  <a:ea typeface="Inter" panose="020B0502030000000004" pitchFamily="34" charset="0"/>
                </a:rPr>
                <a:t>í</a:t>
              </a:r>
              <a:r>
                <a:rPr lang="pt-BR" sz="800" b="0" i="0">
                  <a:latin typeface="Cambria Math" panose="02040503050406030204" pitchFamily="18" charset="0"/>
                  <a:ea typeface="Inter" panose="020B0502030000000004" pitchFamily="34" charset="0"/>
                </a:rPr>
                <a:t>quido de Despesas de Juros −Custo de Servir</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xdr:txBody>
        </xdr:sp>
      </mc:Fallback>
    </mc:AlternateContent>
    <xdr:clientData/>
  </xdr:twoCellAnchor>
  <xdr:twoCellAnchor>
    <xdr:from>
      <xdr:col>8</xdr:col>
      <xdr:colOff>177800</xdr:colOff>
      <xdr:row>170</xdr:row>
      <xdr:rowOff>76200</xdr:rowOff>
    </xdr:from>
    <xdr:to>
      <xdr:col>15</xdr:col>
      <xdr:colOff>144745</xdr:colOff>
      <xdr:row>199</xdr:row>
      <xdr:rowOff>79918</xdr:rowOff>
    </xdr:to>
    <mc:AlternateContent xmlns:mc="http://schemas.openxmlformats.org/markup-compatibility/2006" xmlns:a14="http://schemas.microsoft.com/office/drawing/2010/main">
      <mc:Choice Requires="a14">
        <xdr:sp macro="" textlink="">
          <xdr:nvSpPr>
            <xdr:cNvPr id="51" name="Retângulo 9">
              <a:extLst>
                <a:ext uri="{FF2B5EF4-FFF2-40B4-BE49-F238E27FC236}">
                  <a16:creationId xmlns:a16="http://schemas.microsoft.com/office/drawing/2014/main" id="{00000000-0008-0000-1600-000033000000}"/>
                </a:ext>
              </a:extLst>
            </xdr:cNvPr>
            <xdr:cNvSpPr/>
          </xdr:nvSpPr>
          <xdr:spPr>
            <a:xfrm>
              <a:off x="6803887" y="31366055"/>
              <a:ext cx="5764771" cy="534139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NIM 1.0 - Baseado na carteira remunerada + recebíveis de cartão de crédito não remunerados</a:t>
              </a:r>
              <a:br>
                <a:rPr lang="en-US" sz="800" b="1">
                  <a:latin typeface="Calibri" panose="020F0502020204030204" pitchFamily="34" charset="0"/>
                  <a:cs typeface="Calibri" panose="020F0502020204030204" pitchFamily="34" charset="0"/>
                </a:rPr>
              </a:br>
              <a:endParaRPr lang="en-US" sz="800" b="1">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 </m:t>
                        </m:r>
                        <m:r>
                          <m:rPr>
                            <m:sty m:val="p"/>
                          </m:rPr>
                          <a:rPr lang="pt-BR" sz="800">
                            <a:latin typeface="Cambria Math" panose="02040503050406030204" pitchFamily="18" charset="0"/>
                          </a:rPr>
                          <m:t>x</m:t>
                        </m:r>
                        <m:r>
                          <a:rPr lang="pt-BR" sz="800">
                            <a:latin typeface="Cambria Math" panose="02040503050406030204" pitchFamily="18" charset="0"/>
                          </a:rPr>
                          <m:t> 4</m:t>
                        </m:r>
                      </m:num>
                      <m:den>
                        <m:eqArr>
                          <m:eqArrPr>
                            <m:ctrlPr>
                              <a:rPr lang="pt-BR" sz="800" i="1">
                                <a:latin typeface="Cambria Math" panose="02040503050406030204" pitchFamily="18" charset="0"/>
                              </a:rPr>
                            </m:ctrlPr>
                          </m:eqArrPr>
                          <m:e>
                            <m:r>
                              <m:rPr>
                                <m:sty m:val="p"/>
                              </m:rPr>
                              <a:rPr lang="pt-BR" sz="800" i="0">
                                <a:latin typeface="Cambria Math" panose="02040503050406030204" pitchFamily="18" charset="0"/>
                              </a:rPr>
                              <m:t>M</m:t>
                            </m:r>
                            <m:r>
                              <a:rPr lang="pt-BR" sz="800" i="0">
                                <a:latin typeface="Cambria Math" panose="02040503050406030204" pitchFamily="18" charset="0"/>
                              </a:rPr>
                              <m:t>é</m:t>
                            </m:r>
                            <m:r>
                              <m:rPr>
                                <m:sty m:val="p"/>
                              </m:rPr>
                              <a:rPr lang="pt-BR" sz="800" i="0">
                                <a:latin typeface="Cambria Math" panose="02040503050406030204" pitchFamily="18" charset="0"/>
                              </a:rPr>
                              <m:t>dia</m:t>
                            </m:r>
                            <m:r>
                              <a:rPr lang="pt-BR" sz="800" i="0">
                                <a:latin typeface="Cambria Math" panose="02040503050406030204" pitchFamily="18" charset="0"/>
                              </a:rPr>
                              <m:t> </m:t>
                            </m:r>
                            <m:r>
                              <m:rPr>
                                <m:sty m:val="p"/>
                              </m:rPr>
                              <a:rPr lang="pt-BR" sz="800" i="0">
                                <a:latin typeface="Cambria Math" panose="02040503050406030204" pitchFamily="18" charset="0"/>
                              </a:rPr>
                              <m:t>da</m:t>
                            </m:r>
                            <m:r>
                              <a:rPr lang="pt-BR" sz="800" i="0">
                                <a:latin typeface="Cambria Math" panose="02040503050406030204" pitchFamily="18" charset="0"/>
                              </a:rPr>
                              <m:t> </m:t>
                            </m:r>
                            <m:r>
                              <m:rPr>
                                <m:sty m:val="p"/>
                              </m:rPr>
                              <a:rPr lang="pt-BR" sz="800" i="0">
                                <a:latin typeface="Cambria Math" panose="02040503050406030204" pitchFamily="18" charset="0"/>
                              </a:rPr>
                              <m:t>carteira</m:t>
                            </m:r>
                            <m:r>
                              <a:rPr lang="pt-BR" sz="800" i="0">
                                <a:latin typeface="Cambria Math" panose="02040503050406030204" pitchFamily="18" charset="0"/>
                              </a:rPr>
                              <m:t> </m:t>
                            </m:r>
                            <m:r>
                              <m:rPr>
                                <m:sty m:val="p"/>
                              </m:rPr>
                              <a:rPr lang="pt-BR" sz="800" i="0">
                                <a:latin typeface="Cambria Math" panose="02040503050406030204" pitchFamily="18" charset="0"/>
                              </a:rPr>
                              <m:t>remunerada</m:t>
                            </m:r>
                            <m:r>
                              <a:rPr lang="pt-BR" sz="800" i="0">
                                <a:latin typeface="Cambria Math" panose="02040503050406030204" pitchFamily="18" charset="0"/>
                              </a:rPr>
                              <m:t> </m:t>
                            </m:r>
                            <m:r>
                              <m:rPr>
                                <m:sty m:val="p"/>
                              </m:rPr>
                              <a:rPr lang="pt-BR" sz="800" i="0">
                                <a:latin typeface="Cambria Math" panose="02040503050406030204" pitchFamily="18" charset="0"/>
                              </a:rPr>
                              <m:t>dos</m:t>
                            </m:r>
                            <m:r>
                              <a:rPr lang="pt-BR" sz="800" i="0">
                                <a:latin typeface="Cambria Math" panose="02040503050406030204" pitchFamily="18" charset="0"/>
                              </a:rPr>
                              <m:t> ú</m:t>
                            </m:r>
                            <m:r>
                              <m:rPr>
                                <m:sty m:val="p"/>
                              </m:rPr>
                              <a:rPr lang="pt-BR" sz="800" i="0">
                                <a:latin typeface="Cambria Math" panose="02040503050406030204" pitchFamily="18" charset="0"/>
                              </a:rPr>
                              <m:t>ltimos</m:t>
                            </m:r>
                            <m:r>
                              <a:rPr lang="pt-BR" sz="800" i="0">
                                <a:latin typeface="Cambria Math" panose="02040503050406030204" pitchFamily="18" charset="0"/>
                              </a:rPr>
                              <m:t> 2 </m:t>
                            </m:r>
                            <m:r>
                              <m:rPr>
                                <m:sty m:val="p"/>
                              </m:rPr>
                              <a:rPr lang="pt-BR" sz="800" i="0">
                                <a:latin typeface="Cambria Math" panose="02040503050406030204" pitchFamily="18" charset="0"/>
                              </a:rPr>
                              <m:t>trimestres</m:t>
                            </m:r>
                            <m:r>
                              <a:rPr lang="pt-BR" sz="800" i="0">
                                <a:latin typeface="Cambria Math" panose="02040503050406030204" pitchFamily="18" charset="0"/>
                              </a:rPr>
                              <m:t> (</m:t>
                            </m:r>
                            <m:r>
                              <m:rPr>
                                <m:sty m:val="p"/>
                              </m:rPr>
                              <a:rPr lang="pt-BR" sz="800" i="0">
                                <a:latin typeface="Cambria Math" panose="02040503050406030204" pitchFamily="18" charset="0"/>
                              </a:rPr>
                              <m:t>Empr</m:t>
                            </m:r>
                            <m:r>
                              <a:rPr lang="pt-BR" sz="800" i="0">
                                <a:latin typeface="Cambria Math" panose="02040503050406030204" pitchFamily="18" charset="0"/>
                              </a:rPr>
                              <m:t>é</m:t>
                            </m:r>
                            <m:r>
                              <m:rPr>
                                <m:sty m:val="p"/>
                              </m:rPr>
                              <a:rPr lang="pt-BR" sz="800" i="0">
                                <a:latin typeface="Cambria Math" panose="02040503050406030204" pitchFamily="18" charset="0"/>
                              </a:rPr>
                              <m:t>stimos</m:t>
                            </m:r>
                            <m:r>
                              <a:rPr lang="pt-BR" sz="800" i="0">
                                <a:latin typeface="Cambria Math" panose="02040503050406030204" pitchFamily="18" charset="0"/>
                              </a:rPr>
                              <m:t> </m:t>
                            </m:r>
                            <m:r>
                              <m:rPr>
                                <m:sty m:val="p"/>
                              </m:rPr>
                              <a:rPr lang="pt-BR" sz="800" i="0">
                                <a:latin typeface="Cambria Math" panose="02040503050406030204" pitchFamily="18" charset="0"/>
                              </a:rPr>
                              <m:t>a</m:t>
                            </m:r>
                            <m:r>
                              <a:rPr lang="pt-BR" sz="800" i="0">
                                <a:latin typeface="Cambria Math" panose="02040503050406030204" pitchFamily="18" charset="0"/>
                              </a:rPr>
                              <m:t> </m:t>
                            </m:r>
                            <m:r>
                              <m:rPr>
                                <m:sty m:val="p"/>
                              </m:rPr>
                              <a:rPr lang="pt-BR" sz="800" i="0">
                                <a:latin typeface="Cambria Math" panose="02040503050406030204" pitchFamily="18" charset="0"/>
                              </a:rPr>
                              <m:t>institui</m:t>
                            </m:r>
                            <m:r>
                              <a:rPr lang="pt-BR" sz="800" i="0">
                                <a:latin typeface="Cambria Math" panose="02040503050406030204" pitchFamily="18" charset="0"/>
                              </a:rPr>
                              <m:t>çõ</m:t>
                            </m:r>
                            <m:r>
                              <m:rPr>
                                <m:sty m:val="p"/>
                              </m:rPr>
                              <a:rPr lang="pt-BR" sz="800" i="0">
                                <a:latin typeface="Cambria Math" panose="02040503050406030204" pitchFamily="18" charset="0"/>
                              </a:rPr>
                              <m:t>es</m:t>
                            </m:r>
                            <m:r>
                              <a:rPr lang="pt-BR" sz="800" i="0">
                                <a:latin typeface="Cambria Math" panose="02040503050406030204" pitchFamily="18" charset="0"/>
                              </a:rPr>
                              <m:t> </m:t>
                            </m:r>
                            <m:r>
                              <m:rPr>
                                <m:sty m:val="p"/>
                              </m:rPr>
                              <a:rPr lang="pt-BR" sz="800" i="0">
                                <a:latin typeface="Cambria Math" panose="02040503050406030204" pitchFamily="18" charset="0"/>
                              </a:rPr>
                              <m:t>financeiras</m:t>
                            </m:r>
                            <m:r>
                              <a:rPr lang="pt-BR" sz="800">
                                <a:latin typeface="Cambria Math" panose="02040503050406030204" pitchFamily="18" charset="0"/>
                              </a:rPr>
                              <m:t>+ </m:t>
                            </m:r>
                            <m:r>
                              <m:rPr>
                                <m:sty m:val="p"/>
                              </m:rPr>
                              <a:rPr lang="pt-BR" sz="800">
                                <a:latin typeface="Cambria Math" panose="02040503050406030204" pitchFamily="18" charset="0"/>
                              </a:rPr>
                              <m:t>Valores</m:t>
                            </m:r>
                            <m:r>
                              <a:rPr lang="pt-BR" sz="800">
                                <a:latin typeface="Cambria Math" panose="02040503050406030204" pitchFamily="18" charset="0"/>
                              </a:rPr>
                              <m:t> </m:t>
                            </m:r>
                            <m:r>
                              <m:rPr>
                                <m:sty m:val="p"/>
                              </m:rPr>
                              <a:rPr lang="pt-BR" sz="800">
                                <a:latin typeface="Cambria Math" panose="02040503050406030204" pitchFamily="18" charset="0"/>
                              </a:rPr>
                              <m:t>Mobili</m:t>
                            </m:r>
                            <m:r>
                              <a:rPr lang="pt-BR" sz="800">
                                <a:latin typeface="Cambria Math" panose="02040503050406030204" pitchFamily="18" charset="0"/>
                              </a:rPr>
                              <m:t>á</m:t>
                            </m:r>
                            <m:r>
                              <m:rPr>
                                <m:sty m:val="p"/>
                              </m:rPr>
                              <a:rPr lang="pt-BR" sz="800">
                                <a:latin typeface="Cambria Math" panose="02040503050406030204" pitchFamily="18" charset="0"/>
                              </a:rPr>
                              <m:t>rios</m:t>
                            </m:r>
                            <m:r>
                              <a:rPr lang="pt-BR" sz="800">
                                <a:latin typeface="Cambria Math" panose="02040503050406030204" pitchFamily="18" charset="0"/>
                              </a:rPr>
                              <m:t> + </m:t>
                            </m:r>
                          </m:e>
                          <m:e>
                            <m:r>
                              <m:rPr>
                                <m:sty m:val="p"/>
                              </m:rPr>
                              <a:rPr lang="pt-BR" sz="800" i="0">
                                <a:latin typeface="Cambria Math" panose="02040503050406030204" pitchFamily="18" charset="0"/>
                              </a:rPr>
                              <m:t>Derivativos</m:t>
                            </m:r>
                            <m:r>
                              <a:rPr lang="pt-BR" sz="800" i="0">
                                <a:latin typeface="Cambria Math" panose="02040503050406030204" pitchFamily="18" charset="0"/>
                              </a:rPr>
                              <m:t> + </m:t>
                            </m:r>
                            <m:r>
                              <m:rPr>
                                <m:sty m:val="p"/>
                              </m:rPr>
                              <a:rPr lang="pt-BR" sz="800" i="0">
                                <a:latin typeface="Cambria Math" panose="02040503050406030204" pitchFamily="18" charset="0"/>
                              </a:rPr>
                              <m:t>Empr</m:t>
                            </m:r>
                            <m:r>
                              <a:rPr lang="pt-BR" sz="800" i="0">
                                <a:latin typeface="Cambria Math" panose="02040503050406030204" pitchFamily="18" charset="0"/>
                              </a:rPr>
                              <m:t>é</m:t>
                            </m:r>
                            <m:r>
                              <m:rPr>
                                <m:sty m:val="p"/>
                              </m:rPr>
                              <a:rPr lang="pt-BR" sz="800" i="0">
                                <a:latin typeface="Cambria Math" panose="02040503050406030204" pitchFamily="18" charset="0"/>
                              </a:rPr>
                              <m:t>stimos</m:t>
                            </m:r>
                            <m:r>
                              <a:rPr lang="pt-BR" sz="800" i="0">
                                <a:latin typeface="Cambria Math" panose="02040503050406030204" pitchFamily="18" charset="0"/>
                              </a:rPr>
                              <m:t> </m:t>
                            </m:r>
                            <m:r>
                              <m:rPr>
                                <m:sty m:val="p"/>
                              </m:rPr>
                              <a:rPr lang="pt-BR" sz="800" i="0">
                                <a:latin typeface="Cambria Math" panose="02040503050406030204" pitchFamily="18" charset="0"/>
                              </a:rPr>
                              <m:t>e</m:t>
                            </m:r>
                            <m:r>
                              <a:rPr lang="pt-BR" sz="800" i="0">
                                <a:latin typeface="Cambria Math" panose="02040503050406030204" pitchFamily="18" charset="0"/>
                              </a:rPr>
                              <m:t> </m:t>
                            </m:r>
                            <m:r>
                              <m:rPr>
                                <m:sty m:val="p"/>
                              </m:rPr>
                              <a:rPr lang="pt-BR" sz="800" i="0">
                                <a:latin typeface="Cambria Math" panose="02040503050406030204" pitchFamily="18" charset="0"/>
                              </a:rPr>
                              <m:t>adiantamentos</m:t>
                            </m:r>
                            <m:r>
                              <a:rPr lang="pt-BR" sz="800" i="0">
                                <a:latin typeface="Cambria Math" panose="02040503050406030204" pitchFamily="18" charset="0"/>
                              </a:rPr>
                              <m:t> </m:t>
                            </m:r>
                            <m:r>
                              <m:rPr>
                                <m:sty m:val="p"/>
                              </m:rPr>
                              <a:rPr lang="pt-BR" sz="800" i="0">
                                <a:latin typeface="Cambria Math" panose="02040503050406030204" pitchFamily="18" charset="0"/>
                              </a:rPr>
                              <m:t>a</m:t>
                            </m:r>
                            <m:r>
                              <a:rPr lang="pt-BR" sz="800" i="0">
                                <a:latin typeface="Cambria Math" panose="02040503050406030204" pitchFamily="18" charset="0"/>
                              </a:rPr>
                              <m:t> </m:t>
                            </m:r>
                            <m:r>
                              <m:rPr>
                                <m:sty m:val="p"/>
                              </m:rPr>
                              <a:rPr lang="pt-BR" sz="800" i="0">
                                <a:latin typeface="Cambria Math" panose="02040503050406030204" pitchFamily="18" charset="0"/>
                              </a:rPr>
                              <m:t>clientes</m:t>
                            </m:r>
                            <m:r>
                              <a:rPr lang="pt-BR" sz="800" b="0" i="0">
                                <a:latin typeface="Cambria Math" panose="02040503050406030204" pitchFamily="18" charset="0"/>
                              </a:rPr>
                              <m:t>)</m:t>
                            </m:r>
                          </m:e>
                        </m:eqArr>
                      </m:den>
                    </m:f>
                    <m:r>
                      <a:rPr lang="pt-BR" sz="800" i="0">
                        <a:latin typeface="Cambria Math" panose="02040503050406030204" pitchFamily="18" charset="0"/>
                      </a:rPr>
                      <m:t> </m:t>
                    </m:r>
                  </m:oMath>
                </m:oMathPara>
              </a14:m>
              <a:endParaRPr lang="en-US" sz="800" b="1">
                <a:latin typeface="Calibri" panose="020F0502020204030204" pitchFamily="34" charset="0"/>
                <a:cs typeface="Calibri" panose="020F0502020204030204" pitchFamily="34" charset="0"/>
              </a:endParaRPr>
            </a:p>
            <a:p>
              <a:pPr algn="ct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NIM 2.0 - Baseado na carteira remunerada</a:t>
              </a:r>
              <a:br>
                <a:rPr lang="en-US" sz="800" b="1">
                  <a:latin typeface="Calibri" panose="020F0502020204030204" pitchFamily="34" charset="0"/>
                  <a:cs typeface="Calibri" panose="020F0502020204030204" pitchFamily="34" charset="0"/>
                </a:rPr>
              </a:br>
              <a:endParaRPr lang="en-US" sz="800" b="1">
                <a:latin typeface="Calibri" panose="020F05020202040302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a:latin typeface="Cambria Math" panose="02040503050406030204" pitchFamily="18" charset="0"/>
                          </a:rPr>
                          <m:t>Resultado</m:t>
                        </m:r>
                        <m:r>
                          <a:rPr lang="pt-BR" sz="800">
                            <a:latin typeface="Cambria Math" panose="02040503050406030204" pitchFamily="18" charset="0"/>
                          </a:rPr>
                          <m:t> </m:t>
                        </m:r>
                        <m:r>
                          <m:rPr>
                            <m:sty m:val="p"/>
                          </m:rPr>
                          <a:rPr lang="pt-BR" sz="800">
                            <a:latin typeface="Cambria Math" panose="02040503050406030204" pitchFamily="18" charset="0"/>
                          </a:rPr>
                          <m:t>l</m:t>
                        </m:r>
                        <m:r>
                          <a:rPr lang="pt-BR" sz="800">
                            <a:latin typeface="Cambria Math" panose="02040503050406030204" pitchFamily="18" charset="0"/>
                          </a:rPr>
                          <m:t>í</m:t>
                        </m:r>
                        <m:r>
                          <m:rPr>
                            <m:sty m:val="p"/>
                          </m:rPr>
                          <a:rPr lang="pt-BR" sz="800">
                            <a:latin typeface="Cambria Math" panose="02040503050406030204" pitchFamily="18" charset="0"/>
                          </a:rPr>
                          <m:t>quido</m:t>
                        </m:r>
                        <m:r>
                          <a:rPr lang="pt-BR" sz="800">
                            <a:latin typeface="Cambria Math" panose="02040503050406030204" pitchFamily="18" charset="0"/>
                          </a:rPr>
                          <m:t> </m:t>
                        </m:r>
                        <m:r>
                          <m:rPr>
                            <m:sty m:val="p"/>
                          </m:rPr>
                          <a:rPr lang="pt-BR" sz="800">
                            <a:latin typeface="Cambria Math" panose="02040503050406030204" pitchFamily="18" charset="0"/>
                          </a:rPr>
                          <m:t>de</m:t>
                        </m:r>
                        <m:r>
                          <a:rPr lang="pt-BR" sz="800">
                            <a:latin typeface="Cambria Math" panose="02040503050406030204" pitchFamily="18" charset="0"/>
                          </a:rPr>
                          <m:t> </m:t>
                        </m:r>
                        <m:r>
                          <m:rPr>
                            <m:sty m:val="p"/>
                          </m:rPr>
                          <a:rPr lang="pt-BR" sz="800">
                            <a:latin typeface="Cambria Math" panose="02040503050406030204" pitchFamily="18" charset="0"/>
                          </a:rPr>
                          <m:t>juros</m:t>
                        </m:r>
                        <m:r>
                          <a:rPr lang="pt-BR" sz="800">
                            <a:latin typeface="Cambria Math" panose="02040503050406030204" pitchFamily="18" charset="0"/>
                          </a:rPr>
                          <m:t> </m:t>
                        </m:r>
                        <m:r>
                          <m:rPr>
                            <m:sty m:val="p"/>
                          </m:rPr>
                          <a:rPr lang="pt-BR" sz="800">
                            <a:latin typeface="Cambria Math" panose="02040503050406030204" pitchFamily="18" charset="0"/>
                          </a:rPr>
                          <m:t>x</m:t>
                        </m:r>
                        <m:r>
                          <a:rPr lang="pt-BR" sz="800">
                            <a:latin typeface="Cambria Math" panose="02040503050406030204" pitchFamily="18" charset="0"/>
                          </a:rPr>
                          <m:t> 4</m:t>
                        </m:r>
                      </m:num>
                      <m:den>
                        <m:eqArr>
                          <m:eqArrPr>
                            <m:ctrlPr>
                              <a:rPr lang="en-US" sz="800" i="1">
                                <a:latin typeface="Cambria Math" panose="02040503050406030204" pitchFamily="18" charset="0"/>
                              </a:rPr>
                            </m:ctrlPr>
                          </m:eqArrPr>
                          <m:e>
                            <m:r>
                              <m:rPr>
                                <m:nor/>
                              </m:rPr>
                              <a:rPr lang="en-US" sz="800">
                                <a:latin typeface="Calibri" panose="020F0502020204030204" pitchFamily="34" charset="0"/>
                                <a:cs typeface="Calibri" panose="020F0502020204030204" pitchFamily="34" charset="0"/>
                              </a:rPr>
                              <m:t>M</m:t>
                            </m:r>
                            <m:r>
                              <m:rPr>
                                <m:nor/>
                              </m:rPr>
                              <a:rPr lang="en-US" sz="800">
                                <a:latin typeface="Calibri" panose="020F0502020204030204" pitchFamily="34" charset="0"/>
                                <a:cs typeface="Calibri" panose="020F0502020204030204" pitchFamily="34" charset="0"/>
                              </a:rPr>
                              <m:t>é</m:t>
                            </m:r>
                            <m:r>
                              <m:rPr>
                                <m:nor/>
                              </m:rPr>
                              <a:rPr lang="en-US" sz="800">
                                <a:latin typeface="Calibri" panose="020F0502020204030204" pitchFamily="34" charset="0"/>
                                <a:cs typeface="Calibri" panose="020F0502020204030204" pitchFamily="34" charset="0"/>
                              </a:rPr>
                              <m:t>dia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da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carteira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remunerada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dos</m:t>
                            </m:r>
                            <m:r>
                              <m:rPr>
                                <m:nor/>
                              </m:rPr>
                              <a:rPr lang="en-US" sz="800">
                                <a:latin typeface="Calibri" panose="020F0502020204030204" pitchFamily="34" charset="0"/>
                                <a:cs typeface="Calibri" panose="020F0502020204030204" pitchFamily="34" charset="0"/>
                              </a:rPr>
                              <m:t> ú</m:t>
                            </m:r>
                            <m:r>
                              <m:rPr>
                                <m:nor/>
                              </m:rPr>
                              <a:rPr lang="en-US" sz="800">
                                <a:latin typeface="Calibri" panose="020F0502020204030204" pitchFamily="34" charset="0"/>
                                <a:cs typeface="Calibri" panose="020F0502020204030204" pitchFamily="34" charset="0"/>
                              </a:rPr>
                              <m:t>ltimos</m:t>
                            </m:r>
                            <m:r>
                              <m:rPr>
                                <m:nor/>
                              </m:rPr>
                              <a:rPr lang="en-US" sz="800">
                                <a:latin typeface="Calibri" panose="020F0502020204030204" pitchFamily="34" charset="0"/>
                                <a:cs typeface="Calibri" panose="020F0502020204030204" pitchFamily="34" charset="0"/>
                              </a:rPr>
                              <m:t> 2 </m:t>
                            </m:r>
                            <m:r>
                              <m:rPr>
                                <m:nor/>
                              </m:rPr>
                              <a:rPr lang="en-US" sz="800">
                                <a:latin typeface="Calibri" panose="020F0502020204030204" pitchFamily="34" charset="0"/>
                                <a:cs typeface="Calibri" panose="020F0502020204030204" pitchFamily="34" charset="0"/>
                              </a:rPr>
                              <m:t>trimestres</m:t>
                            </m:r>
                            <m:r>
                              <m:rPr>
                                <m:nor/>
                              </m:rPr>
                              <a:rPr lang="en-US" sz="800">
                                <a:latin typeface="Calibri" panose="020F0502020204030204" pitchFamily="34" charset="0"/>
                                <a:cs typeface="Calibri" panose="020F0502020204030204" pitchFamily="34" charset="0"/>
                              </a:rPr>
                              <m:t> – </m:t>
                            </m:r>
                            <m:r>
                              <m:rPr>
                                <m:nor/>
                              </m:rPr>
                              <a:rPr lang="en-US" sz="800">
                                <a:latin typeface="Calibri" panose="020F0502020204030204" pitchFamily="34" charset="0"/>
                                <a:cs typeface="Calibri" panose="020F0502020204030204" pitchFamily="34" charset="0"/>
                              </a:rPr>
                              <m:t>Receb</m:t>
                            </m:r>
                            <m:r>
                              <m:rPr>
                                <m:nor/>
                              </m:rPr>
                              <a:rPr lang="en-US" sz="800">
                                <a:latin typeface="Calibri" panose="020F0502020204030204" pitchFamily="34" charset="0"/>
                                <a:cs typeface="Calibri" panose="020F0502020204030204" pitchFamily="34" charset="0"/>
                              </a:rPr>
                              <m:t>í</m:t>
                            </m:r>
                            <m:r>
                              <m:rPr>
                                <m:nor/>
                              </m:rPr>
                              <a:rPr lang="en-US" sz="800">
                                <a:latin typeface="Calibri" panose="020F0502020204030204" pitchFamily="34" charset="0"/>
                                <a:cs typeface="Calibri" panose="020F0502020204030204" pitchFamily="34" charset="0"/>
                              </a:rPr>
                              <m:t>veis</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cart</m:t>
                            </m:r>
                            <m:r>
                              <m:rPr>
                                <m:nor/>
                              </m:rPr>
                              <a:rPr lang="en-US" sz="800">
                                <a:latin typeface="Calibri" panose="020F0502020204030204" pitchFamily="34" charset="0"/>
                                <a:cs typeface="Calibri" panose="020F0502020204030204" pitchFamily="34" charset="0"/>
                              </a:rPr>
                              <m:t>ã</m:t>
                            </m:r>
                            <m:r>
                              <m:rPr>
                                <m:nor/>
                              </m:rPr>
                              <a:rPr lang="en-US" sz="800">
                                <a:latin typeface="Calibri" panose="020F0502020204030204" pitchFamily="34" charset="0"/>
                                <a:cs typeface="Calibri" panose="020F0502020204030204" pitchFamily="34" charset="0"/>
                              </a:rPr>
                              <m:t>ode</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cr</m:t>
                            </m:r>
                            <m:r>
                              <m:rPr>
                                <m:nor/>
                              </m:rPr>
                              <a:rPr lang="en-US" sz="800">
                                <a:latin typeface="Calibri" panose="020F0502020204030204" pitchFamily="34" charset="0"/>
                                <a:cs typeface="Calibri" panose="020F0502020204030204" pitchFamily="34" charset="0"/>
                              </a:rPr>
                              <m:t>é</m:t>
                            </m:r>
                            <m:r>
                              <m:rPr>
                                <m:nor/>
                              </m:rPr>
                              <a:rPr lang="en-US" sz="800">
                                <a:latin typeface="Calibri" panose="020F0502020204030204" pitchFamily="34" charset="0"/>
                                <a:cs typeface="Calibri" panose="020F0502020204030204" pitchFamily="34" charset="0"/>
                              </a:rPr>
                              <m:t>dito</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n</m:t>
                            </m:r>
                            <m:r>
                              <m:rPr>
                                <m:nor/>
                              </m:rPr>
                              <a:rPr lang="en-US" sz="800">
                                <a:latin typeface="Calibri" panose="020F0502020204030204" pitchFamily="34" charset="0"/>
                                <a:cs typeface="Calibri" panose="020F0502020204030204" pitchFamily="34" charset="0"/>
                              </a:rPr>
                              <m:t>ã</m:t>
                            </m:r>
                            <m:r>
                              <m:rPr>
                                <m:nor/>
                              </m:rPr>
                              <a:rPr lang="en-US" sz="800">
                                <a:latin typeface="Calibri" panose="020F0502020204030204" pitchFamily="34" charset="0"/>
                                <a:cs typeface="Calibri" panose="020F0502020204030204" pitchFamily="34" charset="0"/>
                              </a:rPr>
                              <m:t>o</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remunerados</m:t>
                            </m:r>
                            <m:r>
                              <m:rPr>
                                <m:nor/>
                              </m:rPr>
                              <a:rPr lang="pt-BR" sz="800">
                                <a:latin typeface="Calibri" panose="020F0502020204030204" pitchFamily="34" charset="0"/>
                                <a:cs typeface="Calibri" panose="020F0502020204030204" pitchFamily="34" charset="0"/>
                              </a:rPr>
                              <m:t> </m:t>
                            </m:r>
                          </m:e>
                          <m:e>
                            <m:r>
                              <m:rPr>
                                <m:nor/>
                              </m:rPr>
                              <a:rPr lang="en-US" sz="800">
                                <a:latin typeface="Calibri" panose="020F0502020204030204" pitchFamily="34" charset="0"/>
                                <a:cs typeface="Calibri" panose="020F0502020204030204" pitchFamily="34" charset="0"/>
                              </a:rPr>
                              <m:t>(</m:t>
                            </m:r>
                            <m:r>
                              <m:rPr>
                                <m:nor/>
                              </m:rPr>
                              <a:rPr lang="en-US" sz="800">
                                <a:latin typeface="Calibri" panose="020F0502020204030204" pitchFamily="34" charset="0"/>
                                <a:cs typeface="Calibri" panose="020F0502020204030204" pitchFamily="34" charset="0"/>
                              </a:rPr>
                              <m:t>Empr</m:t>
                            </m:r>
                            <m:r>
                              <m:rPr>
                                <m:nor/>
                              </m:rPr>
                              <a:rPr lang="en-US" sz="800">
                                <a:latin typeface="Calibri" panose="020F0502020204030204" pitchFamily="34" charset="0"/>
                                <a:cs typeface="Calibri" panose="020F0502020204030204" pitchFamily="34" charset="0"/>
                              </a:rPr>
                              <m:t>é</m:t>
                            </m:r>
                            <m:r>
                              <m:rPr>
                                <m:nor/>
                              </m:rPr>
                              <a:rPr lang="en-US" sz="800">
                                <a:latin typeface="Calibri" panose="020F0502020204030204" pitchFamily="34" charset="0"/>
                                <a:cs typeface="Calibri" panose="020F0502020204030204" pitchFamily="34" charset="0"/>
                              </a:rPr>
                              <m:t>stimos</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institui</m:t>
                            </m:r>
                            <m:r>
                              <m:rPr>
                                <m:nor/>
                              </m:rPr>
                              <a:rPr lang="en-US" sz="800">
                                <a:latin typeface="Calibri" panose="020F0502020204030204" pitchFamily="34" charset="0"/>
                                <a:cs typeface="Calibri" panose="020F0502020204030204" pitchFamily="34" charset="0"/>
                              </a:rPr>
                              <m:t>çõ</m:t>
                            </m:r>
                            <m:r>
                              <m:rPr>
                                <m:nor/>
                              </m:rPr>
                              <a:rPr lang="en-US" sz="800">
                                <a:latin typeface="Calibri" panose="020F0502020204030204" pitchFamily="34" charset="0"/>
                                <a:cs typeface="Calibri" panose="020F0502020204030204" pitchFamily="34" charset="0"/>
                              </a:rPr>
                              <m:t>esfinanceiras</m:t>
                            </m:r>
                            <m:r>
                              <m:rPr>
                                <m:nor/>
                              </m:rPr>
                              <a:rPr lang="pt-BR"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Valores</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Mobili</m:t>
                            </m:r>
                            <m:r>
                              <m:rPr>
                                <m:nor/>
                              </m:rPr>
                              <a:rPr lang="en-US" sz="800">
                                <a:latin typeface="Calibri" panose="020F0502020204030204" pitchFamily="34" charset="0"/>
                                <a:cs typeface="Calibri" panose="020F0502020204030204" pitchFamily="34" charset="0"/>
                              </a:rPr>
                              <m:t>á</m:t>
                            </m:r>
                            <m:r>
                              <m:rPr>
                                <m:nor/>
                              </m:rPr>
                              <a:rPr lang="en-US" sz="800">
                                <a:latin typeface="Calibri" panose="020F0502020204030204" pitchFamily="34" charset="0"/>
                                <a:cs typeface="Calibri" panose="020F0502020204030204" pitchFamily="34" charset="0"/>
                              </a:rPr>
                              <m:t>rios</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Derivativos</m:t>
                            </m:r>
                            <m:r>
                              <m:rPr>
                                <m:nor/>
                              </m:rPr>
                              <a:rPr lang="en-US" sz="800">
                                <a:latin typeface="Calibri" panose="020F0502020204030204" pitchFamily="34" charset="0"/>
                                <a:cs typeface="Calibri" panose="020F0502020204030204" pitchFamily="34" charset="0"/>
                              </a:rPr>
                              <m:t> + </m:t>
                            </m:r>
                            <m:r>
                              <m:rPr>
                                <m:nor/>
                              </m:rPr>
                              <a:rPr lang="en-US" sz="800">
                                <a:latin typeface="Calibri" panose="020F0502020204030204" pitchFamily="34" charset="0"/>
                                <a:cs typeface="Calibri" panose="020F0502020204030204" pitchFamily="34" charset="0"/>
                              </a:rPr>
                              <m:t>Empr</m:t>
                            </m:r>
                            <m:r>
                              <m:rPr>
                                <m:nor/>
                              </m:rPr>
                              <a:rPr lang="en-US" sz="800">
                                <a:latin typeface="Calibri" panose="020F0502020204030204" pitchFamily="34" charset="0"/>
                                <a:cs typeface="Calibri" panose="020F0502020204030204" pitchFamily="34" charset="0"/>
                              </a:rPr>
                              <m:t>é</m:t>
                            </m:r>
                            <m:r>
                              <m:rPr>
                                <m:nor/>
                              </m:rPr>
                              <a:rPr lang="en-US" sz="800">
                                <a:latin typeface="Calibri" panose="020F0502020204030204" pitchFamily="34" charset="0"/>
                                <a:cs typeface="Calibri" panose="020F0502020204030204" pitchFamily="34" charset="0"/>
                              </a:rPr>
                              <m:t>stimos</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e</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adiantamentos</m:t>
                            </m:r>
                            <m:r>
                              <m:rPr>
                                <m:nor/>
                              </m:rPr>
                              <a:rPr lang="en-US" sz="800">
                                <a:latin typeface="Calibri" panose="020F0502020204030204" pitchFamily="34" charset="0"/>
                                <a:cs typeface="Calibri" panose="020F0502020204030204" pitchFamily="34" charset="0"/>
                              </a:rPr>
                              <m:t> </m:t>
                            </m:r>
                          </m:e>
                          <m:e>
                            <m:r>
                              <m:rPr>
                                <m:nor/>
                              </m:rPr>
                              <a:rPr lang="en-US" sz="800">
                                <a:latin typeface="Calibri" panose="020F0502020204030204" pitchFamily="34" charset="0"/>
                                <a:cs typeface="Calibri" panose="020F0502020204030204" pitchFamily="34" charset="0"/>
                              </a:rPr>
                              <m:t>a</m:t>
                            </m:r>
                            <m:r>
                              <a:rPr lang="pt-BR" sz="800">
                                <a:latin typeface="Cambria Math" panose="02040503050406030204" pitchFamily="18" charset="0"/>
                              </a:rPr>
                              <m:t> </m:t>
                            </m:r>
                            <m:r>
                              <m:rPr>
                                <m:sty m:val="p"/>
                              </m:rPr>
                              <a:rPr lang="pt-BR" sz="800">
                                <a:latin typeface="Cambria Math" panose="02040503050406030204" pitchFamily="18" charset="0"/>
                              </a:rPr>
                              <m:t>clientes</m:t>
                            </m:r>
                            <m:r>
                              <m:rPr>
                                <m:nor/>
                              </m:rPr>
                              <a:rPr lang="pt-BR"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 </m:t>
                            </m:r>
                            <m:r>
                              <m:rPr>
                                <m:nor/>
                              </m:rPr>
                              <a:rPr lang="pt-BR" sz="800">
                                <a:latin typeface="Calibri" panose="020F0502020204030204" pitchFamily="34" charset="0"/>
                                <a:cs typeface="Calibri" panose="020F0502020204030204" pitchFamily="34" charset="0"/>
                              </a:rPr>
                              <m:t>C</m:t>
                            </m:r>
                            <m:r>
                              <m:rPr>
                                <m:nor/>
                              </m:rPr>
                              <a:rPr lang="en-US" sz="800">
                                <a:latin typeface="Calibri" panose="020F0502020204030204" pitchFamily="34" charset="0"/>
                                <a:cs typeface="Calibri" panose="020F0502020204030204" pitchFamily="34" charset="0"/>
                              </a:rPr>
                              <m:t>arteira</m:t>
                            </m:r>
                            <m:r>
                              <m:rPr>
                                <m:nor/>
                              </m:rPr>
                              <a:rPr lang="en-US" sz="800">
                                <a:latin typeface="Calibri" panose="020F0502020204030204" pitchFamily="34" charset="0"/>
                                <a:cs typeface="Calibri" panose="020F0502020204030204" pitchFamily="34" charset="0"/>
                              </a:rPr>
                              <m:t> à </m:t>
                            </m:r>
                            <m:r>
                              <m:rPr>
                                <m:nor/>
                              </m:rPr>
                              <a:rPr lang="en-US" sz="800">
                                <a:latin typeface="Calibri" panose="020F0502020204030204" pitchFamily="34" charset="0"/>
                                <a:cs typeface="Calibri" panose="020F0502020204030204" pitchFamily="34" charset="0"/>
                              </a:rPr>
                              <m:t>vista</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de</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cart</m:t>
                            </m:r>
                            <m:r>
                              <m:rPr>
                                <m:nor/>
                              </m:rPr>
                              <a:rPr lang="en-US" sz="800">
                                <a:latin typeface="Calibri" panose="020F0502020204030204" pitchFamily="34" charset="0"/>
                                <a:cs typeface="Calibri" panose="020F0502020204030204" pitchFamily="34" charset="0"/>
                              </a:rPr>
                              <m:t>ã</m:t>
                            </m:r>
                            <m:r>
                              <m:rPr>
                                <m:nor/>
                              </m:rPr>
                              <a:rPr lang="en-US" sz="800">
                                <a:latin typeface="Calibri" panose="020F0502020204030204" pitchFamily="34" charset="0"/>
                                <a:cs typeface="Calibri" panose="020F0502020204030204" pitchFamily="34" charset="0"/>
                              </a:rPr>
                              <m:t>o</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de</m:t>
                            </m:r>
                            <m:r>
                              <m:rPr>
                                <m:nor/>
                              </m:rPr>
                              <a:rPr lang="en-US" sz="800">
                                <a:latin typeface="Calibri" panose="020F0502020204030204" pitchFamily="34" charset="0"/>
                                <a:cs typeface="Calibri" panose="020F0502020204030204" pitchFamily="34" charset="0"/>
                              </a:rPr>
                              <m:t> </m:t>
                            </m:r>
                            <m:r>
                              <m:rPr>
                                <m:nor/>
                              </m:rPr>
                              <a:rPr lang="en-US" sz="800">
                                <a:latin typeface="Calibri" panose="020F0502020204030204" pitchFamily="34" charset="0"/>
                                <a:cs typeface="Calibri" panose="020F0502020204030204" pitchFamily="34" charset="0"/>
                              </a:rPr>
                              <m:t>cr</m:t>
                            </m:r>
                            <m:r>
                              <m:rPr>
                                <m:nor/>
                              </m:rPr>
                              <a:rPr lang="en-US" sz="800">
                                <a:latin typeface="Calibri" panose="020F0502020204030204" pitchFamily="34" charset="0"/>
                                <a:cs typeface="Calibri" panose="020F0502020204030204" pitchFamily="34" charset="0"/>
                              </a:rPr>
                              <m:t>é</m:t>
                            </m:r>
                            <m:r>
                              <m:rPr>
                                <m:nor/>
                              </m:rPr>
                              <a:rPr lang="en-US" sz="800">
                                <a:latin typeface="Calibri" panose="020F0502020204030204" pitchFamily="34" charset="0"/>
                                <a:cs typeface="Calibri" panose="020F0502020204030204" pitchFamily="34" charset="0"/>
                              </a:rPr>
                              <m:t>dito</m:t>
                            </m:r>
                            <m:r>
                              <a:rPr lang="pt-BR" sz="800">
                                <a:latin typeface="Cambria Math" panose="02040503050406030204" pitchFamily="18" charset="0"/>
                              </a:rPr>
                              <m:t>)</m:t>
                            </m:r>
                            <m:r>
                              <m:rPr>
                                <m:nor/>
                              </m:rPr>
                              <a:rPr lang="pt-BR" sz="800">
                                <a:latin typeface="Calibri" panose="020F0502020204030204" pitchFamily="34" charset="0"/>
                                <a:cs typeface="Calibri" panose="020F0502020204030204" pitchFamily="34" charset="0"/>
                              </a:rPr>
                              <m:t> </m:t>
                            </m:r>
                          </m:e>
                        </m:eqArr>
                      </m:den>
                    </m:f>
                  </m:oMath>
                </m:oMathPara>
              </a14:m>
              <a:endParaRPr lang="en-US" sz="8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NPL 15 a 90 dias:</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i="0">
                            <a:latin typeface="Cambria Math" panose="02040503050406030204" pitchFamily="18" charset="0"/>
                          </a:rPr>
                          <m:t>Saldo</m:t>
                        </m:r>
                        <m:r>
                          <a:rPr lang="pt-BR" sz="800" i="0">
                            <a:latin typeface="Cambria Math" panose="02040503050406030204" pitchFamily="18" charset="0"/>
                          </a:rPr>
                          <m:t> </m:t>
                        </m:r>
                        <m:r>
                          <m:rPr>
                            <m:sty m:val="p"/>
                          </m:rPr>
                          <a:rPr lang="pt-BR" sz="800" i="0">
                            <a:latin typeface="Cambria Math" panose="02040503050406030204" pitchFamily="18" charset="0"/>
                          </a:rPr>
                          <m:t>vencido</m:t>
                        </m:r>
                        <m:r>
                          <a:rPr lang="pt-BR" sz="800" i="0">
                            <a:latin typeface="Cambria Math" panose="02040503050406030204" pitchFamily="18" charset="0"/>
                          </a:rPr>
                          <m:t> </m:t>
                        </m:r>
                        <m:r>
                          <m:rPr>
                            <m:sty m:val="p"/>
                          </m:rPr>
                          <a:rPr lang="pt-BR" sz="800" b="0" i="0">
                            <a:latin typeface="Cambria Math" panose="02040503050406030204" pitchFamily="18" charset="0"/>
                          </a:rPr>
                          <m:t>entre</m:t>
                        </m:r>
                        <m:r>
                          <a:rPr lang="pt-BR" sz="800" b="0" i="0">
                            <a:latin typeface="Cambria Math" panose="02040503050406030204" pitchFamily="18" charset="0"/>
                          </a:rPr>
                          <m:t> 15 </m:t>
                        </m:r>
                        <m:r>
                          <m:rPr>
                            <m:sty m:val="p"/>
                          </m:rPr>
                          <a:rPr lang="pt-BR" sz="800" b="0" i="0">
                            <a:latin typeface="Cambria Math" panose="02040503050406030204" pitchFamily="18" charset="0"/>
                          </a:rPr>
                          <m:t>e</m:t>
                        </m:r>
                        <m:r>
                          <a:rPr lang="pt-BR" sz="800" b="0" i="0">
                            <a:latin typeface="Cambria Math" panose="02040503050406030204" pitchFamily="18" charset="0"/>
                          </a:rPr>
                          <m:t> 90 </m:t>
                        </m:r>
                        <m:r>
                          <m:rPr>
                            <m:sty m:val="p"/>
                          </m:rPr>
                          <a:rPr lang="pt-BR" sz="800" i="0">
                            <a:latin typeface="Cambria Math" panose="02040503050406030204" pitchFamily="18" charset="0"/>
                          </a:rPr>
                          <m:t>dias</m:t>
                        </m:r>
                      </m:num>
                      <m:den>
                        <m:r>
                          <m:rPr>
                            <m:sty m:val="p"/>
                          </m:rPr>
                          <a:rPr lang="pt-BR" sz="800" i="0">
                            <a:latin typeface="Cambria Math" panose="02040503050406030204" pitchFamily="18" charset="0"/>
                          </a:rPr>
                          <m:t>Empr</m:t>
                        </m:r>
                        <m:r>
                          <a:rPr lang="pt-BR" sz="800" i="0">
                            <a:latin typeface="Cambria Math" panose="02040503050406030204" pitchFamily="18" charset="0"/>
                          </a:rPr>
                          <m:t>é</m:t>
                        </m:r>
                        <m:r>
                          <m:rPr>
                            <m:sty m:val="p"/>
                          </m:rPr>
                          <a:rPr lang="pt-BR" sz="800" i="0">
                            <a:latin typeface="Cambria Math" panose="02040503050406030204" pitchFamily="18" charset="0"/>
                          </a:rPr>
                          <m:t>stimos</m:t>
                        </m:r>
                        <m:r>
                          <a:rPr lang="pt-BR" sz="800" i="0">
                            <a:latin typeface="Cambria Math" panose="02040503050406030204" pitchFamily="18" charset="0"/>
                          </a:rPr>
                          <m:t> </m:t>
                        </m:r>
                        <m:r>
                          <m:rPr>
                            <m:sty m:val="p"/>
                          </m:rPr>
                          <a:rPr lang="pt-BR" sz="800" i="0">
                            <a:latin typeface="Cambria Math" panose="02040503050406030204" pitchFamily="18" charset="0"/>
                          </a:rPr>
                          <m:t>e</m:t>
                        </m:r>
                        <m:r>
                          <a:rPr lang="pt-BR" sz="800" i="0">
                            <a:latin typeface="Cambria Math" panose="02040503050406030204" pitchFamily="18" charset="0"/>
                          </a:rPr>
                          <m:t> </m:t>
                        </m:r>
                        <m:r>
                          <m:rPr>
                            <m:sty m:val="p"/>
                          </m:rPr>
                          <a:rPr lang="pt-BR" sz="800" i="0">
                            <a:latin typeface="Cambria Math" panose="02040503050406030204" pitchFamily="18" charset="0"/>
                          </a:rPr>
                          <m:t>adiantamento</m:t>
                        </m:r>
                        <m:r>
                          <a:rPr lang="pt-BR" sz="800" i="0">
                            <a:latin typeface="Cambria Math" panose="02040503050406030204" pitchFamily="18" charset="0"/>
                          </a:rPr>
                          <m:t> </m:t>
                        </m:r>
                        <m:r>
                          <m:rPr>
                            <m:sty m:val="p"/>
                          </m:rPr>
                          <a:rPr lang="pt-BR" sz="800" i="0">
                            <a:latin typeface="Cambria Math" panose="02040503050406030204" pitchFamily="18" charset="0"/>
                          </a:rPr>
                          <m:t>a</m:t>
                        </m:r>
                        <m:r>
                          <a:rPr lang="pt-BR" sz="800" i="0">
                            <a:latin typeface="Cambria Math" panose="02040503050406030204" pitchFamily="18" charset="0"/>
                          </a:rPr>
                          <m:t> </m:t>
                        </m:r>
                        <m:r>
                          <m:rPr>
                            <m:sty m:val="p"/>
                          </m:rPr>
                          <a:rPr lang="pt-BR" sz="800" i="0">
                            <a:latin typeface="Cambria Math" panose="02040503050406030204" pitchFamily="18" charset="0"/>
                          </a:rPr>
                          <m:t>clientes</m:t>
                        </m:r>
                        <m:r>
                          <a:rPr lang="pt-BR" sz="800" i="0">
                            <a:latin typeface="Cambria Math" panose="02040503050406030204" pitchFamily="18" charset="0"/>
                          </a:rPr>
                          <m:t>+</m:t>
                        </m:r>
                        <m:r>
                          <m:rPr>
                            <m:sty m:val="p"/>
                          </m:rPr>
                          <a:rPr lang="pt-BR" sz="800" i="0">
                            <a:latin typeface="Cambria Math" panose="02040503050406030204" pitchFamily="18" charset="0"/>
                          </a:rPr>
                          <m:t>Receb</m:t>
                        </m:r>
                        <m:r>
                          <a:rPr lang="pt-BR" sz="800" i="0">
                            <a:latin typeface="Cambria Math" panose="02040503050406030204" pitchFamily="18" charset="0"/>
                          </a:rPr>
                          <m:t>í</m:t>
                        </m:r>
                        <m:r>
                          <m:rPr>
                            <m:sty m:val="p"/>
                          </m:rPr>
                          <a:rPr lang="pt-BR" sz="800" i="0">
                            <a:latin typeface="Cambria Math" panose="02040503050406030204" pitchFamily="18" charset="0"/>
                          </a:rPr>
                          <m:t>veis</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Cart</m:t>
                        </m:r>
                        <m:r>
                          <a:rPr lang="pt-BR" sz="800" i="0">
                            <a:latin typeface="Cambria Math" panose="02040503050406030204" pitchFamily="18" charset="0"/>
                          </a:rPr>
                          <m:t>ã</m:t>
                        </m:r>
                        <m:r>
                          <m:rPr>
                            <m:sty m:val="p"/>
                          </m:rPr>
                          <a:rPr lang="pt-BR" sz="800" i="0">
                            <a:latin typeface="Cambria Math" panose="02040503050406030204" pitchFamily="18" charset="0"/>
                          </a:rPr>
                          <m:t>o</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Cr</m:t>
                        </m:r>
                        <m:r>
                          <a:rPr lang="pt-BR" sz="800" i="0">
                            <a:latin typeface="Cambria Math" panose="02040503050406030204" pitchFamily="18" charset="0"/>
                          </a:rPr>
                          <m:t>é</m:t>
                        </m:r>
                        <m:r>
                          <m:rPr>
                            <m:sty m:val="p"/>
                          </m:rPr>
                          <a:rPr lang="pt-BR" sz="800" i="0">
                            <a:latin typeface="Cambria Math" panose="02040503050406030204" pitchFamily="18" charset="0"/>
                          </a:rPr>
                          <m:t>dito</m:t>
                        </m:r>
                      </m:den>
                    </m:f>
                    <m:r>
                      <a:rPr lang="pt-BR" sz="800" b="0" i="1">
                        <a:latin typeface="Cambria Math" panose="02040503050406030204" pitchFamily="18" charset="0"/>
                      </a:rPr>
                      <m:t> </m:t>
                    </m:r>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NPL &gt; 90 dias:</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m:rPr>
                            <m:sty m:val="p"/>
                          </m:rPr>
                          <a:rPr lang="pt-BR" sz="800" i="0">
                            <a:latin typeface="Cambria Math" panose="02040503050406030204" pitchFamily="18" charset="0"/>
                          </a:rPr>
                          <m:t>S</m:t>
                        </m:r>
                        <m:r>
                          <m:rPr>
                            <m:sty m:val="p"/>
                          </m:rPr>
                          <a:rPr lang="pt-BR" sz="800" b="0" i="0">
                            <a:latin typeface="Cambria Math" panose="02040503050406030204" pitchFamily="18" charset="0"/>
                          </a:rPr>
                          <m:t>aldo</m:t>
                        </m:r>
                        <m:r>
                          <a:rPr lang="pt-BR" sz="800" b="0" i="0">
                            <a:latin typeface="Cambria Math" panose="02040503050406030204" pitchFamily="18" charset="0"/>
                          </a:rPr>
                          <m:t> </m:t>
                        </m:r>
                        <m:r>
                          <m:rPr>
                            <m:sty m:val="p"/>
                          </m:rPr>
                          <a:rPr lang="pt-BR" sz="800" b="0" i="0">
                            <a:latin typeface="Cambria Math" panose="02040503050406030204" pitchFamily="18" charset="0"/>
                          </a:rPr>
                          <m:t>vencido</m:t>
                        </m:r>
                        <m:r>
                          <a:rPr lang="pt-BR" sz="800" b="0" i="0">
                            <a:latin typeface="Cambria Math" panose="02040503050406030204" pitchFamily="18" charset="0"/>
                          </a:rPr>
                          <m:t> </m:t>
                        </m:r>
                        <m:r>
                          <m:rPr>
                            <m:sty m:val="p"/>
                          </m:rPr>
                          <a:rPr lang="pt-BR" sz="800" b="0" i="0">
                            <a:latin typeface="Cambria Math" panose="02040503050406030204" pitchFamily="18" charset="0"/>
                          </a:rPr>
                          <m:t>a</m:t>
                        </m:r>
                        <m:r>
                          <a:rPr lang="pt-BR" sz="800" b="0" i="0">
                            <a:latin typeface="Cambria Math" panose="02040503050406030204" pitchFamily="18" charset="0"/>
                          </a:rPr>
                          <m:t> </m:t>
                        </m:r>
                        <m:r>
                          <m:rPr>
                            <m:sty m:val="p"/>
                          </m:rPr>
                          <a:rPr lang="pt-BR" sz="800" b="0" i="0">
                            <a:latin typeface="Cambria Math" panose="02040503050406030204" pitchFamily="18" charset="0"/>
                          </a:rPr>
                          <m:t>mais</m:t>
                        </m:r>
                        <m:r>
                          <a:rPr lang="pt-BR" sz="800" b="0" i="0">
                            <a:latin typeface="Cambria Math" panose="02040503050406030204" pitchFamily="18" charset="0"/>
                          </a:rPr>
                          <m:t> </m:t>
                        </m:r>
                        <m:r>
                          <m:rPr>
                            <m:sty m:val="p"/>
                          </m:rPr>
                          <a:rPr lang="pt-BR" sz="800" b="0" i="0">
                            <a:latin typeface="Cambria Math" panose="02040503050406030204" pitchFamily="18" charset="0"/>
                          </a:rPr>
                          <m:t>de</m:t>
                        </m:r>
                        <m:r>
                          <a:rPr lang="pt-BR" sz="800" b="0" i="0">
                            <a:latin typeface="Cambria Math" panose="02040503050406030204" pitchFamily="18" charset="0"/>
                          </a:rPr>
                          <m:t> 90 </m:t>
                        </m:r>
                        <m:r>
                          <m:rPr>
                            <m:sty m:val="p"/>
                          </m:rPr>
                          <a:rPr lang="pt-BR" sz="800" b="0" i="0">
                            <a:latin typeface="Cambria Math" panose="02040503050406030204" pitchFamily="18" charset="0"/>
                          </a:rPr>
                          <m:t>dias</m:t>
                        </m:r>
                      </m:num>
                      <m:den>
                        <m:r>
                          <m:rPr>
                            <m:sty m:val="p"/>
                          </m:rPr>
                          <a:rPr lang="pt-BR" sz="800" i="0">
                            <a:latin typeface="Cambria Math" panose="02040503050406030204" pitchFamily="18" charset="0"/>
                          </a:rPr>
                          <m:t>Empr</m:t>
                        </m:r>
                        <m:r>
                          <a:rPr lang="pt-BR" sz="800" i="0">
                            <a:latin typeface="Cambria Math" panose="02040503050406030204" pitchFamily="18" charset="0"/>
                          </a:rPr>
                          <m:t>é</m:t>
                        </m:r>
                        <m:r>
                          <m:rPr>
                            <m:sty m:val="p"/>
                          </m:rPr>
                          <a:rPr lang="pt-BR" sz="800" i="0">
                            <a:latin typeface="Cambria Math" panose="02040503050406030204" pitchFamily="18" charset="0"/>
                          </a:rPr>
                          <m:t>stimos</m:t>
                        </m:r>
                        <m:r>
                          <a:rPr lang="pt-BR" sz="800" i="0">
                            <a:latin typeface="Cambria Math" panose="02040503050406030204" pitchFamily="18" charset="0"/>
                          </a:rPr>
                          <m:t> </m:t>
                        </m:r>
                        <m:r>
                          <m:rPr>
                            <m:sty m:val="p"/>
                          </m:rPr>
                          <a:rPr lang="pt-BR" sz="800" i="0">
                            <a:latin typeface="Cambria Math" panose="02040503050406030204" pitchFamily="18" charset="0"/>
                          </a:rPr>
                          <m:t>e</m:t>
                        </m:r>
                        <m:r>
                          <a:rPr lang="pt-BR" sz="800" i="0">
                            <a:latin typeface="Cambria Math" panose="02040503050406030204" pitchFamily="18" charset="0"/>
                          </a:rPr>
                          <m:t> </m:t>
                        </m:r>
                        <m:r>
                          <m:rPr>
                            <m:sty m:val="p"/>
                          </m:rPr>
                          <a:rPr lang="pt-BR" sz="800" i="0">
                            <a:latin typeface="Cambria Math" panose="02040503050406030204" pitchFamily="18" charset="0"/>
                          </a:rPr>
                          <m:t>adiantamento</m:t>
                        </m:r>
                        <m:r>
                          <a:rPr lang="pt-BR" sz="800" i="0">
                            <a:latin typeface="Cambria Math" panose="02040503050406030204" pitchFamily="18" charset="0"/>
                          </a:rPr>
                          <m:t> </m:t>
                        </m:r>
                        <m:r>
                          <m:rPr>
                            <m:sty m:val="p"/>
                          </m:rPr>
                          <a:rPr lang="pt-BR" sz="800" i="0">
                            <a:latin typeface="Cambria Math" panose="02040503050406030204" pitchFamily="18" charset="0"/>
                          </a:rPr>
                          <m:t>a</m:t>
                        </m:r>
                        <m:r>
                          <a:rPr lang="pt-BR" sz="800" i="0">
                            <a:latin typeface="Cambria Math" panose="02040503050406030204" pitchFamily="18" charset="0"/>
                          </a:rPr>
                          <m:t> </m:t>
                        </m:r>
                        <m:r>
                          <m:rPr>
                            <m:sty m:val="p"/>
                          </m:rPr>
                          <a:rPr lang="pt-BR" sz="800" i="0">
                            <a:latin typeface="Cambria Math" panose="02040503050406030204" pitchFamily="18" charset="0"/>
                          </a:rPr>
                          <m:t>clientes</m:t>
                        </m:r>
                        <m:r>
                          <a:rPr lang="pt-BR" sz="800" i="0">
                            <a:latin typeface="Cambria Math" panose="02040503050406030204" pitchFamily="18" charset="0"/>
                          </a:rPr>
                          <m:t>+</m:t>
                        </m:r>
                        <m:r>
                          <m:rPr>
                            <m:sty m:val="p"/>
                          </m:rPr>
                          <a:rPr lang="pt-BR" sz="800" i="0">
                            <a:latin typeface="Cambria Math" panose="02040503050406030204" pitchFamily="18" charset="0"/>
                          </a:rPr>
                          <m:t>Receb</m:t>
                        </m:r>
                        <m:r>
                          <a:rPr lang="pt-BR" sz="800" i="0">
                            <a:latin typeface="Cambria Math" panose="02040503050406030204" pitchFamily="18" charset="0"/>
                          </a:rPr>
                          <m:t>í</m:t>
                        </m:r>
                        <m:r>
                          <m:rPr>
                            <m:sty m:val="p"/>
                          </m:rPr>
                          <a:rPr lang="pt-BR" sz="800" i="0">
                            <a:latin typeface="Cambria Math" panose="02040503050406030204" pitchFamily="18" charset="0"/>
                          </a:rPr>
                          <m:t>veis</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Cart</m:t>
                        </m:r>
                        <m:r>
                          <a:rPr lang="pt-BR" sz="800" i="0">
                            <a:latin typeface="Cambria Math" panose="02040503050406030204" pitchFamily="18" charset="0"/>
                          </a:rPr>
                          <m:t>ã</m:t>
                        </m:r>
                        <m:r>
                          <m:rPr>
                            <m:sty m:val="p"/>
                          </m:rPr>
                          <a:rPr lang="pt-BR" sz="800" i="0">
                            <a:latin typeface="Cambria Math" panose="02040503050406030204" pitchFamily="18" charset="0"/>
                          </a:rPr>
                          <m:t>o</m:t>
                        </m:r>
                        <m:r>
                          <a:rPr lang="pt-BR" sz="800" i="0">
                            <a:latin typeface="Cambria Math" panose="02040503050406030204" pitchFamily="18" charset="0"/>
                          </a:rPr>
                          <m:t> </m:t>
                        </m:r>
                        <m:r>
                          <m:rPr>
                            <m:sty m:val="p"/>
                          </m:rPr>
                          <a:rPr lang="pt-BR" sz="800" i="0">
                            <a:latin typeface="Cambria Math" panose="02040503050406030204" pitchFamily="18" charset="0"/>
                          </a:rPr>
                          <m:t>de</m:t>
                        </m:r>
                        <m:r>
                          <a:rPr lang="pt-BR" sz="800" i="0">
                            <a:latin typeface="Cambria Math" panose="02040503050406030204" pitchFamily="18" charset="0"/>
                          </a:rPr>
                          <m:t> </m:t>
                        </m:r>
                        <m:r>
                          <m:rPr>
                            <m:sty m:val="p"/>
                          </m:rPr>
                          <a:rPr lang="pt-BR" sz="800" i="0">
                            <a:latin typeface="Cambria Math" panose="02040503050406030204" pitchFamily="18" charset="0"/>
                          </a:rPr>
                          <m:t>Cr</m:t>
                        </m:r>
                        <m:r>
                          <a:rPr lang="pt-BR" sz="800" i="0">
                            <a:latin typeface="Cambria Math" panose="02040503050406030204" pitchFamily="18" charset="0"/>
                          </a:rPr>
                          <m:t>é</m:t>
                        </m:r>
                        <m:r>
                          <m:rPr>
                            <m:sty m:val="p"/>
                          </m:rPr>
                          <a:rPr lang="pt-BR" sz="800" i="0">
                            <a:latin typeface="Cambria Math" panose="02040503050406030204" pitchFamily="18" charset="0"/>
                          </a:rPr>
                          <m:t>dito</m:t>
                        </m:r>
                      </m:den>
                    </m:f>
                  </m:oMath>
                </m:oMathPara>
              </a14:m>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bruta total:</a:t>
              </a:r>
            </a:p>
            <a:p>
              <a:endParaRPr lang="pt-BR" sz="800">
                <a:solidFill>
                  <a:schemeClr val="tx1">
                    <a:lumMod val="85000"/>
                    <a:lumOff val="15000"/>
                  </a:schemeClr>
                </a:solidFill>
                <a:latin typeface="Calibri" panose="020F0502020204030204" pitchFamily="34" charset="0"/>
                <a:ea typeface="Inter" panose="020B0502030000000004" pitchFamily="34" charset="0"/>
                <a:cs typeface="Calibri" panose="020F0502020204030204" pitchFamily="34" charset="0"/>
              </a:endParaRPr>
            </a:p>
            <a:p>
              <a:pPr/>
              <a14:m>
                <m:oMathPara xmlns:m="http://schemas.openxmlformats.org/officeDocument/2006/math">
                  <m:oMathParaPr>
                    <m:jc m:val="center"/>
                  </m:oMathParaPr>
                  <m:oMath xmlns:m="http://schemas.openxmlformats.org/officeDocument/2006/math">
                    <m:r>
                      <m:rPr>
                        <m:sty m:val="p"/>
                      </m:rPr>
                      <a:rPr lang="pt-BR" sz="800" b="0" i="0">
                        <a:latin typeface="Cambria Math" panose="02040503050406030204" pitchFamily="18" charset="0"/>
                        <a:cs typeface="Sora" pitchFamily="2" charset="0"/>
                      </a:rPr>
                      <m:t>Receita</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de</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juros</m:t>
                    </m:r>
                    <m:r>
                      <a:rPr lang="pt-BR" sz="800" i="0">
                        <a:latin typeface="Cambria Math" panose="02040503050406030204" pitchFamily="18" charset="0"/>
                        <a:cs typeface="Sora" pitchFamily="2" charset="0"/>
                      </a:rPr>
                      <m:t>+ </m:t>
                    </m:r>
                    <m:d>
                      <m:dPr>
                        <m:ctrlPr>
                          <a:rPr lang="pt-BR" sz="800" i="1">
                            <a:latin typeface="Cambria Math" panose="02040503050406030204" pitchFamily="18" charset="0"/>
                            <a:cs typeface="Sora" pitchFamily="2" charset="0"/>
                          </a:rPr>
                        </m:ctrlPr>
                      </m:dPr>
                      <m:e>
                        <m:r>
                          <m:rPr>
                            <m:sty m:val="p"/>
                          </m:rPr>
                          <a:rPr lang="pt-BR" sz="800" i="0">
                            <a:latin typeface="Cambria Math" panose="02040503050406030204" pitchFamily="18" charset="0"/>
                            <a:cs typeface="Sora" pitchFamily="2" charset="0"/>
                          </a:rPr>
                          <m:t>Receitas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servi</m:t>
                        </m:r>
                        <m:r>
                          <a:rPr lang="pt-BR" sz="800" i="0">
                            <a:latin typeface="Cambria Math" panose="02040503050406030204" pitchFamily="18" charset="0"/>
                            <a:cs typeface="Sora" pitchFamily="2" charset="0"/>
                          </a:rPr>
                          <m:t>ç</m:t>
                        </m:r>
                        <m:r>
                          <m:rPr>
                            <m:sty m:val="p"/>
                          </m:rPr>
                          <a:rPr lang="pt-BR" sz="800" i="0">
                            <a:latin typeface="Cambria Math" panose="02040503050406030204" pitchFamily="18" charset="0"/>
                            <a:cs typeface="Sora" pitchFamily="2" charset="0"/>
                          </a:rPr>
                          <m:t>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comiss</m:t>
                        </m:r>
                        <m:r>
                          <a:rPr lang="pt-BR" sz="800" i="0">
                            <a:latin typeface="Cambria Math" panose="02040503050406030204" pitchFamily="18" charset="0"/>
                            <a:cs typeface="Sora" pitchFamily="2" charset="0"/>
                          </a:rPr>
                          <m:t>õ</m:t>
                        </m:r>
                        <m:r>
                          <m:rPr>
                            <m:sty m:val="p"/>
                          </m:rPr>
                          <a:rPr lang="pt-BR" sz="800" i="0">
                            <a:latin typeface="Cambria Math" panose="02040503050406030204" pitchFamily="18" charset="0"/>
                            <a:cs typeface="Sora" pitchFamily="2" charset="0"/>
                          </a:rPr>
                          <m:t>es</m:t>
                        </m:r>
                        <m:r>
                          <a:rPr lang="pt-BR" sz="800" i="0">
                            <a:latin typeface="Cambria Math" panose="02040503050406030204" pitchFamily="18" charset="0"/>
                            <a:cs typeface="Sora" pitchFamily="2" charset="0"/>
                          </a:rPr>
                          <m:t> – </m:t>
                        </m:r>
                        <m:r>
                          <m:rPr>
                            <m:sty m:val="p"/>
                          </m:rPr>
                          <a:rPr lang="pt-BR" sz="800" i="0">
                            <a:latin typeface="Cambria Math" panose="02040503050406030204" pitchFamily="18" charset="0"/>
                            <a:cs typeface="Sora" pitchFamily="2" charset="0"/>
                          </a:rPr>
                          <m:t>despesas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com</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cashback</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Inter</m:t>
                        </m:r>
                        <m:r>
                          <a:rPr lang="pt-BR" sz="800" b="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rewards</m:t>
                        </m:r>
                      </m:e>
                    </m:d>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Resultado</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t</m:t>
                    </m:r>
                    <m:r>
                      <a:rPr lang="pt-BR" sz="800" i="0">
                        <a:latin typeface="Cambria Math" panose="02040503050406030204" pitchFamily="18" charset="0"/>
                        <a:cs typeface="Sora" pitchFamily="2" charset="0"/>
                      </a:rPr>
                      <m:t>í</m:t>
                    </m:r>
                    <m:r>
                      <m:rPr>
                        <m:sty m:val="p"/>
                      </m:rPr>
                      <a:rPr lang="pt-BR" sz="800" i="0">
                        <a:latin typeface="Cambria Math" panose="02040503050406030204" pitchFamily="18" charset="0"/>
                        <a:cs typeface="Sora" pitchFamily="2" charset="0"/>
                      </a:rPr>
                      <m:t>tulos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e</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valores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mobili</m:t>
                    </m:r>
                    <m:r>
                      <a:rPr lang="pt-BR" sz="800" i="0">
                        <a:latin typeface="Cambria Math" panose="02040503050406030204" pitchFamily="18" charset="0"/>
                        <a:cs typeface="Sora" pitchFamily="2" charset="0"/>
                      </a:rPr>
                      <m:t>á</m:t>
                    </m:r>
                    <m:r>
                      <m:rPr>
                        <m:sty m:val="p"/>
                      </m:rPr>
                      <a:rPr lang="pt-BR" sz="800" i="0">
                        <a:latin typeface="Cambria Math" panose="02040503050406030204" pitchFamily="18" charset="0"/>
                        <a:cs typeface="Sora" pitchFamily="2" charset="0"/>
                      </a:rPr>
                      <m:t>rios</m:t>
                    </m:r>
                    <m:r>
                      <a:rPr lang="pt-BR" sz="800" i="0">
                        <a:latin typeface="Cambria Math" panose="02040503050406030204" pitchFamily="18" charset="0"/>
                        <a:cs typeface="Sora" pitchFamily="2" charset="0"/>
                      </a:rPr>
                      <m:t> </m:t>
                    </m:r>
                    <m:r>
                      <m:rPr>
                        <m:sty m:val="p"/>
                      </m:rPr>
                      <a:rPr lang="pt-BR" sz="800" b="0" i="0">
                        <a:latin typeface="Cambria Math" panose="02040503050406030204" pitchFamily="18" charset="0"/>
                        <a:cs typeface="Sora" pitchFamily="2" charset="0"/>
                      </a:rPr>
                      <m:t>e</m:t>
                    </m:r>
                    <m:r>
                      <a:rPr lang="pt-BR" sz="800" b="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derivativos</m:t>
                    </m:r>
                    <m:r>
                      <a:rPr lang="pt-BR" sz="800" i="0">
                        <a:latin typeface="Cambria Math" panose="02040503050406030204" pitchFamily="18" charset="0"/>
                        <a:cs typeface="Sora" pitchFamily="2" charset="0"/>
                      </a:rPr>
                      <m:t> + </m:t>
                    </m:r>
                    <m:r>
                      <m:rPr>
                        <m:sty m:val="p"/>
                      </m:rPr>
                      <a:rPr lang="pt-BR" sz="800" i="0">
                        <a:latin typeface="Cambria Math" panose="02040503050406030204" pitchFamily="18" charset="0"/>
                        <a:cs typeface="Sora" pitchFamily="2" charset="0"/>
                      </a:rPr>
                      <m:t>Outras</m:t>
                    </m:r>
                    <m:r>
                      <a:rPr lang="pt-BR" sz="800" i="0">
                        <a:latin typeface="Cambria Math" panose="02040503050406030204" pitchFamily="18" charset="0"/>
                        <a:cs typeface="Sora" pitchFamily="2" charset="0"/>
                      </a:rPr>
                      <m:t> </m:t>
                    </m:r>
                    <m:r>
                      <m:rPr>
                        <m:sty m:val="p"/>
                      </m:rPr>
                      <a:rPr lang="pt-BR" sz="800" i="0">
                        <a:latin typeface="Cambria Math" panose="02040503050406030204" pitchFamily="18" charset="0"/>
                        <a:cs typeface="Sora" pitchFamily="2" charset="0"/>
                      </a:rPr>
                      <m:t>receitas</m:t>
                    </m:r>
                  </m:oMath>
                </m:oMathPara>
              </a14:m>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de floating:</a:t>
              </a:r>
            </a:p>
            <a:p>
              <a:r>
                <a:rPr lang="pt-BR" sz="800">
                  <a:latin typeface="Calibri" panose="020F0502020204030204" pitchFamily="34" charset="0"/>
                  <a:ea typeface="Inter" panose="020B0502030000000004" pitchFamily="34" charset="0"/>
                  <a:cs typeface="Calibri" panose="020F0502020204030204" pitchFamily="34" charset="0"/>
                </a:rPr>
                <a:t>A receita de floating é um cálculo gerencial e se dá pela multiplicação do saldo de depósitos à vista (líquido de compulsório) por 100% da taxa CDI.</a:t>
              </a:r>
            </a:p>
            <a:p>
              <a:endParaRPr lang="pt-BR" sz="800" b="1">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xdr:txBody>
        </xdr:sp>
      </mc:Choice>
      <mc:Fallback xmlns="">
        <xdr:sp macro="" textlink="">
          <xdr:nvSpPr>
            <xdr:cNvPr id="51" name="Retângulo 9">
              <a:extLst>
                <a:ext uri="{FF2B5EF4-FFF2-40B4-BE49-F238E27FC236}">
                  <a16:creationId xmlns:a16="http://schemas.microsoft.com/office/drawing/2014/main" id="{A0707A7C-D8EB-26A2-0525-185CDA121C9A}"/>
                </a:ext>
              </a:extLst>
            </xdr:cNvPr>
            <xdr:cNvSpPr/>
          </xdr:nvSpPr>
          <xdr:spPr>
            <a:xfrm>
              <a:off x="6803887" y="31366055"/>
              <a:ext cx="5764771" cy="5341399"/>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NIM 1.0 - Baseado na carteira remunerada + recebíveis de cartão de crédito não remunerados</a:t>
              </a:r>
              <a:br>
                <a:rPr lang="en-US" sz="800" b="1">
                  <a:latin typeface="Calibri" panose="020F0502020204030204" pitchFamily="34" charset="0"/>
                  <a:cs typeface="Calibri" panose="020F0502020204030204" pitchFamily="34" charset="0"/>
                </a:rPr>
              </a:br>
              <a:endParaRPr lang="en-US" sz="800" b="1">
                <a:latin typeface="Calibri" panose="020F0502020204030204" pitchFamily="34" charset="0"/>
                <a:cs typeface="Calibri" panose="020F0502020204030204" pitchFamily="34" charset="0"/>
              </a:endParaRPr>
            </a:p>
            <a:p>
              <a:pPr algn="ctr"/>
              <a:r>
                <a:rPr lang="pt-BR" sz="800" i="0">
                  <a:latin typeface="Cambria Math" panose="02040503050406030204" pitchFamily="18" charset="0"/>
                </a:rPr>
                <a:t>(Resultado líquido de juros x 4)/█(Média da carteira remunerada dos últimos 2 trimestres (Empréstimos a instituições financeiras+ Valores Mobiliários + @Derivativos + Empréstimos e adiantamentos a clientes</a:t>
              </a:r>
              <a:r>
                <a:rPr lang="pt-BR" sz="800" b="0" i="0">
                  <a:latin typeface="Cambria Math" panose="02040503050406030204" pitchFamily="18" charset="0"/>
                </a:rPr>
                <a:t>)) </a:t>
              </a:r>
              <a:r>
                <a:rPr lang="pt-BR" sz="800" i="0">
                  <a:latin typeface="Cambria Math" panose="02040503050406030204" pitchFamily="18" charset="0"/>
                </a:rPr>
                <a:t> </a:t>
              </a:r>
              <a:endParaRPr lang="en-US" sz="800" b="1">
                <a:latin typeface="Calibri" panose="020F0502020204030204" pitchFamily="34" charset="0"/>
                <a:cs typeface="Calibri" panose="020F0502020204030204" pitchFamily="34" charset="0"/>
              </a:endParaRPr>
            </a:p>
            <a:p>
              <a:pPr algn="ct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NIM 2.0 - Baseado na carteira remunerada</a:t>
              </a:r>
              <a:br>
                <a:rPr lang="en-US" sz="800" b="1">
                  <a:latin typeface="Calibri" panose="020F0502020204030204" pitchFamily="34" charset="0"/>
                  <a:cs typeface="Calibri" panose="020F0502020204030204" pitchFamily="34" charset="0"/>
                </a:rPr>
              </a:br>
              <a:endParaRPr lang="en-US" sz="800" b="1">
                <a:latin typeface="Calibri" panose="020F0502020204030204" pitchFamily="34" charset="0"/>
                <a:cs typeface="Calibri" panose="020F0502020204030204" pitchFamily="34" charset="0"/>
              </a:endParaRPr>
            </a:p>
            <a:p>
              <a:pPr algn="ctr"/>
              <a:r>
                <a:rPr lang="pt-BR" sz="800" i="0">
                  <a:latin typeface="Cambria Math" panose="02040503050406030204" pitchFamily="18" charset="0"/>
                </a:rPr>
                <a:t>(Resultado líquido de juros x 4)/</a:t>
              </a:r>
              <a:r>
                <a:rPr lang="en-US" sz="800" i="0">
                  <a:latin typeface="Cambria Math" panose="02040503050406030204" pitchFamily="18" charset="0"/>
                </a:rPr>
                <a:t>█("</a:t>
              </a:r>
              <a:r>
                <a:rPr lang="en-US" sz="800" i="0">
                  <a:latin typeface="Calibri" panose="020F0502020204030204" pitchFamily="34" charset="0"/>
                  <a:cs typeface="Calibri" panose="020F0502020204030204" pitchFamily="34" charset="0"/>
                </a:rPr>
                <a:t>Média da carteira remunerada dos últimos 2 trimestres – Recebíveis cartãode crédito não remunerados</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r>
                <a:rPr lang="en-US" sz="800" i="0">
                  <a:latin typeface="Cambria Math" panose="02040503050406030204" pitchFamily="18" charset="0"/>
                  <a:cs typeface="Calibri" panose="020F0502020204030204" pitchFamily="34" charset="0"/>
                </a:rPr>
                <a:t>"</a:t>
              </a:r>
              <a:r>
                <a:rPr lang="en-US" sz="800" i="0">
                  <a:latin typeface="Calibri" panose="020F0502020204030204" pitchFamily="34" charset="0"/>
                  <a:cs typeface="Calibri" panose="020F0502020204030204" pitchFamily="34" charset="0"/>
                </a:rPr>
                <a:t>(Empréstimos a instituiçõesfinanceiras</a:t>
              </a:r>
              <a:r>
                <a:rPr lang="pt-BR" sz="800" i="0">
                  <a:latin typeface="Calibri" panose="020F0502020204030204" pitchFamily="34" charset="0"/>
                  <a:cs typeface="Calibri" panose="020F0502020204030204" pitchFamily="34" charset="0"/>
                </a:rPr>
                <a:t> </a:t>
              </a:r>
              <a:r>
                <a:rPr lang="en-US" sz="800" i="0">
                  <a:latin typeface="Calibri" panose="020F0502020204030204" pitchFamily="34" charset="0"/>
                  <a:cs typeface="Calibri" panose="020F0502020204030204" pitchFamily="34" charset="0"/>
                </a:rPr>
                <a:t>+ Valores Mobiliários+ Derivativos + Empréstimos e adiantamentos </a:t>
              </a:r>
              <a:r>
                <a:rPr lang="en-US" sz="800" i="0">
                  <a:latin typeface="Cambria Math" panose="02040503050406030204" pitchFamily="18" charset="0"/>
                  <a:cs typeface="Calibri" panose="020F0502020204030204" pitchFamily="34" charset="0"/>
                </a:rPr>
                <a:t>" @"</a:t>
              </a:r>
              <a:r>
                <a:rPr lang="en-US" sz="800" i="0">
                  <a:latin typeface="Calibri" panose="020F0502020204030204" pitchFamily="34" charset="0"/>
                  <a:cs typeface="Calibri" panose="020F0502020204030204" pitchFamily="34" charset="0"/>
                </a:rPr>
                <a:t>a</a:t>
              </a:r>
              <a:r>
                <a:rPr lang="pt-BR" sz="800" i="0">
                  <a:latin typeface="Cambria Math" panose="02040503050406030204" pitchFamily="18" charset="0"/>
                  <a:cs typeface="Calibri" panose="020F0502020204030204" pitchFamily="34" charset="0"/>
                </a:rPr>
                <a:t>" </a:t>
              </a:r>
              <a:r>
                <a:rPr lang="pt-BR" sz="800" i="0">
                  <a:latin typeface="Cambria Math" panose="02040503050406030204" pitchFamily="18" charset="0"/>
                </a:rPr>
                <a:t> clientes"</a:t>
              </a:r>
              <a:r>
                <a:rPr lang="pt-BR" sz="800" i="0">
                  <a:latin typeface="Calibri" panose="020F0502020204030204" pitchFamily="34" charset="0"/>
                  <a:cs typeface="Calibri" panose="020F0502020204030204" pitchFamily="34" charset="0"/>
                </a:rPr>
                <a:t> </a:t>
              </a:r>
              <a:r>
                <a:rPr lang="en-US" sz="800" i="0">
                  <a:latin typeface="Calibri" panose="020F0502020204030204" pitchFamily="34" charset="0"/>
                  <a:cs typeface="Calibri" panose="020F0502020204030204" pitchFamily="34" charset="0"/>
                </a:rPr>
                <a:t>– </a:t>
              </a:r>
              <a:r>
                <a:rPr lang="pt-BR" sz="800" i="0">
                  <a:latin typeface="Calibri" panose="020F0502020204030204" pitchFamily="34" charset="0"/>
                  <a:cs typeface="Calibri" panose="020F0502020204030204" pitchFamily="34" charset="0"/>
                </a:rPr>
                <a:t>C</a:t>
              </a:r>
              <a:r>
                <a:rPr lang="en-US" sz="800" i="0">
                  <a:latin typeface="Calibri" panose="020F0502020204030204" pitchFamily="34" charset="0"/>
                  <a:cs typeface="Calibri" panose="020F0502020204030204" pitchFamily="34" charset="0"/>
                </a:rPr>
                <a:t>arteira à vista de cartão de crédito</a:t>
              </a:r>
              <a:r>
                <a:rPr lang="pt-BR" sz="800" i="0">
                  <a:latin typeface="Cambria Math" panose="02040503050406030204" pitchFamily="18" charset="0"/>
                  <a:cs typeface="Calibri" panose="020F0502020204030204" pitchFamily="34" charset="0"/>
                </a:rPr>
                <a:t>" </a:t>
              </a:r>
              <a:r>
                <a:rPr lang="pt-BR" sz="800" i="0">
                  <a:latin typeface="Cambria Math" panose="02040503050406030204" pitchFamily="18" charset="0"/>
                </a:rPr>
                <a:t>)"</a:t>
              </a:r>
              <a:r>
                <a:rPr lang="pt-BR" sz="800" i="0">
                  <a:latin typeface="Calibri" panose="020F0502020204030204" pitchFamily="34" charset="0"/>
                  <a:cs typeface="Calibri" panose="020F0502020204030204" pitchFamily="34" charset="0"/>
                </a:rPr>
                <a:t> </a:t>
              </a:r>
              <a:r>
                <a:rPr lang="pt-BR" sz="800" i="0">
                  <a:latin typeface="Cambria Math" panose="02040503050406030204" pitchFamily="18" charset="0"/>
                  <a:cs typeface="Calibri" panose="020F0502020204030204" pitchFamily="34" charset="0"/>
                </a:rPr>
                <a:t>" )</a:t>
              </a:r>
              <a:endParaRPr lang="en-US" sz="800">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NPL 15 a 90 dias:</a:t>
              </a:r>
            </a:p>
            <a:p>
              <a:endParaRPr lang="en-US"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(Saldo vencido </a:t>
              </a:r>
              <a:r>
                <a:rPr lang="pt-BR" sz="800" b="0" i="0">
                  <a:latin typeface="Cambria Math" panose="02040503050406030204" pitchFamily="18" charset="0"/>
                </a:rPr>
                <a:t>entre 15 e 90 </a:t>
              </a:r>
              <a:r>
                <a:rPr lang="pt-BR" sz="800" i="0">
                  <a:latin typeface="Cambria Math" panose="02040503050406030204" pitchFamily="18" charset="0"/>
                </a:rPr>
                <a:t>dias)/(Empréstimos e adiantamento a clientes+Recebíveis de Cartão de Crédito)</a:t>
              </a:r>
              <a:r>
                <a:rPr lang="pt-BR" sz="800" b="0" i="0">
                  <a:latin typeface="Cambria Math" panose="02040503050406030204" pitchFamily="18" charset="0"/>
                </a:rPr>
                <a:t>  </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NPL &gt; 90 dias:</a:t>
              </a:r>
            </a:p>
            <a:p>
              <a:endParaRPr lang="en-US"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(S</a:t>
              </a:r>
              <a:r>
                <a:rPr lang="pt-BR" sz="800" b="0" i="0">
                  <a:latin typeface="Cambria Math" panose="02040503050406030204" pitchFamily="18" charset="0"/>
                </a:rPr>
                <a:t>aldo vencido a mais de 90 dias)/(</a:t>
              </a:r>
              <a:r>
                <a:rPr lang="pt-BR" sz="800" i="0">
                  <a:latin typeface="Cambria Math" panose="02040503050406030204" pitchFamily="18" charset="0"/>
                </a:rPr>
                <a:t>Empréstimos e adiantamento a clientes+Recebíveis de Cartão de Crédito)</a:t>
              </a:r>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bruta total:</a:t>
              </a:r>
            </a:p>
            <a:p>
              <a:endParaRPr lang="pt-BR" sz="800">
                <a:solidFill>
                  <a:schemeClr val="tx1">
                    <a:lumMod val="85000"/>
                    <a:lumOff val="15000"/>
                  </a:schemeClr>
                </a:solidFill>
                <a:latin typeface="Calibri" panose="020F0502020204030204" pitchFamily="34" charset="0"/>
                <a:ea typeface="Inter" panose="020B0502030000000004" pitchFamily="34" charset="0"/>
                <a:cs typeface="Calibri" panose="020F0502020204030204" pitchFamily="34" charset="0"/>
              </a:endParaRPr>
            </a:p>
            <a:p>
              <a:pPr/>
              <a:r>
                <a:rPr lang="pt-BR" sz="800" b="0" i="0">
                  <a:latin typeface="Cambria Math" panose="02040503050406030204" pitchFamily="18" charset="0"/>
                  <a:cs typeface="Sora" pitchFamily="2" charset="0"/>
                </a:rPr>
                <a:t>Receita de juros</a:t>
              </a:r>
              <a:r>
                <a:rPr lang="pt-BR" sz="800" i="0">
                  <a:latin typeface="Cambria Math" panose="02040503050406030204" pitchFamily="18" charset="0"/>
                  <a:cs typeface="Sora" pitchFamily="2" charset="0"/>
                </a:rPr>
                <a:t>+ (Receitas de serviços e comissões – despesas com cashback</a:t>
              </a:r>
              <a:r>
                <a:rPr lang="pt-BR" sz="800" b="0" i="0">
                  <a:latin typeface="Cambria Math" panose="02040503050406030204" pitchFamily="18" charset="0"/>
                  <a:cs typeface="Sora" pitchFamily="2" charset="0"/>
                </a:rPr>
                <a:t> −Inter rewards)</a:t>
              </a:r>
              <a:r>
                <a:rPr lang="pt-BR" sz="800" i="0">
                  <a:latin typeface="Cambria Math" panose="02040503050406030204" pitchFamily="18" charset="0"/>
                  <a:cs typeface="Sora" pitchFamily="2" charset="0"/>
                </a:rPr>
                <a:t>+ Resultado de títulos e valores mobiliários </a:t>
              </a:r>
              <a:r>
                <a:rPr lang="pt-BR" sz="800" b="0" i="0">
                  <a:latin typeface="Cambria Math" panose="02040503050406030204" pitchFamily="18" charset="0"/>
                  <a:cs typeface="Sora" pitchFamily="2" charset="0"/>
                </a:rPr>
                <a:t>e </a:t>
              </a:r>
              <a:r>
                <a:rPr lang="pt-BR" sz="800" i="0">
                  <a:latin typeface="Cambria Math" panose="02040503050406030204" pitchFamily="18" charset="0"/>
                  <a:cs typeface="Sora" pitchFamily="2" charset="0"/>
                </a:rPr>
                <a:t>derivativos + Outras receitas</a:t>
              </a:r>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de floating:</a:t>
              </a:r>
            </a:p>
            <a:p>
              <a:r>
                <a:rPr lang="pt-BR" sz="800">
                  <a:latin typeface="Calibri" panose="020F0502020204030204" pitchFamily="34" charset="0"/>
                  <a:ea typeface="Inter" panose="020B0502030000000004" pitchFamily="34" charset="0"/>
                  <a:cs typeface="Calibri" panose="020F0502020204030204" pitchFamily="34" charset="0"/>
                </a:rPr>
                <a:t>A receita de floating é um cálculo gerencial e se dá pela multiplicação do saldo de depósitos à vista (líquido de compulsório) por 100% da taxa CDI.</a:t>
              </a:r>
            </a:p>
            <a:p>
              <a:endParaRPr lang="pt-BR" sz="800" b="1">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xdr:txBody>
        </xdr:sp>
      </mc:Fallback>
    </mc:AlternateContent>
    <xdr:clientData/>
  </xdr:twoCellAnchor>
  <xdr:twoCellAnchor>
    <xdr:from>
      <xdr:col>8</xdr:col>
      <xdr:colOff>218784</xdr:colOff>
      <xdr:row>200</xdr:row>
      <xdr:rowOff>0</xdr:rowOff>
    </xdr:from>
    <xdr:to>
      <xdr:col>15</xdr:col>
      <xdr:colOff>186984</xdr:colOff>
      <xdr:row>227</xdr:row>
      <xdr:rowOff>15069</xdr:rowOff>
    </xdr:to>
    <mc:AlternateContent xmlns:mc="http://schemas.openxmlformats.org/markup-compatibility/2006" xmlns:a14="http://schemas.microsoft.com/office/drawing/2010/main">
      <mc:Choice Requires="a14">
        <xdr:sp macro="" textlink="">
          <xdr:nvSpPr>
            <xdr:cNvPr id="52" name="Retângulo 9">
              <a:extLst>
                <a:ext uri="{FF2B5EF4-FFF2-40B4-BE49-F238E27FC236}">
                  <a16:creationId xmlns:a16="http://schemas.microsoft.com/office/drawing/2014/main" id="{00000000-0008-0000-1600-000034000000}"/>
                </a:ext>
              </a:extLst>
            </xdr:cNvPr>
            <xdr:cNvSpPr/>
          </xdr:nvSpPr>
          <xdr:spPr>
            <a:xfrm>
              <a:off x="6844871" y="36811594"/>
              <a:ext cx="5766026" cy="4984634"/>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Receita de serviços de cartão:</a:t>
              </a:r>
            </a:p>
            <a:p>
              <a:pPr algn="just"/>
              <a:r>
                <a:rPr lang="en-US" sz="800">
                  <a:latin typeface="Calibri" panose="020F0502020204030204" pitchFamily="34" charset="0"/>
                  <a:ea typeface="Inter" panose="020B0502030000000004" pitchFamily="34" charset="0"/>
                  <a:cs typeface="Calibri" panose="020F0502020204030204" pitchFamily="34" charset="0"/>
                </a:rPr>
                <a:t>É parte das linhas “Receita de serviços e comissões” e “Outras receitas” da Demonstração de Resultado IFRS. </a:t>
              </a:r>
            </a:p>
            <a:p>
              <a:pPr algn="just"/>
              <a:endParaRPr lang="en-US" sz="800" b="1">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lgn="ctr"/>
              <a14:m>
                <m:oMathPara xmlns:m="http://schemas.openxmlformats.org/officeDocument/2006/math">
                  <m:oMathParaPr>
                    <m:jc m:val="centerGroup"/>
                  </m:oMathParaPr>
                  <m:oMath xmlns:m="http://schemas.openxmlformats.org/officeDocument/2006/math">
                    <m:r>
                      <m:rPr>
                        <m:sty m:val="p"/>
                      </m:rP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sultado</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l</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í</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quido</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juros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Resultado</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l</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í</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quido</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servi</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ç</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comiss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õ</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es</m:t>
                    </m:r>
                    <m: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Outras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receitas</m:t>
                    </m:r>
                  </m:oMath>
                </m:oMathPara>
              </a14:m>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 de serviços:</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servi</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ç</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comiss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õ</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Outras</m:t>
                    </m:r>
                    <m: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receitas</m:t>
                    </m:r>
                  </m:oMath>
                </m:oMathPara>
              </a14:m>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pt-BR" sz="800">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 de juros:</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lgn="ctr"/>
              <a14:m>
                <m:oMath xmlns:m="http://schemas.openxmlformats.org/officeDocument/2006/math">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Receita</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juros</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Despesas</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juros</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Resultado</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de</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í</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tulos</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e</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Valores</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 </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Mobili</m:t>
                  </m:r>
                  <m: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á</m:t>
                  </m:r>
                  <m:r>
                    <m:rPr>
                      <m:sty m:val="p"/>
                    </m:rPr>
                    <a:rPr lang="pt-BR" sz="80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m:t>rios</m:t>
                  </m:r>
                </m:oMath>
              </a14:m>
              <a:r>
                <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rPr>
                <a:t> e Derivativos</a:t>
              </a: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Retorno sobre patrimônio líquido médio (ROE): </a:t>
              </a:r>
            </a:p>
            <a:p>
              <a:endParaRPr lang="en-US" sz="800" b="1">
                <a:latin typeface="Calibri" panose="020F0502020204030204" pitchFamily="34" charset="0"/>
                <a:cs typeface="Calibri" panose="020F0502020204030204" pitchFamily="34" charset="0"/>
              </a:endParaRPr>
            </a:p>
            <a:p>
              <a:pPr/>
              <a14:m>
                <m:oMathPara xmlns:m="http://schemas.openxmlformats.org/officeDocument/2006/math">
                  <m:oMathParaPr>
                    <m:jc m:val="centerGroup"/>
                  </m:oMathParaPr>
                  <m:oMath xmlns:m="http://schemas.openxmlformats.org/officeDocument/2006/math">
                    <m:f>
                      <m:fPr>
                        <m:ctrlPr>
                          <a:rPr lang="pt-BR" sz="800" i="1">
                            <a:latin typeface="Cambria Math" panose="02040503050406030204" pitchFamily="18" charset="0"/>
                          </a:rPr>
                        </m:ctrlPr>
                      </m:fPr>
                      <m:num>
                        <m:r>
                          <a:rPr lang="pt-BR" sz="800" i="0">
                            <a:latin typeface="Cambria Math" panose="02040503050406030204" pitchFamily="18" charset="0"/>
                          </a:rPr>
                          <m:t>(</m:t>
                        </m:r>
                        <m:r>
                          <m:rPr>
                            <m:sty m:val="p"/>
                          </m:rPr>
                          <a:rPr lang="pt-BR" sz="800" i="0">
                            <a:latin typeface="Cambria Math" panose="02040503050406030204" pitchFamily="18" charset="0"/>
                          </a:rPr>
                          <m:t>Lucro</m:t>
                        </m:r>
                        <m:r>
                          <a:rPr lang="pt-BR" sz="800" i="0">
                            <a:latin typeface="Cambria Math" panose="02040503050406030204" pitchFamily="18" charset="0"/>
                          </a:rPr>
                          <m:t> /</m:t>
                        </m:r>
                        <m:d>
                          <m:dPr>
                            <m:ctrlPr>
                              <a:rPr lang="pt-BR" sz="800" i="1">
                                <a:latin typeface="Cambria Math" panose="02040503050406030204" pitchFamily="18" charset="0"/>
                              </a:rPr>
                            </m:ctrlPr>
                          </m:dPr>
                          <m:e>
                            <m:r>
                              <m:rPr>
                                <m:sty m:val="p"/>
                              </m:rPr>
                              <a:rPr lang="pt-BR" sz="800" i="0">
                                <a:latin typeface="Cambria Math" panose="02040503050406030204" pitchFamily="18" charset="0"/>
                              </a:rPr>
                              <m:t>perda</m:t>
                            </m:r>
                          </m:e>
                        </m:d>
                        <m:r>
                          <a:rPr lang="pt-BR" sz="800" i="0">
                            <a:latin typeface="Cambria Math" panose="02040503050406030204" pitchFamily="18" charset="0"/>
                          </a:rPr>
                          <m:t> </m:t>
                        </m:r>
                        <m:r>
                          <m:rPr>
                            <m:sty m:val="p"/>
                          </m:rPr>
                          <a:rPr lang="pt-BR" sz="800" i="0">
                            <a:latin typeface="Cambria Math" panose="02040503050406030204" pitchFamily="18" charset="0"/>
                          </a:rPr>
                          <m:t>para</m:t>
                        </m:r>
                        <m:r>
                          <a:rPr lang="pt-BR" sz="800" i="0">
                            <a:latin typeface="Cambria Math" panose="02040503050406030204" pitchFamily="18" charset="0"/>
                          </a:rPr>
                          <m:t> </m:t>
                        </m:r>
                        <m:r>
                          <m:rPr>
                            <m:sty m:val="p"/>
                          </m:rPr>
                          <a:rPr lang="pt-BR" sz="800" i="0">
                            <a:latin typeface="Cambria Math" panose="02040503050406030204" pitchFamily="18" charset="0"/>
                          </a:rPr>
                          <m:t>o</m:t>
                        </m:r>
                        <m:r>
                          <a:rPr lang="pt-BR" sz="800" i="0">
                            <a:latin typeface="Cambria Math" panose="02040503050406030204" pitchFamily="18" charset="0"/>
                          </a:rPr>
                          <m:t> </m:t>
                        </m:r>
                        <m:r>
                          <m:rPr>
                            <m:sty m:val="p"/>
                          </m:rPr>
                          <a:rPr lang="pt-BR" sz="800" i="0">
                            <a:latin typeface="Cambria Math" panose="02040503050406030204" pitchFamily="18" charset="0"/>
                          </a:rPr>
                          <m:t>ano</m:t>
                        </m:r>
                        <m:r>
                          <a:rPr lang="pt-BR" sz="800" i="0">
                            <a:latin typeface="Cambria Math" panose="02040503050406030204" pitchFamily="18" charset="0"/>
                          </a:rPr>
                          <m:t>) × 4</m:t>
                        </m:r>
                      </m:num>
                      <m:den>
                        <m:r>
                          <m:rPr>
                            <m:sty m:val="p"/>
                          </m:rPr>
                          <a:rPr lang="pt-BR" sz="800" i="0">
                            <a:latin typeface="Cambria Math" panose="02040503050406030204" pitchFamily="18" charset="0"/>
                          </a:rPr>
                          <m:t>M</m:t>
                        </m:r>
                        <m:r>
                          <a:rPr lang="pt-BR" sz="800" i="0">
                            <a:latin typeface="Cambria Math" panose="02040503050406030204" pitchFamily="18" charset="0"/>
                          </a:rPr>
                          <m:t>é</m:t>
                        </m:r>
                        <m:r>
                          <m:rPr>
                            <m:sty m:val="p"/>
                          </m:rPr>
                          <a:rPr lang="pt-BR" sz="800" i="0">
                            <a:latin typeface="Cambria Math" panose="02040503050406030204" pitchFamily="18" charset="0"/>
                          </a:rPr>
                          <m:t>dia</m:t>
                        </m:r>
                        <m:r>
                          <a:rPr lang="pt-BR" sz="800" i="0">
                            <a:latin typeface="Cambria Math" panose="02040503050406030204" pitchFamily="18" charset="0"/>
                          </a:rPr>
                          <m:t> </m:t>
                        </m:r>
                        <m:r>
                          <m:rPr>
                            <m:sty m:val="p"/>
                          </m:rPr>
                          <a:rPr lang="pt-BR" sz="800" i="0">
                            <a:latin typeface="Cambria Math" panose="02040503050406030204" pitchFamily="18" charset="0"/>
                          </a:rPr>
                          <m:t>do</m:t>
                        </m:r>
                        <m:r>
                          <a:rPr lang="pt-BR" sz="800" i="0">
                            <a:latin typeface="Cambria Math" panose="02040503050406030204" pitchFamily="18" charset="0"/>
                          </a:rPr>
                          <m:t> </m:t>
                        </m:r>
                        <m:r>
                          <m:rPr>
                            <m:sty m:val="p"/>
                          </m:rPr>
                          <a:rPr lang="pt-BR" sz="800" i="0">
                            <a:latin typeface="Cambria Math" panose="02040503050406030204" pitchFamily="18" charset="0"/>
                          </a:rPr>
                          <m:t>patrim</m:t>
                        </m:r>
                        <m:r>
                          <a:rPr lang="pt-BR" sz="800" i="0">
                            <a:latin typeface="Cambria Math" panose="02040503050406030204" pitchFamily="18" charset="0"/>
                          </a:rPr>
                          <m:t>ô</m:t>
                        </m:r>
                        <m:r>
                          <m:rPr>
                            <m:sty m:val="p"/>
                          </m:rPr>
                          <a:rPr lang="pt-BR" sz="800" i="0">
                            <a:latin typeface="Cambria Math" panose="02040503050406030204" pitchFamily="18" charset="0"/>
                          </a:rPr>
                          <m:t>nio</m:t>
                        </m:r>
                        <m:r>
                          <a:rPr lang="pt-BR" sz="800" i="0">
                            <a:latin typeface="Cambria Math" panose="02040503050406030204" pitchFamily="18" charset="0"/>
                          </a:rPr>
                          <m:t> </m:t>
                        </m:r>
                        <m:r>
                          <m:rPr>
                            <m:sty m:val="p"/>
                          </m:rPr>
                          <a:rPr lang="pt-BR" sz="800" i="0">
                            <a:latin typeface="Cambria Math" panose="02040503050406030204" pitchFamily="18" charset="0"/>
                          </a:rPr>
                          <m:t>l</m:t>
                        </m:r>
                        <m:r>
                          <a:rPr lang="pt-BR" sz="800" i="0">
                            <a:latin typeface="Cambria Math" panose="02040503050406030204" pitchFamily="18" charset="0"/>
                          </a:rPr>
                          <m:t>í</m:t>
                        </m:r>
                        <m:r>
                          <m:rPr>
                            <m:sty m:val="p"/>
                          </m:rPr>
                          <a:rPr lang="pt-BR" sz="800" i="0">
                            <a:latin typeface="Cambria Math" panose="02040503050406030204" pitchFamily="18" charset="0"/>
                          </a:rPr>
                          <m:t>quido</m:t>
                        </m:r>
                        <m:r>
                          <a:rPr lang="pt-BR" sz="800" i="0">
                            <a:latin typeface="Cambria Math" panose="02040503050406030204" pitchFamily="18" charset="0"/>
                          </a:rPr>
                          <m:t> </m:t>
                        </m:r>
                        <m:r>
                          <m:rPr>
                            <m:sty m:val="p"/>
                          </m:rPr>
                          <a:rPr lang="pt-BR" sz="800" i="0">
                            <a:latin typeface="Cambria Math" panose="02040503050406030204" pitchFamily="18" charset="0"/>
                          </a:rPr>
                          <m:t>dos</m:t>
                        </m:r>
                        <m:r>
                          <a:rPr lang="pt-BR" sz="800" i="0">
                            <a:latin typeface="Cambria Math" panose="02040503050406030204" pitchFamily="18" charset="0"/>
                          </a:rPr>
                          <m:t> ú</m:t>
                        </m:r>
                        <m:r>
                          <m:rPr>
                            <m:sty m:val="p"/>
                          </m:rPr>
                          <a:rPr lang="pt-BR" sz="800" i="0">
                            <a:latin typeface="Cambria Math" panose="02040503050406030204" pitchFamily="18" charset="0"/>
                          </a:rPr>
                          <m:t>ltimos</m:t>
                        </m:r>
                        <m:r>
                          <a:rPr lang="pt-BR" sz="800" i="0">
                            <a:latin typeface="Cambria Math" panose="02040503050406030204" pitchFamily="18" charset="0"/>
                          </a:rPr>
                          <m:t> 2 </m:t>
                        </m:r>
                        <m:r>
                          <m:rPr>
                            <m:sty m:val="p"/>
                          </m:rPr>
                          <a:rPr lang="pt-BR" sz="800" i="0">
                            <a:latin typeface="Cambria Math" panose="02040503050406030204" pitchFamily="18" charset="0"/>
                          </a:rPr>
                          <m:t>trimestres</m:t>
                        </m:r>
                        <m:r>
                          <a:rPr lang="pt-BR" sz="800" i="0">
                            <a:latin typeface="Cambria Math" panose="02040503050406030204" pitchFamily="18" charset="0"/>
                          </a:rPr>
                          <m:t> </m:t>
                        </m:r>
                      </m:den>
                    </m:f>
                  </m:oMath>
                </m:oMathPara>
              </a14:m>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ea typeface="Cambria Math" panose="02040503050406030204" pitchFamily="18" charset="0"/>
                  <a:cs typeface="Calibri" panose="020F0502020204030204" pitchFamily="34" charset="0"/>
                </a:rPr>
                <a:t>SG&amp;A:</a:t>
              </a:r>
            </a:p>
            <a:p>
              <a:endParaRPr lang="en-US" sz="800" b="1" i="0">
                <a:latin typeface="Calibri" panose="020F0502020204030204" pitchFamily="34" charset="0"/>
                <a:ea typeface="Cambria Math" panose="02040503050406030204" pitchFamily="18" charset="0"/>
                <a:cs typeface="Calibri" panose="020F0502020204030204" pitchFamily="34" charset="0"/>
              </a:endParaRPr>
            </a:p>
            <a:p>
              <a:pPr algn="ctr"/>
              <a14:m>
                <m:oMath xmlns:m="http://schemas.openxmlformats.org/officeDocument/2006/math">
                  <m:r>
                    <m:rPr>
                      <m:sty m:val="p"/>
                    </m:rPr>
                    <a:rPr lang="pt-BR" sz="800" b="0" i="0">
                      <a:latin typeface="Cambria Math" panose="02040503050406030204" pitchFamily="18" charset="0"/>
                      <a:ea typeface="Cambria Math" panose="02040503050406030204" pitchFamily="18" charset="0"/>
                      <a:cs typeface="Sora" pitchFamily="2" charset="0"/>
                    </a:rPr>
                    <m:t>Despesas</m:t>
                  </m:r>
                  <m:r>
                    <a:rPr lang="pt-BR" sz="800" b="0" i="0">
                      <a:latin typeface="Cambria Math" panose="02040503050406030204" pitchFamily="18" charset="0"/>
                      <a:ea typeface="Cambria Math" panose="02040503050406030204" pitchFamily="18" charset="0"/>
                      <a:cs typeface="Sora" pitchFamily="2" charset="0"/>
                    </a:rPr>
                    <m:t> </m:t>
                  </m:r>
                  <m:r>
                    <m:rPr>
                      <m:sty m:val="p"/>
                    </m:rPr>
                    <a:rPr lang="pt-BR" sz="800" b="0" i="0">
                      <a:latin typeface="Cambria Math" panose="02040503050406030204" pitchFamily="18" charset="0"/>
                      <a:ea typeface="Cambria Math" panose="02040503050406030204" pitchFamily="18" charset="0"/>
                      <a:cs typeface="Sora" pitchFamily="2" charset="0"/>
                    </a:rPr>
                    <m:t>Administrativas</m:t>
                  </m:r>
                  <m:r>
                    <a:rPr lang="pt-BR" sz="800" b="0" i="0">
                      <a:latin typeface="Cambria Math" panose="02040503050406030204" pitchFamily="18" charset="0"/>
                      <a:ea typeface="Cambria Math" panose="02040503050406030204" pitchFamily="18" charset="0"/>
                      <a:cs typeface="Sora" pitchFamily="2" charset="0"/>
                    </a:rPr>
                    <m:t> </m:t>
                  </m:r>
                </m:oMath>
              </a14:m>
              <a:r>
                <a:rPr lang="en-US" sz="800">
                  <a:latin typeface="Calibri" panose="020F0502020204030204" pitchFamily="34" charset="0"/>
                  <a:ea typeface="Cambria Math" panose="02040503050406030204" pitchFamily="18" charset="0"/>
                  <a:cs typeface="Calibri" panose="020F0502020204030204" pitchFamily="34" charset="0"/>
                </a:rPr>
                <a:t>+ Despesa de Pessoal + Depreciação e Amortização</a:t>
              </a: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Taxas anualizadas:</a:t>
              </a:r>
            </a:p>
            <a:p>
              <a:pPr algn="just"/>
              <a:r>
                <a:rPr lang="en-US" sz="800">
                  <a:latin typeface="Calibri" panose="020F0502020204030204" pitchFamily="34" charset="0"/>
                  <a:ea typeface="Inter" panose="020B0502030000000004" pitchFamily="34" charset="0"/>
                  <a:cs typeface="Calibri" panose="020F0502020204030204" pitchFamily="34" charset="0"/>
                </a:rPr>
                <a:t>Taxa anual calculada multiplicando a taxa de juros trimestral por 4, dividida pela média da carteira dos últimos dois trimestres. Taxa de juros consolidada inclui imobiliário, consignado + FGTS, PMEs, cartão de crédito excluindo recebíveis de cartão de crédito não remunerados, e antecipação de recebíveis de cartão de crédito.</a:t>
              </a:r>
            </a:p>
          </xdr:txBody>
        </xdr:sp>
      </mc:Choice>
      <mc:Fallback xmlns="">
        <xdr:sp macro="" textlink="">
          <xdr:nvSpPr>
            <xdr:cNvPr id="52" name="Retângulo 9">
              <a:extLst>
                <a:ext uri="{FF2B5EF4-FFF2-40B4-BE49-F238E27FC236}">
                  <a16:creationId xmlns:a16="http://schemas.microsoft.com/office/drawing/2014/main" id="{3E89D0AB-9666-E04D-4A66-644C70C6A489}"/>
                </a:ext>
              </a:extLst>
            </xdr:cNvPr>
            <xdr:cNvSpPr/>
          </xdr:nvSpPr>
          <xdr:spPr>
            <a:xfrm>
              <a:off x="6844871" y="36811594"/>
              <a:ext cx="5766026" cy="4984634"/>
            </a:xfrm>
            <a:prstGeom prst="rect">
              <a:avLst/>
            </a:prstGeom>
          </xdr:spPr>
          <xdr:txBody>
            <a:bodyPr wrap="square" numCol="1">
              <a:spAutoFit/>
            </a:bodyPr>
            <a:lstStyle>
              <a:defPPr>
                <a:defRPr lang="en-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b="1">
                  <a:latin typeface="Calibri" panose="020F0502020204030204" pitchFamily="34" charset="0"/>
                  <a:cs typeface="Calibri" panose="020F0502020204030204" pitchFamily="34" charset="0"/>
                </a:rPr>
                <a:t>Receita de serviços de cartão:</a:t>
              </a:r>
            </a:p>
            <a:p>
              <a:pPr algn="just"/>
              <a:r>
                <a:rPr lang="en-US" sz="800">
                  <a:latin typeface="Calibri" panose="020F0502020204030204" pitchFamily="34" charset="0"/>
                  <a:ea typeface="Inter" panose="020B0502030000000004" pitchFamily="34" charset="0"/>
                  <a:cs typeface="Calibri" panose="020F0502020204030204" pitchFamily="34" charset="0"/>
                </a:rPr>
                <a:t>É parte das linhas “Receita de serviços e comissões” e “Outras receitas” da Demonstração de Resultado IFRS. </a:t>
              </a:r>
            </a:p>
            <a:p>
              <a:pPr algn="just"/>
              <a:endParaRPr lang="en-US" sz="800" b="1">
                <a:latin typeface="Calibri" panose="020F0502020204030204" pitchFamily="34" charset="0"/>
                <a:ea typeface="Inter" panose="020B05020300000000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lgn="ct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Re</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sultado líquido de juros + Resultado líquido de serviços e comissões</a:t>
              </a:r>
              <a:r>
                <a:rPr lang="pt-BR" sz="800" b="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 </a:t>
              </a: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 Outras receitas</a:t>
              </a:r>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 de serviços:</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Receitas de serviços e comissões + Outras receitas</a:t>
              </a:r>
              <a:endPar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endParaRPr>
            </a:p>
            <a:p>
              <a:endParaRPr lang="pt-BR" sz="800">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r>
                <a:rPr lang="pt-BR" sz="800" b="1">
                  <a:latin typeface="Calibri" panose="020F0502020204030204" pitchFamily="34" charset="0"/>
                  <a:cs typeface="Calibri" panose="020F0502020204030204" pitchFamily="34" charset="0"/>
                </a:rPr>
                <a:t>Receita líquida de juros:</a:t>
              </a:r>
            </a:p>
            <a:p>
              <a:endParaRPr lang="pt-BR" sz="800">
                <a:solidFill>
                  <a:schemeClr val="tx1">
                    <a:lumMod val="85000"/>
                    <a:lumOff val="15000"/>
                  </a:schemeClr>
                </a:solidFill>
                <a:highlight>
                  <a:srgbClr val="FFFF00"/>
                </a:highlight>
                <a:latin typeface="Calibri" panose="020F0502020204030204" pitchFamily="34" charset="0"/>
                <a:ea typeface="Inter" panose="020B0502030000000004" pitchFamily="34" charset="0"/>
                <a:cs typeface="Calibri" panose="020F0502020204030204" pitchFamily="34" charset="0"/>
              </a:endParaRPr>
            </a:p>
            <a:p>
              <a:pPr algn="ctr"/>
              <a:r>
                <a:rPr lang="pt-BR" sz="800" i="0">
                  <a:solidFill>
                    <a:schemeClr val="tx1">
                      <a:lumMod val="85000"/>
                      <a:lumOff val="15000"/>
                    </a:schemeClr>
                  </a:solidFill>
                  <a:latin typeface="Cambria Math" panose="02040503050406030204" pitchFamily="18" charset="0"/>
                  <a:ea typeface="Cambria Math" panose="02040503050406030204" pitchFamily="18" charset="0"/>
                  <a:cs typeface="Sora" pitchFamily="2" charset="0"/>
                </a:rPr>
                <a:t>Receita de juros+Despesas de juros+Resultado de Títulos e Valores Mobiliários</a:t>
              </a:r>
              <a:r>
                <a:rPr lang="pt-BR" sz="800">
                  <a:solidFill>
                    <a:schemeClr val="tx1">
                      <a:lumMod val="85000"/>
                      <a:lumOff val="15000"/>
                    </a:schemeClr>
                  </a:solidFill>
                  <a:latin typeface="Calibri" panose="020F0502020204030204" pitchFamily="34" charset="0"/>
                  <a:ea typeface="Cambria Math" panose="02040503050406030204" pitchFamily="18" charset="0"/>
                  <a:cs typeface="Calibri" panose="020F0502020204030204" pitchFamily="34" charset="0"/>
                </a:rPr>
                <a:t> e Derivativos</a:t>
              </a: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Retorno sobre patrimônio líquido médio (ROE): </a:t>
              </a:r>
            </a:p>
            <a:p>
              <a:endParaRPr lang="en-US" sz="800" b="1">
                <a:latin typeface="Calibri" panose="020F0502020204030204" pitchFamily="34" charset="0"/>
                <a:cs typeface="Calibri" panose="020F0502020204030204" pitchFamily="34" charset="0"/>
              </a:endParaRPr>
            </a:p>
            <a:p>
              <a:pPr/>
              <a:r>
                <a:rPr lang="pt-BR" sz="800" i="0">
                  <a:latin typeface="Cambria Math" panose="02040503050406030204" pitchFamily="18" charset="0"/>
                </a:rPr>
                <a:t>((Lucro /(perda)  para o ano) × 4)/(Média do patrimônio líquido dos últimos 2 trimestres )</a:t>
              </a:r>
              <a:endParaRPr lang="en-US" sz="800" b="1">
                <a:latin typeface="Calibri" panose="020F0502020204030204" pitchFamily="34" charset="0"/>
                <a:cs typeface="Calibri" panose="020F0502020204030204" pitchFamily="34" charset="0"/>
              </a:endParaRPr>
            </a:p>
            <a:p>
              <a:endParaRPr lang="pt-BR"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ea typeface="Cambria Math" panose="02040503050406030204" pitchFamily="18" charset="0"/>
                  <a:cs typeface="Calibri" panose="020F0502020204030204" pitchFamily="34" charset="0"/>
                </a:rPr>
                <a:t>SG&amp;A:</a:t>
              </a:r>
            </a:p>
            <a:p>
              <a:endParaRPr lang="en-US" sz="800" b="1" i="0">
                <a:latin typeface="Calibri" panose="020F0502020204030204" pitchFamily="34" charset="0"/>
                <a:ea typeface="Cambria Math" panose="02040503050406030204" pitchFamily="18" charset="0"/>
                <a:cs typeface="Calibri" panose="020F0502020204030204" pitchFamily="34" charset="0"/>
              </a:endParaRPr>
            </a:p>
            <a:p>
              <a:pPr algn="ctr"/>
              <a:r>
                <a:rPr lang="pt-BR" sz="800" b="0" i="0">
                  <a:latin typeface="Cambria Math" panose="02040503050406030204" pitchFamily="18" charset="0"/>
                  <a:ea typeface="Cambria Math" panose="02040503050406030204" pitchFamily="18" charset="0"/>
                  <a:cs typeface="Sora" pitchFamily="2" charset="0"/>
                </a:rPr>
                <a:t>Despesas Administrativas </a:t>
              </a:r>
              <a:r>
                <a:rPr lang="en-US" sz="800">
                  <a:latin typeface="Calibri" panose="020F0502020204030204" pitchFamily="34" charset="0"/>
                  <a:ea typeface="Cambria Math" panose="02040503050406030204" pitchFamily="18" charset="0"/>
                  <a:cs typeface="Calibri" panose="020F0502020204030204" pitchFamily="34" charset="0"/>
                </a:rPr>
                <a:t>+ Despesa de Pessoal + Depreciação e Amortização</a:t>
              </a:r>
            </a:p>
            <a:p>
              <a:endParaRPr lang="en-US" sz="800" b="1">
                <a:latin typeface="Calibri" panose="020F0502020204030204" pitchFamily="34" charset="0"/>
                <a:cs typeface="Calibri" panose="020F0502020204030204" pitchFamily="34" charset="0"/>
              </a:endParaRPr>
            </a:p>
            <a:p>
              <a:endParaRPr lang="en-US" sz="800" b="1">
                <a:latin typeface="Calibri" panose="020F0502020204030204" pitchFamily="34" charset="0"/>
                <a:cs typeface="Calibri" panose="020F0502020204030204" pitchFamily="34" charset="0"/>
              </a:endParaRPr>
            </a:p>
            <a:p>
              <a:r>
                <a:rPr lang="en-US" sz="800" b="1">
                  <a:latin typeface="Calibri" panose="020F0502020204030204" pitchFamily="34" charset="0"/>
                  <a:cs typeface="Calibri" panose="020F0502020204030204" pitchFamily="34" charset="0"/>
                </a:rPr>
                <a:t>Taxas anualizadas:</a:t>
              </a:r>
            </a:p>
            <a:p>
              <a:pPr algn="just"/>
              <a:r>
                <a:rPr lang="en-US" sz="800">
                  <a:latin typeface="Calibri" panose="020F0502020204030204" pitchFamily="34" charset="0"/>
                  <a:ea typeface="Inter" panose="020B0502030000000004" pitchFamily="34" charset="0"/>
                  <a:cs typeface="Calibri" panose="020F0502020204030204" pitchFamily="34" charset="0"/>
                </a:rPr>
                <a:t>Taxa anual calculada multiplicando a taxa de juros trimestral por 4, dividida pela média da carteira dos últimos dois trimestres. Taxa de juros consolidada inclui imobiliário, consignado + FGTS, PMEs, cartão de crédito excluindo recebíveis de cartão de crédito não remunerados, e antecipação de recebíveis de cartão de crédito.</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1</xdr:row>
      <xdr:rowOff>689</xdr:rowOff>
    </xdr:from>
    <xdr:to>
      <xdr:col>28</xdr:col>
      <xdr:colOff>46892</xdr:colOff>
      <xdr:row>2</xdr:row>
      <xdr:rowOff>120853</xdr:rowOff>
    </xdr:to>
    <xdr:sp macro="" textlink="Names!BG2">
      <xdr:nvSpPr>
        <xdr:cNvPr id="6" name="Rounded Rectangle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clientData/>
  </xdr:twoCellAnchor>
  <xdr:twoCellAnchor>
    <xdr:from>
      <xdr:col>26</xdr:col>
      <xdr:colOff>89226</xdr:colOff>
      <xdr:row>1</xdr:row>
      <xdr:rowOff>0</xdr:rowOff>
    </xdr:from>
    <xdr:to>
      <xdr:col>26</xdr:col>
      <xdr:colOff>348163</xdr:colOff>
      <xdr:row>2</xdr:row>
      <xdr:rowOff>99817</xdr:rowOff>
    </xdr:to>
    <xdr:pic>
      <xdr:nvPicPr>
        <xdr:cNvPr id="7"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2" name="Group 1">
          <a:extLst>
            <a:ext uri="{FF2B5EF4-FFF2-40B4-BE49-F238E27FC236}">
              <a16:creationId xmlns:a16="http://schemas.microsoft.com/office/drawing/2014/main" id="{679F8DD5-63F3-23EC-6D97-5467E4F1396C}"/>
            </a:ext>
          </a:extLst>
        </xdr:cNvPr>
        <xdr:cNvGrpSpPr/>
      </xdr:nvGrpSpPr>
      <xdr:grpSpPr>
        <a:xfrm>
          <a:off x="24815800" y="165100"/>
          <a:ext cx="1697892" cy="285953"/>
          <a:chOff x="20320000" y="165100"/>
          <a:chExt cx="1697892" cy="285953"/>
        </a:xfrm>
      </xdr:grpSpPr>
      <xdr:sp macro="" textlink="Names!BG2">
        <xdr:nvSpPr>
          <xdr:cNvPr id="10" name="Rounded Rectangle 9">
            <a:hlinkClick xmlns:r="http://schemas.openxmlformats.org/officeDocument/2006/relationships" r:id="rId1"/>
            <a:extLst>
              <a:ext uri="{FF2B5EF4-FFF2-40B4-BE49-F238E27FC236}">
                <a16:creationId xmlns:a16="http://schemas.microsoft.com/office/drawing/2014/main" id="{00000000-0008-0000-0400-00000A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11"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5" name="Group 4">
          <a:extLst>
            <a:ext uri="{FF2B5EF4-FFF2-40B4-BE49-F238E27FC236}">
              <a16:creationId xmlns:a16="http://schemas.microsoft.com/office/drawing/2014/main" id="{4A3D49E7-1E55-B171-17C9-FC9596DF9C0D}"/>
            </a:ext>
          </a:extLst>
        </xdr:cNvPr>
        <xdr:cNvGrpSpPr/>
      </xdr:nvGrpSpPr>
      <xdr:grpSpPr>
        <a:xfrm>
          <a:off x="24892000" y="165100"/>
          <a:ext cx="1697892" cy="285953"/>
          <a:chOff x="17868900" y="165100"/>
          <a:chExt cx="1697892" cy="285953"/>
        </a:xfrm>
      </xdr:grpSpPr>
      <xdr:sp macro="" textlink="Names!BG2">
        <xdr:nvSpPr>
          <xdr:cNvPr id="3" name="Rounded Rectangle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78689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4"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7958126" y="165100"/>
            <a:ext cx="258937" cy="26491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1</xdr:row>
      <xdr:rowOff>689</xdr:rowOff>
    </xdr:from>
    <xdr:to>
      <xdr:col>28</xdr:col>
      <xdr:colOff>46892</xdr:colOff>
      <xdr:row>2</xdr:row>
      <xdr:rowOff>120853</xdr:rowOff>
    </xdr:to>
    <xdr:sp macro="" textlink="Names!BG2">
      <xdr:nvSpPr>
        <xdr:cNvPr id="3" name="Rounded Rectangle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clientData/>
  </xdr:twoCellAnchor>
  <xdr:twoCellAnchor>
    <xdr:from>
      <xdr:col>26</xdr:col>
      <xdr:colOff>89226</xdr:colOff>
      <xdr:row>1</xdr:row>
      <xdr:rowOff>0</xdr:rowOff>
    </xdr:from>
    <xdr:to>
      <xdr:col>26</xdr:col>
      <xdr:colOff>348163</xdr:colOff>
      <xdr:row>2</xdr:row>
      <xdr:rowOff>99817</xdr:rowOff>
    </xdr:to>
    <xdr:pic>
      <xdr:nvPicPr>
        <xdr:cNvPr id="4"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3" name="Group 2">
          <a:extLst>
            <a:ext uri="{FF2B5EF4-FFF2-40B4-BE49-F238E27FC236}">
              <a16:creationId xmlns:a16="http://schemas.microsoft.com/office/drawing/2014/main" id="{0C723D28-58AE-6E76-5DD0-F484CB9ACF33}"/>
            </a:ext>
          </a:extLst>
        </xdr:cNvPr>
        <xdr:cNvGrpSpPr/>
      </xdr:nvGrpSpPr>
      <xdr:grpSpPr>
        <a:xfrm>
          <a:off x="24892000" y="165100"/>
          <a:ext cx="1697892" cy="285953"/>
          <a:chOff x="20320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3" name="Group 2">
          <a:extLst>
            <a:ext uri="{FF2B5EF4-FFF2-40B4-BE49-F238E27FC236}">
              <a16:creationId xmlns:a16="http://schemas.microsoft.com/office/drawing/2014/main" id="{B121FB15-71CC-DEA7-AA16-EDCC28DB889C}"/>
            </a:ext>
          </a:extLst>
        </xdr:cNvPr>
        <xdr:cNvGrpSpPr/>
      </xdr:nvGrpSpPr>
      <xdr:grpSpPr>
        <a:xfrm>
          <a:off x="24892000" y="165100"/>
          <a:ext cx="1697892" cy="285953"/>
          <a:chOff x="20320000" y="165100"/>
          <a:chExt cx="1697892" cy="285953"/>
        </a:xfrm>
      </xdr:grpSpPr>
      <xdr:sp macro="" textlink="Names!BG2">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5"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46892</xdr:colOff>
      <xdr:row>2</xdr:row>
      <xdr:rowOff>120853</xdr:rowOff>
    </xdr:to>
    <xdr:grpSp>
      <xdr:nvGrpSpPr>
        <xdr:cNvPr id="2" name="Group 1">
          <a:extLst>
            <a:ext uri="{FF2B5EF4-FFF2-40B4-BE49-F238E27FC236}">
              <a16:creationId xmlns:a16="http://schemas.microsoft.com/office/drawing/2014/main" id="{265CE1C3-B331-63E6-63D6-2C46E066F549}"/>
            </a:ext>
          </a:extLst>
        </xdr:cNvPr>
        <xdr:cNvGrpSpPr/>
      </xdr:nvGrpSpPr>
      <xdr:grpSpPr>
        <a:xfrm>
          <a:off x="24892000" y="165100"/>
          <a:ext cx="1697892" cy="285953"/>
          <a:chOff x="20320000" y="165100"/>
          <a:chExt cx="1697892" cy="285953"/>
        </a:xfrm>
      </xdr:grpSpPr>
      <xdr:sp macro="" textlink="Names!BG2">
        <xdr:nvSpPr>
          <xdr:cNvPr id="5" name="Rounded Rectangle 4">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a:off x="20320000" y="165789"/>
            <a:ext cx="1697892" cy="285264"/>
          </a:xfrm>
          <a:prstGeom prst="roundRect">
            <a:avLst/>
          </a:prstGeom>
          <a:solidFill>
            <a:srgbClr val="EB71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fld id="{2F8A604F-875A-1E47-A32D-C4FBF7F058CF}" type="TxLink">
              <a:rPr lang="en-US" sz="1100" b="1" i="0" u="none" strike="noStrike">
                <a:solidFill>
                  <a:schemeClr val="bg1"/>
                </a:solidFill>
                <a:latin typeface="Calibri"/>
                <a:cs typeface="Calibri"/>
              </a:rPr>
              <a:pPr algn="ctr"/>
              <a:t>    Back to summary</a:t>
            </a:fld>
            <a:endParaRPr lang="en-US" sz="1100" b="1">
              <a:solidFill>
                <a:schemeClr val="bg1"/>
              </a:solidFill>
            </a:endParaRPr>
          </a:p>
        </xdr:txBody>
      </xdr:sp>
      <xdr:pic>
        <xdr:nvPicPr>
          <xdr:cNvPr id="6" name="Gráfico 4" descr="Seta de linha: retorno na horizontal com preenchimento sólido">
            <a:hlinkClick xmlns:r="http://schemas.openxmlformats.org/officeDocument/2006/relationships" r:id="rId1"/>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20409226" y="165100"/>
            <a:ext cx="258937" cy="264917"/>
          </a:xfrm>
          <a:prstGeom prst="rect">
            <a:avLst/>
          </a:prstGeom>
        </xdr:spPr>
      </xdr:pic>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hyperlink" Target="https://www.bcb.gov.br/estabilidadefinanceira/estatisticaspix" TargetMode="External"/><Relationship Id="rId2" Type="http://schemas.openxmlformats.org/officeDocument/2006/relationships/hyperlink" Target="https://www.bcb.gov.br/acessoinformacao/ccsestatisticas" TargetMode="External"/><Relationship Id="rId1" Type="http://schemas.openxmlformats.org/officeDocument/2006/relationships/hyperlink" Target="https://www.bcb.gov.br/acessoinformacao/ccsestatisticas" TargetMode="External"/><Relationship Id="rId6" Type="http://schemas.openxmlformats.org/officeDocument/2006/relationships/drawing" Target="../drawings/drawing20.xml"/><Relationship Id="rId5" Type="http://schemas.openxmlformats.org/officeDocument/2006/relationships/hyperlink" Target="https://www3.bcb.gov.br/sgspub/localizarseries/localizarSeries.do?method=prepararTelaLocalizarSeries" TargetMode="External"/><Relationship Id="rId4" Type="http://schemas.openxmlformats.org/officeDocument/2006/relationships/hyperlink" Target="https://www.abecs.org.br/graficos" TargetMode="Externa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D5ED0-FFAF-DE43-BD1B-4F127E097C3D}">
  <dimension ref="A1:BW108"/>
  <sheetViews>
    <sheetView showGridLines="0" topLeftCell="AF1" zoomScale="119" zoomScaleNormal="100" workbookViewId="0">
      <selection activeCell="AK12" sqref="AK12"/>
    </sheetView>
  </sheetViews>
  <sheetFormatPr baseColWidth="10" defaultColWidth="11.5" defaultRowHeight="15"/>
  <cols>
    <col min="1" max="1" width="17" style="515" customWidth="1"/>
    <col min="2" max="2" width="8.83203125" style="515" bestFit="1" customWidth="1"/>
    <col min="3" max="3" width="17" style="516" bestFit="1" customWidth="1"/>
    <col min="4" max="8" width="17" style="515" customWidth="1"/>
    <col min="9" max="9" width="15" style="515" bestFit="1" customWidth="1"/>
    <col min="10" max="10" width="16" style="515" bestFit="1" customWidth="1"/>
    <col min="11" max="11" width="38.1640625" style="515" bestFit="1" customWidth="1"/>
    <col min="12" max="12" width="47.6640625" style="515" bestFit="1" customWidth="1"/>
    <col min="13" max="13" width="36.5" style="515" bestFit="1" customWidth="1"/>
    <col min="14" max="14" width="46.83203125" style="515" bestFit="1" customWidth="1"/>
    <col min="15" max="15" width="53.5" style="515" bestFit="1" customWidth="1"/>
    <col min="16" max="16" width="59.5" style="515" bestFit="1" customWidth="1"/>
    <col min="17" max="17" width="41" style="515" bestFit="1" customWidth="1"/>
    <col min="18" max="18" width="40.33203125" style="515" customWidth="1"/>
    <col min="19" max="19" width="32.6640625" style="515" bestFit="1" customWidth="1"/>
    <col min="20" max="20" width="36.5" style="515" bestFit="1" customWidth="1"/>
    <col min="21" max="22" width="39.6640625" style="515" bestFit="1" customWidth="1"/>
    <col min="23" max="23" width="53.1640625" style="515" bestFit="1" customWidth="1"/>
    <col min="24" max="24" width="45.6640625" style="515" bestFit="1" customWidth="1"/>
    <col min="25" max="25" width="54.5" style="515" bestFit="1" customWidth="1"/>
    <col min="26" max="26" width="58.1640625" style="515" bestFit="1" customWidth="1"/>
    <col min="27" max="27" width="75.5" style="515" bestFit="1" customWidth="1"/>
    <col min="28" max="31" width="75.5" style="515" customWidth="1"/>
    <col min="32" max="32" width="30" style="515" bestFit="1" customWidth="1"/>
    <col min="33" max="33" width="27.6640625" style="515" bestFit="1" customWidth="1"/>
    <col min="34" max="34" width="32.6640625" style="515" bestFit="1" customWidth="1"/>
    <col min="35" max="35" width="43.33203125" style="515" bestFit="1" customWidth="1"/>
    <col min="36" max="37" width="28" style="515" customWidth="1"/>
    <col min="38" max="38" width="27.83203125" style="515" bestFit="1" customWidth="1"/>
    <col min="39" max="39" width="39.1640625" style="515" bestFit="1" customWidth="1"/>
    <col min="40" max="40" width="31.83203125" style="515" bestFit="1" customWidth="1"/>
    <col min="41" max="41" width="31.1640625" style="515" bestFit="1" customWidth="1"/>
    <col min="42" max="42" width="44.1640625" style="515" bestFit="1" customWidth="1"/>
    <col min="43" max="43" width="49.83203125" style="515" bestFit="1" customWidth="1"/>
    <col min="44" max="44" width="25.33203125" style="515" customWidth="1"/>
    <col min="45" max="45" width="14.5" style="515" bestFit="1" customWidth="1"/>
    <col min="46" max="46" width="218.6640625" style="515" bestFit="1" customWidth="1"/>
    <col min="47" max="47" width="110.6640625" style="515" bestFit="1" customWidth="1"/>
    <col min="48" max="48" width="36" style="515" bestFit="1" customWidth="1"/>
    <col min="49" max="49" width="39.5" style="515" bestFit="1" customWidth="1"/>
    <col min="50" max="50" width="45.1640625" style="515" bestFit="1" customWidth="1"/>
    <col min="51" max="51" width="27.1640625" style="515" bestFit="1" customWidth="1"/>
    <col min="52" max="63" width="11.5" style="515"/>
    <col min="64" max="64" width="25.83203125" style="515" bestFit="1" customWidth="1"/>
    <col min="65" max="67" width="11.5" style="515"/>
    <col min="68" max="68" width="43" style="515" customWidth="1"/>
    <col min="69" max="69" width="255.83203125" style="515" bestFit="1" customWidth="1"/>
    <col min="70" max="70" width="27.1640625" style="515" bestFit="1" customWidth="1"/>
    <col min="71" max="71" width="34.1640625" style="515" bestFit="1" customWidth="1"/>
    <col min="72" max="72" width="129.6640625" style="515" bestFit="1" customWidth="1"/>
    <col min="73" max="73" width="11.5" style="515"/>
    <col min="74" max="74" width="28.5" style="515" bestFit="1" customWidth="1"/>
    <col min="75" max="75" width="27.1640625" style="515" bestFit="1" customWidth="1"/>
    <col min="76" max="16384" width="11.5" style="515"/>
  </cols>
  <sheetData>
    <row r="1" spans="1:75">
      <c r="A1" s="515" t="s">
        <v>0</v>
      </c>
      <c r="B1" s="515" t="s">
        <v>1</v>
      </c>
      <c r="C1" s="516" t="s">
        <v>2</v>
      </c>
      <c r="D1" s="515" t="s">
        <v>3</v>
      </c>
      <c r="E1" s="515" t="s">
        <v>4</v>
      </c>
      <c r="F1" s="515" t="s">
        <v>5</v>
      </c>
      <c r="G1" s="515" t="s">
        <v>6</v>
      </c>
      <c r="H1" s="515" t="s">
        <v>7</v>
      </c>
      <c r="I1" s="515" t="s">
        <v>8</v>
      </c>
      <c r="J1" s="515" t="s">
        <v>9</v>
      </c>
      <c r="K1" s="515" t="s">
        <v>10</v>
      </c>
      <c r="L1" s="515" t="s">
        <v>11</v>
      </c>
      <c r="M1" s="515" t="s">
        <v>12</v>
      </c>
      <c r="N1" s="515" t="s">
        <v>13</v>
      </c>
      <c r="O1" s="515" t="s">
        <v>14</v>
      </c>
      <c r="P1" s="515" t="s">
        <v>15</v>
      </c>
      <c r="Q1" s="515" t="s">
        <v>16</v>
      </c>
      <c r="R1" s="515" t="s">
        <v>17</v>
      </c>
      <c r="S1" s="515" t="s">
        <v>18</v>
      </c>
      <c r="T1" s="515" t="s">
        <v>19</v>
      </c>
      <c r="U1" s="515" t="s">
        <v>20</v>
      </c>
      <c r="V1" s="515" t="s">
        <v>20</v>
      </c>
      <c r="W1" s="515" t="s">
        <v>21</v>
      </c>
      <c r="X1" s="515" t="s">
        <v>22</v>
      </c>
      <c r="Y1" s="515" t="s">
        <v>23</v>
      </c>
      <c r="Z1" s="515" t="s">
        <v>24</v>
      </c>
      <c r="AA1" s="515" t="s">
        <v>25</v>
      </c>
      <c r="AB1" s="515" t="s">
        <v>26</v>
      </c>
      <c r="AC1" s="515" t="s">
        <v>27</v>
      </c>
      <c r="AD1" s="515" t="s">
        <v>28</v>
      </c>
      <c r="AE1" s="515" t="s">
        <v>28</v>
      </c>
      <c r="AF1" s="515" t="s">
        <v>29</v>
      </c>
      <c r="AG1" s="515" t="s">
        <v>30</v>
      </c>
      <c r="AH1" s="515" t="s">
        <v>31</v>
      </c>
      <c r="AI1" s="515" t="s">
        <v>32</v>
      </c>
      <c r="AJ1" s="515" t="s">
        <v>33</v>
      </c>
      <c r="AK1" s="515" t="s">
        <v>34</v>
      </c>
      <c r="AL1" s="515" t="s">
        <v>35</v>
      </c>
      <c r="AM1" s="515" t="s">
        <v>36</v>
      </c>
      <c r="AN1" s="515" t="s">
        <v>37</v>
      </c>
      <c r="AO1" s="515" t="s">
        <v>38</v>
      </c>
      <c r="AP1" s="515" t="s">
        <v>39</v>
      </c>
      <c r="AQ1" s="515" t="s">
        <v>40</v>
      </c>
      <c r="AR1" s="517" t="s">
        <v>41</v>
      </c>
      <c r="AS1" s="517" t="s">
        <v>42</v>
      </c>
      <c r="AT1" s="515" t="s">
        <v>43</v>
      </c>
      <c r="AU1" s="515" t="s">
        <v>44</v>
      </c>
      <c r="AV1" s="515" t="s">
        <v>45</v>
      </c>
      <c r="AW1" s="515" t="s">
        <v>46</v>
      </c>
      <c r="AX1" s="515" t="s">
        <v>47</v>
      </c>
      <c r="AY1" s="515" t="s">
        <v>48</v>
      </c>
      <c r="BB1" s="515" t="s">
        <v>49</v>
      </c>
      <c r="BC1" s="515" t="s">
        <v>50</v>
      </c>
      <c r="BG1" s="515" t="str">
        <f>IF('Summary | Sumário'!$D$6=Names!$B$3,Names!$AR$1,Names!$AS$1)</f>
        <v>Back to summary</v>
      </c>
      <c r="BI1" s="515" t="str">
        <f>IF('Summary | Sumário'!$D$6=Names!$B$3,Names!$G$2,Names!$H$2)</f>
        <v>Operational Data</v>
      </c>
      <c r="BL1" s="515" t="s">
        <v>51</v>
      </c>
      <c r="BM1" s="515" t="s">
        <v>52</v>
      </c>
      <c r="BP1" s="518" t="s">
        <v>53</v>
      </c>
      <c r="BQ1" s="515" t="s">
        <v>54</v>
      </c>
      <c r="BR1" s="515" t="s">
        <v>55</v>
      </c>
      <c r="BS1" s="515" t="s">
        <v>56</v>
      </c>
      <c r="BV1" s="515" t="s">
        <v>57</v>
      </c>
      <c r="BW1" s="515" t="s">
        <v>58</v>
      </c>
    </row>
    <row r="2" spans="1:75" ht="14" customHeight="1">
      <c r="A2" s="515">
        <v>1</v>
      </c>
      <c r="B2" s="515" t="s">
        <v>59</v>
      </c>
      <c r="C2" s="516">
        <v>2019</v>
      </c>
      <c r="D2" s="516">
        <v>2019</v>
      </c>
      <c r="E2" s="516" t="s">
        <v>60</v>
      </c>
      <c r="F2" s="516" t="s">
        <v>61</v>
      </c>
      <c r="G2" s="516" t="s">
        <v>62</v>
      </c>
      <c r="H2" s="516" t="s">
        <v>63</v>
      </c>
      <c r="I2" s="515" t="s">
        <v>64</v>
      </c>
      <c r="J2" s="515" t="s">
        <v>65</v>
      </c>
      <c r="K2" s="515" t="s">
        <v>66</v>
      </c>
      <c r="L2" s="515" t="s">
        <v>67</v>
      </c>
      <c r="M2" s="515" t="s">
        <v>68</v>
      </c>
      <c r="N2" s="515" t="s">
        <v>69</v>
      </c>
      <c r="O2" s="515" t="s">
        <v>70</v>
      </c>
      <c r="P2" s="515" t="s">
        <v>71</v>
      </c>
      <c r="Q2" s="515" t="s">
        <v>72</v>
      </c>
      <c r="R2" s="515" t="s">
        <v>73</v>
      </c>
      <c r="V2" s="515" t="s">
        <v>20</v>
      </c>
      <c r="W2" s="515" t="s">
        <v>74</v>
      </c>
      <c r="AB2" s="515" t="s">
        <v>75</v>
      </c>
      <c r="AC2" s="515" t="s">
        <v>76</v>
      </c>
      <c r="AD2" s="515" t="s">
        <v>77</v>
      </c>
      <c r="AE2" s="515" t="s">
        <v>77</v>
      </c>
      <c r="AJ2" s="515" t="s">
        <v>78</v>
      </c>
      <c r="AK2" s="515" t="s">
        <v>78</v>
      </c>
      <c r="AL2" s="515" t="s">
        <v>79</v>
      </c>
      <c r="AM2" s="515" t="s">
        <v>79</v>
      </c>
      <c r="AN2" s="515" t="s">
        <v>80</v>
      </c>
      <c r="AO2" s="515" t="s">
        <v>81</v>
      </c>
      <c r="AP2" s="515" t="s">
        <v>39</v>
      </c>
      <c r="AQ2" s="515" t="s">
        <v>82</v>
      </c>
      <c r="AT2" s="515" t="s">
        <v>83</v>
      </c>
      <c r="AU2" s="515" t="s">
        <v>84</v>
      </c>
      <c r="BG2" s="515" t="str">
        <f>_xlfn.CONCAT("    ",BG1)</f>
        <v xml:space="preserve">    Back to summary</v>
      </c>
      <c r="BI2" s="515" t="str">
        <f>IF('Summary | Sumário'!$D$6=Names!$B$3,Names!$G$3,Names!$H$3)</f>
        <v>Others</v>
      </c>
      <c r="BL2" s="515" t="s">
        <v>85</v>
      </c>
      <c r="BM2" s="515" t="s">
        <v>86</v>
      </c>
      <c r="BP2" s="519" t="s">
        <v>87</v>
      </c>
      <c r="BQ2" s="514" t="s">
        <v>88</v>
      </c>
      <c r="BR2" s="515" t="s">
        <v>89</v>
      </c>
      <c r="BS2" s="515" t="s">
        <v>90</v>
      </c>
    </row>
    <row r="3" spans="1:75">
      <c r="A3" s="515">
        <v>2</v>
      </c>
      <c r="B3" s="515" t="s">
        <v>91</v>
      </c>
      <c r="C3" s="516">
        <v>2020</v>
      </c>
      <c r="D3" s="516">
        <v>2020</v>
      </c>
      <c r="E3" s="516" t="s">
        <v>92</v>
      </c>
      <c r="F3" s="516" t="s">
        <v>93</v>
      </c>
      <c r="G3" s="516" t="s">
        <v>94</v>
      </c>
      <c r="H3" s="516" t="s">
        <v>95</v>
      </c>
      <c r="I3" s="515" t="s">
        <v>96</v>
      </c>
      <c r="J3" s="515" t="s">
        <v>97</v>
      </c>
      <c r="K3" s="515" t="s">
        <v>98</v>
      </c>
      <c r="L3" s="515" t="s">
        <v>99</v>
      </c>
      <c r="M3" s="515" t="s">
        <v>100</v>
      </c>
      <c r="N3" s="515" t="s">
        <v>101</v>
      </c>
      <c r="O3" s="515" t="s">
        <v>102</v>
      </c>
      <c r="P3" s="515" t="s">
        <v>103</v>
      </c>
      <c r="Q3" s="515" t="s">
        <v>104</v>
      </c>
      <c r="R3" s="515" t="s">
        <v>105</v>
      </c>
      <c r="S3" s="515" t="s">
        <v>106</v>
      </c>
      <c r="T3" s="515" t="s">
        <v>107</v>
      </c>
      <c r="U3" s="515" t="s">
        <v>108</v>
      </c>
      <c r="V3" s="515" t="s">
        <v>109</v>
      </c>
      <c r="W3" s="515" t="s">
        <v>110</v>
      </c>
      <c r="X3" s="515" t="s">
        <v>111</v>
      </c>
      <c r="Y3" s="515" t="s">
        <v>112</v>
      </c>
      <c r="Z3" s="515" t="s">
        <v>113</v>
      </c>
      <c r="AA3" s="515" t="s">
        <v>114</v>
      </c>
      <c r="AB3" s="515" t="s">
        <v>115</v>
      </c>
      <c r="AC3" s="515" t="s">
        <v>116</v>
      </c>
      <c r="AD3" s="515" t="s">
        <v>117</v>
      </c>
      <c r="AE3" s="515" t="s">
        <v>118</v>
      </c>
      <c r="AF3" s="515" t="s">
        <v>119</v>
      </c>
      <c r="AG3" s="515" t="s">
        <v>120</v>
      </c>
      <c r="AH3" s="515" t="s">
        <v>121</v>
      </c>
      <c r="AI3" s="515" t="s">
        <v>122</v>
      </c>
      <c r="AJ3" s="515" t="s">
        <v>123</v>
      </c>
      <c r="AK3" s="515" t="s">
        <v>124</v>
      </c>
      <c r="AL3" s="515" t="s">
        <v>125</v>
      </c>
      <c r="AM3" s="515" t="s">
        <v>126</v>
      </c>
      <c r="AN3" s="515" t="s">
        <v>127</v>
      </c>
      <c r="AO3" s="515" t="s">
        <v>128</v>
      </c>
      <c r="AP3" s="515" t="s">
        <v>129</v>
      </c>
      <c r="AQ3" s="515" t="s">
        <v>129</v>
      </c>
      <c r="AT3" s="515" t="s">
        <v>130</v>
      </c>
      <c r="AU3" s="515" t="s">
        <v>131</v>
      </c>
      <c r="AV3" s="515" t="s">
        <v>132</v>
      </c>
      <c r="AW3" s="515" t="s">
        <v>133</v>
      </c>
      <c r="AX3" s="515" t="s">
        <v>134</v>
      </c>
      <c r="AY3" s="515" t="s">
        <v>134</v>
      </c>
      <c r="BL3" s="515" t="s">
        <v>135</v>
      </c>
      <c r="BM3" s="515" t="s">
        <v>135</v>
      </c>
      <c r="BP3" s="518" t="s">
        <v>136</v>
      </c>
      <c r="BQ3" s="515" t="s">
        <v>137</v>
      </c>
      <c r="BV3" s="515" t="s">
        <v>138</v>
      </c>
      <c r="BW3" s="515" t="s">
        <v>138</v>
      </c>
    </row>
    <row r="4" spans="1:75">
      <c r="A4" s="515">
        <v>3</v>
      </c>
      <c r="C4" s="516">
        <v>2021</v>
      </c>
      <c r="D4" s="516">
        <v>2021</v>
      </c>
      <c r="E4" s="516" t="s">
        <v>139</v>
      </c>
      <c r="F4" s="516" t="s">
        <v>140</v>
      </c>
      <c r="G4" s="516"/>
      <c r="H4" s="516"/>
      <c r="I4" s="515" t="s">
        <v>141</v>
      </c>
      <c r="J4" s="515" t="s">
        <v>142</v>
      </c>
      <c r="K4" s="515" t="s">
        <v>143</v>
      </c>
      <c r="L4" s="515" t="s">
        <v>144</v>
      </c>
      <c r="M4" s="515" t="s">
        <v>145</v>
      </c>
      <c r="N4" s="515" t="s">
        <v>146</v>
      </c>
      <c r="O4" s="515" t="s">
        <v>147</v>
      </c>
      <c r="P4" s="515" t="s">
        <v>148</v>
      </c>
      <c r="Q4" s="515" t="s">
        <v>149</v>
      </c>
      <c r="R4" s="515" t="s">
        <v>150</v>
      </c>
      <c r="S4" s="515" t="s">
        <v>151</v>
      </c>
      <c r="T4" s="515" t="s">
        <v>152</v>
      </c>
      <c r="U4" s="515" t="s">
        <v>153</v>
      </c>
      <c r="V4" s="515" t="s">
        <v>154</v>
      </c>
      <c r="W4" s="515" t="s">
        <v>155</v>
      </c>
      <c r="X4" s="515" t="s">
        <v>156</v>
      </c>
      <c r="Y4" s="515" t="s">
        <v>157</v>
      </c>
      <c r="Z4" s="515" t="s">
        <v>158</v>
      </c>
      <c r="AA4" s="515" t="s">
        <v>159</v>
      </c>
      <c r="AB4" s="515" t="s">
        <v>160</v>
      </c>
      <c r="AC4" s="515" t="s">
        <v>161</v>
      </c>
      <c r="AD4" s="515" t="s">
        <v>162</v>
      </c>
      <c r="AE4" s="515" t="s">
        <v>163</v>
      </c>
      <c r="AF4" s="515" t="s">
        <v>164</v>
      </c>
      <c r="AG4" s="515" t="s">
        <v>165</v>
      </c>
      <c r="AH4" s="515" t="s">
        <v>166</v>
      </c>
      <c r="AI4" s="515" t="s">
        <v>167</v>
      </c>
      <c r="AJ4" s="515" t="s">
        <v>168</v>
      </c>
      <c r="AK4" s="515" t="s">
        <v>169</v>
      </c>
      <c r="AL4" s="515" t="s">
        <v>170</v>
      </c>
      <c r="AM4" s="515" t="s">
        <v>171</v>
      </c>
      <c r="AN4" s="515" t="s">
        <v>172</v>
      </c>
      <c r="AO4" s="515" t="s">
        <v>173</v>
      </c>
      <c r="AP4" s="515" t="s">
        <v>174</v>
      </c>
      <c r="AQ4" s="515" t="s">
        <v>174</v>
      </c>
      <c r="AT4" s="515" t="s">
        <v>175</v>
      </c>
      <c r="AU4" s="515" t="s">
        <v>176</v>
      </c>
      <c r="AV4" s="515" t="s">
        <v>177</v>
      </c>
      <c r="AW4" s="515" t="s">
        <v>178</v>
      </c>
      <c r="AX4" s="515" t="s">
        <v>179</v>
      </c>
      <c r="AY4" s="515" t="s">
        <v>180</v>
      </c>
      <c r="BL4" s="515" t="s">
        <v>181</v>
      </c>
      <c r="BM4" s="515" t="s">
        <v>181</v>
      </c>
      <c r="BP4" s="515" t="s">
        <v>96</v>
      </c>
      <c r="BQ4" s="515" t="s">
        <v>97</v>
      </c>
      <c r="BR4" s="518" t="s">
        <v>182</v>
      </c>
      <c r="BS4" s="518" t="s">
        <v>183</v>
      </c>
      <c r="BV4" s="515" t="s">
        <v>184</v>
      </c>
      <c r="BW4" s="515" t="s">
        <v>185</v>
      </c>
    </row>
    <row r="5" spans="1:75">
      <c r="A5" s="515">
        <v>4</v>
      </c>
      <c r="C5" s="516">
        <v>2022</v>
      </c>
      <c r="D5" s="516">
        <v>2022</v>
      </c>
      <c r="E5" s="516" t="s">
        <v>186</v>
      </c>
      <c r="F5" s="516" t="s">
        <v>187</v>
      </c>
      <c r="G5" s="516"/>
      <c r="H5" s="516"/>
      <c r="I5" s="515" t="s">
        <v>188</v>
      </c>
      <c r="J5" s="515" t="s">
        <v>188</v>
      </c>
      <c r="K5" s="515" t="s">
        <v>189</v>
      </c>
      <c r="L5" s="515" t="s">
        <v>190</v>
      </c>
      <c r="M5" s="515" t="s">
        <v>191</v>
      </c>
      <c r="N5" s="515" t="s">
        <v>192</v>
      </c>
      <c r="O5" s="515" t="s">
        <v>193</v>
      </c>
      <c r="P5" s="515" t="s">
        <v>194</v>
      </c>
      <c r="Q5" s="515" t="s">
        <v>195</v>
      </c>
      <c r="R5" s="515" t="s">
        <v>196</v>
      </c>
      <c r="S5" s="515" t="s">
        <v>197</v>
      </c>
      <c r="T5" s="515" t="s">
        <v>198</v>
      </c>
      <c r="U5" s="515" t="s">
        <v>199</v>
      </c>
      <c r="V5" s="515" t="s">
        <v>200</v>
      </c>
      <c r="W5" s="515" t="s">
        <v>201</v>
      </c>
      <c r="X5" s="515" t="s">
        <v>202</v>
      </c>
      <c r="Y5" s="515" t="s">
        <v>203</v>
      </c>
      <c r="Z5" s="515" t="s">
        <v>204</v>
      </c>
      <c r="AA5" s="515" t="s">
        <v>204</v>
      </c>
      <c r="AB5" s="515" t="s">
        <v>205</v>
      </c>
      <c r="AC5" s="515" t="s">
        <v>206</v>
      </c>
      <c r="AD5" s="515" t="s">
        <v>207</v>
      </c>
      <c r="AE5" s="515" t="s">
        <v>208</v>
      </c>
      <c r="AF5" s="515" t="s">
        <v>209</v>
      </c>
      <c r="AG5" s="515" t="s">
        <v>210</v>
      </c>
      <c r="AH5" s="515" t="s">
        <v>211</v>
      </c>
      <c r="AI5" s="515" t="s">
        <v>212</v>
      </c>
      <c r="AJ5" s="515" t="s">
        <v>213</v>
      </c>
      <c r="AK5" s="515" t="s">
        <v>214</v>
      </c>
      <c r="AL5" s="515" t="s">
        <v>215</v>
      </c>
      <c r="AM5" s="515" t="s">
        <v>216</v>
      </c>
      <c r="AN5" s="515" t="s">
        <v>217</v>
      </c>
      <c r="AO5" s="515" t="s">
        <v>142</v>
      </c>
      <c r="AP5" s="515" t="s">
        <v>218</v>
      </c>
      <c r="AQ5" s="515" t="s">
        <v>219</v>
      </c>
      <c r="AV5" s="515" t="s">
        <v>220</v>
      </c>
      <c r="AW5" s="515" t="s">
        <v>221</v>
      </c>
      <c r="AX5" s="515" t="s">
        <v>222</v>
      </c>
      <c r="AY5" s="515" t="s">
        <v>223</v>
      </c>
      <c r="BL5" s="515" t="s">
        <v>224</v>
      </c>
      <c r="BM5" s="515" t="s">
        <v>225</v>
      </c>
      <c r="BP5" s="515" t="s">
        <v>226</v>
      </c>
      <c r="BQ5" s="515" t="s">
        <v>227</v>
      </c>
      <c r="BR5" s="515" t="s">
        <v>228</v>
      </c>
      <c r="BS5" s="515" t="s">
        <v>229</v>
      </c>
      <c r="BT5" s="515" t="s">
        <v>230</v>
      </c>
      <c r="BV5" s="515" t="s">
        <v>231</v>
      </c>
      <c r="BW5" s="515" t="s">
        <v>232</v>
      </c>
    </row>
    <row r="6" spans="1:75">
      <c r="A6" s="515">
        <v>5</v>
      </c>
      <c r="C6" s="516" t="s">
        <v>139</v>
      </c>
      <c r="D6" s="516" t="s">
        <v>140</v>
      </c>
      <c r="E6" s="516" t="s">
        <v>233</v>
      </c>
      <c r="F6" s="516" t="s">
        <v>234</v>
      </c>
      <c r="G6" s="516"/>
      <c r="H6" s="516"/>
      <c r="I6" s="515" t="s">
        <v>235</v>
      </c>
      <c r="J6" s="515" t="s">
        <v>236</v>
      </c>
      <c r="K6" s="515" t="s">
        <v>237</v>
      </c>
      <c r="L6" s="515" t="s">
        <v>238</v>
      </c>
      <c r="M6" s="515" t="s">
        <v>106</v>
      </c>
      <c r="N6" s="515" t="s">
        <v>107</v>
      </c>
      <c r="O6" s="515" t="s">
        <v>239</v>
      </c>
      <c r="P6" s="515" t="s">
        <v>240</v>
      </c>
      <c r="Q6" s="515" t="s">
        <v>241</v>
      </c>
      <c r="R6" s="515" t="s">
        <v>242</v>
      </c>
      <c r="S6" s="515" t="s">
        <v>243</v>
      </c>
      <c r="T6" s="515" t="s">
        <v>244</v>
      </c>
      <c r="U6" s="515" t="s">
        <v>245</v>
      </c>
      <c r="V6" s="515" t="s">
        <v>246</v>
      </c>
      <c r="W6" s="515" t="s">
        <v>247</v>
      </c>
      <c r="X6" s="515" t="s">
        <v>248</v>
      </c>
      <c r="Y6" s="515" t="s">
        <v>249</v>
      </c>
      <c r="Z6" s="515" t="s">
        <v>191</v>
      </c>
      <c r="AA6" s="515" t="s">
        <v>192</v>
      </c>
      <c r="AB6" s="515" t="s">
        <v>102</v>
      </c>
      <c r="AC6" s="515" t="s">
        <v>103</v>
      </c>
      <c r="AD6" s="515" t="s">
        <v>250</v>
      </c>
      <c r="AE6" s="515" t="s">
        <v>250</v>
      </c>
      <c r="AF6" s="515" t="s">
        <v>220</v>
      </c>
      <c r="AG6" s="515" t="s">
        <v>221</v>
      </c>
      <c r="AH6" s="515" t="s">
        <v>68</v>
      </c>
      <c r="AI6" s="515" t="s">
        <v>192</v>
      </c>
      <c r="AJ6" s="515" t="s">
        <v>251</v>
      </c>
      <c r="AK6" s="515" t="s">
        <v>252</v>
      </c>
      <c r="AL6" s="515" t="s">
        <v>253</v>
      </c>
      <c r="AM6" s="515" t="s">
        <v>254</v>
      </c>
      <c r="AN6" s="515" t="s">
        <v>255</v>
      </c>
      <c r="AO6" s="515" t="s">
        <v>256</v>
      </c>
      <c r="AP6" s="515" t="s">
        <v>257</v>
      </c>
      <c r="AQ6" s="515" t="s">
        <v>258</v>
      </c>
      <c r="AV6" s="515" t="s">
        <v>259</v>
      </c>
      <c r="AW6" s="515" t="s">
        <v>260</v>
      </c>
      <c r="AX6" s="515" t="s">
        <v>261</v>
      </c>
      <c r="AY6" s="515" t="s">
        <v>261</v>
      </c>
      <c r="BL6" s="515" t="s">
        <v>262</v>
      </c>
      <c r="BM6" s="515" t="s">
        <v>263</v>
      </c>
      <c r="BP6" s="515" t="s">
        <v>264</v>
      </c>
      <c r="BQ6" s="515" t="s">
        <v>265</v>
      </c>
      <c r="BR6" s="515" t="s">
        <v>266</v>
      </c>
      <c r="BS6" s="515" t="s">
        <v>267</v>
      </c>
      <c r="BT6" s="515" t="s">
        <v>230</v>
      </c>
      <c r="BV6" s="515" t="s">
        <v>268</v>
      </c>
      <c r="BW6" s="515" t="s">
        <v>269</v>
      </c>
    </row>
    <row r="7" spans="1:75">
      <c r="A7" s="515">
        <v>6</v>
      </c>
      <c r="C7" s="516" t="s">
        <v>186</v>
      </c>
      <c r="D7" s="516" t="s">
        <v>187</v>
      </c>
      <c r="E7" s="516" t="s">
        <v>270</v>
      </c>
      <c r="F7" s="516" t="s">
        <v>271</v>
      </c>
      <c r="G7" s="516"/>
      <c r="H7" s="516"/>
      <c r="I7" s="515" t="s">
        <v>272</v>
      </c>
      <c r="J7" s="515" t="s">
        <v>21</v>
      </c>
      <c r="K7" s="515" t="s">
        <v>273</v>
      </c>
      <c r="L7" s="515" t="s">
        <v>274</v>
      </c>
      <c r="M7" s="515" t="s">
        <v>275</v>
      </c>
      <c r="N7" s="515" t="s">
        <v>276</v>
      </c>
      <c r="O7" s="515" t="s">
        <v>277</v>
      </c>
      <c r="P7" s="515" t="s">
        <v>278</v>
      </c>
      <c r="Q7" s="515" t="s">
        <v>279</v>
      </c>
      <c r="R7" s="515" t="s">
        <v>280</v>
      </c>
      <c r="S7" s="515" t="s">
        <v>281</v>
      </c>
      <c r="T7" s="515" t="s">
        <v>282</v>
      </c>
      <c r="U7" s="515" t="s">
        <v>119</v>
      </c>
      <c r="V7" s="515" t="s">
        <v>283</v>
      </c>
      <c r="W7" s="515" t="s">
        <v>284</v>
      </c>
      <c r="X7" s="515" t="s">
        <v>285</v>
      </c>
      <c r="Y7" s="515" t="s">
        <v>286</v>
      </c>
      <c r="Z7" s="515" t="s">
        <v>287</v>
      </c>
      <c r="AA7" s="515" t="s">
        <v>288</v>
      </c>
      <c r="AB7" s="515" t="s">
        <v>289</v>
      </c>
      <c r="AC7" s="515" t="s">
        <v>290</v>
      </c>
      <c r="AF7" s="515" t="s">
        <v>259</v>
      </c>
      <c r="AG7" s="515" t="s">
        <v>260</v>
      </c>
      <c r="AH7" s="515" t="s">
        <v>145</v>
      </c>
      <c r="AI7" s="515" t="s">
        <v>146</v>
      </c>
      <c r="AJ7" s="515" t="s">
        <v>291</v>
      </c>
      <c r="AK7" s="515" t="s">
        <v>291</v>
      </c>
      <c r="AL7" s="515" t="s">
        <v>292</v>
      </c>
      <c r="AM7" s="515" t="s">
        <v>293</v>
      </c>
      <c r="AP7" s="515" t="s">
        <v>294</v>
      </c>
      <c r="AQ7" s="515" t="s">
        <v>295</v>
      </c>
      <c r="AV7" s="515" t="s">
        <v>296</v>
      </c>
      <c r="AW7" s="515" t="s">
        <v>297</v>
      </c>
      <c r="AX7" s="515" t="s">
        <v>298</v>
      </c>
      <c r="AY7" s="515" t="s">
        <v>299</v>
      </c>
      <c r="BL7" s="515" t="s">
        <v>300</v>
      </c>
      <c r="BM7" s="515" t="s">
        <v>301</v>
      </c>
      <c r="BP7" s="515" t="s">
        <v>302</v>
      </c>
      <c r="BQ7" s="515" t="s">
        <v>303</v>
      </c>
      <c r="BV7" s="515" t="s">
        <v>304</v>
      </c>
      <c r="BW7" s="515" t="s">
        <v>305</v>
      </c>
    </row>
    <row r="8" spans="1:75">
      <c r="A8" s="515">
        <v>7</v>
      </c>
      <c r="C8" s="516" t="s">
        <v>233</v>
      </c>
      <c r="D8" s="516" t="s">
        <v>234</v>
      </c>
      <c r="E8" s="516" t="s">
        <v>306</v>
      </c>
      <c r="F8" s="516" t="s">
        <v>307</v>
      </c>
      <c r="G8" s="516"/>
      <c r="H8" s="516"/>
      <c r="I8" s="515" t="s">
        <v>108</v>
      </c>
      <c r="J8" s="515" t="s">
        <v>308</v>
      </c>
      <c r="K8" s="515" t="s">
        <v>309</v>
      </c>
      <c r="L8" s="515" t="s">
        <v>310</v>
      </c>
      <c r="M8" s="515" t="s">
        <v>311</v>
      </c>
      <c r="N8" s="515" t="s">
        <v>312</v>
      </c>
      <c r="O8" s="515" t="s">
        <v>313</v>
      </c>
      <c r="P8" s="515" t="s">
        <v>314</v>
      </c>
      <c r="Q8" s="515" t="s">
        <v>315</v>
      </c>
      <c r="R8" s="515" t="s">
        <v>316</v>
      </c>
      <c r="S8" s="515" t="s">
        <v>317</v>
      </c>
      <c r="T8" s="515" t="s">
        <v>95</v>
      </c>
      <c r="U8" s="515" t="s">
        <v>318</v>
      </c>
      <c r="V8" s="515" t="s">
        <v>319</v>
      </c>
      <c r="W8" s="515" t="s">
        <v>320</v>
      </c>
      <c r="X8" s="515" t="s">
        <v>321</v>
      </c>
      <c r="Y8" s="515" t="s">
        <v>322</v>
      </c>
      <c r="Z8" s="515" t="s">
        <v>323</v>
      </c>
      <c r="AA8" s="515" t="s">
        <v>324</v>
      </c>
      <c r="AB8" s="515" t="s">
        <v>325</v>
      </c>
      <c r="AC8" s="515" t="s">
        <v>326</v>
      </c>
      <c r="AD8" s="515" t="s">
        <v>283</v>
      </c>
      <c r="AE8" s="515" t="s">
        <v>284</v>
      </c>
      <c r="AF8" s="515" t="s">
        <v>296</v>
      </c>
      <c r="AG8" s="515" t="s">
        <v>297</v>
      </c>
      <c r="AH8" s="515" t="s">
        <v>106</v>
      </c>
      <c r="AI8" s="515" t="s">
        <v>107</v>
      </c>
      <c r="AJ8" s="515" t="s">
        <v>327</v>
      </c>
      <c r="AK8" s="515" t="s">
        <v>328</v>
      </c>
      <c r="AL8" s="515" t="s">
        <v>329</v>
      </c>
      <c r="AM8" s="515" t="s">
        <v>329</v>
      </c>
      <c r="AN8" s="515" t="s">
        <v>330</v>
      </c>
      <c r="AO8" s="515" t="s">
        <v>331</v>
      </c>
      <c r="AP8" s="515" t="s">
        <v>332</v>
      </c>
      <c r="AQ8" s="515" t="s">
        <v>333</v>
      </c>
      <c r="AV8" s="515" t="s">
        <v>334</v>
      </c>
      <c r="AW8" s="515" t="s">
        <v>335</v>
      </c>
      <c r="AX8" s="515" t="s">
        <v>336</v>
      </c>
      <c r="AY8" s="515" t="s">
        <v>337</v>
      </c>
      <c r="BL8" s="515" t="s">
        <v>338</v>
      </c>
      <c r="BM8" s="515" t="s">
        <v>338</v>
      </c>
      <c r="BP8" s="515" t="s">
        <v>77</v>
      </c>
      <c r="BQ8" s="515" t="s">
        <v>77</v>
      </c>
      <c r="BV8" s="515" t="s">
        <v>339</v>
      </c>
      <c r="BW8" s="515" t="s">
        <v>340</v>
      </c>
    </row>
    <row r="9" spans="1:75">
      <c r="A9" s="515">
        <v>8</v>
      </c>
      <c r="C9" s="516" t="s">
        <v>270</v>
      </c>
      <c r="D9" s="516" t="s">
        <v>271</v>
      </c>
      <c r="E9" s="516" t="s">
        <v>341</v>
      </c>
      <c r="F9" s="516" t="s">
        <v>342</v>
      </c>
      <c r="G9" s="516"/>
      <c r="H9" s="516"/>
      <c r="I9" s="515" t="s">
        <v>343</v>
      </c>
      <c r="J9" s="515" t="s">
        <v>343</v>
      </c>
      <c r="K9" s="515" t="s">
        <v>344</v>
      </c>
      <c r="L9" s="515" t="s">
        <v>345</v>
      </c>
      <c r="M9" s="515" t="s">
        <v>287</v>
      </c>
      <c r="N9" s="515" t="s">
        <v>288</v>
      </c>
      <c r="O9" s="515" t="s">
        <v>346</v>
      </c>
      <c r="P9" s="515" t="s">
        <v>347</v>
      </c>
      <c r="Q9" s="515" t="s">
        <v>348</v>
      </c>
      <c r="R9" s="515" t="s">
        <v>349</v>
      </c>
      <c r="S9" s="515" t="s">
        <v>350</v>
      </c>
      <c r="T9" s="515" t="s">
        <v>351</v>
      </c>
      <c r="U9" s="515" t="s">
        <v>352</v>
      </c>
      <c r="V9" s="515" t="s">
        <v>353</v>
      </c>
      <c r="W9" s="515" t="s">
        <v>354</v>
      </c>
      <c r="X9" s="515" t="s">
        <v>355</v>
      </c>
      <c r="Y9" s="515" t="s">
        <v>356</v>
      </c>
      <c r="Z9" s="515" t="s">
        <v>357</v>
      </c>
      <c r="AA9" s="515" t="s">
        <v>358</v>
      </c>
      <c r="AB9" s="515" t="s">
        <v>359</v>
      </c>
      <c r="AC9" s="515" t="s">
        <v>360</v>
      </c>
      <c r="AD9" s="515" t="s">
        <v>246</v>
      </c>
      <c r="AE9" s="515" t="s">
        <v>247</v>
      </c>
      <c r="AF9" s="515" t="s">
        <v>361</v>
      </c>
      <c r="AG9" s="515" t="s">
        <v>362</v>
      </c>
      <c r="AH9" s="515" t="s">
        <v>287</v>
      </c>
      <c r="AI9" s="515" t="s">
        <v>288</v>
      </c>
      <c r="AJ9" s="515" t="s">
        <v>363</v>
      </c>
      <c r="AK9" s="515" t="s">
        <v>364</v>
      </c>
      <c r="AL9" s="515" t="s">
        <v>365</v>
      </c>
      <c r="AM9" s="515" t="s">
        <v>365</v>
      </c>
      <c r="AN9" s="515" t="s">
        <v>366</v>
      </c>
      <c r="AO9" s="515" t="s">
        <v>305</v>
      </c>
      <c r="AP9" s="515" t="s">
        <v>367</v>
      </c>
      <c r="AQ9" s="515" t="s">
        <v>368</v>
      </c>
      <c r="AV9" s="515" t="s">
        <v>191</v>
      </c>
      <c r="AW9" s="515" t="s">
        <v>192</v>
      </c>
      <c r="AX9" s="515" t="s">
        <v>369</v>
      </c>
      <c r="AY9" s="515" t="s">
        <v>370</v>
      </c>
      <c r="BL9" s="515" t="s">
        <v>250</v>
      </c>
      <c r="BM9" s="515" t="s">
        <v>250</v>
      </c>
      <c r="BP9" s="515" t="s">
        <v>246</v>
      </c>
      <c r="BQ9" s="515" t="s">
        <v>247</v>
      </c>
      <c r="BR9" s="518" t="s">
        <v>371</v>
      </c>
      <c r="BS9" s="518" t="s">
        <v>371</v>
      </c>
      <c r="BV9" s="515" t="s">
        <v>372</v>
      </c>
      <c r="BW9" s="515" t="s">
        <v>373</v>
      </c>
    </row>
    <row r="10" spans="1:75">
      <c r="A10" s="515">
        <v>9</v>
      </c>
      <c r="C10" s="516" t="s">
        <v>306</v>
      </c>
      <c r="D10" s="516" t="s">
        <v>307</v>
      </c>
      <c r="E10" s="516" t="s">
        <v>374</v>
      </c>
      <c r="F10" s="516" t="s">
        <v>375</v>
      </c>
      <c r="G10" s="516"/>
      <c r="H10" s="516"/>
      <c r="I10" s="515" t="s">
        <v>245</v>
      </c>
      <c r="J10" s="515" t="s">
        <v>376</v>
      </c>
      <c r="K10" s="515" t="s">
        <v>377</v>
      </c>
      <c r="L10" s="515" t="s">
        <v>378</v>
      </c>
      <c r="M10" s="515" t="s">
        <v>379</v>
      </c>
      <c r="N10" s="515" t="s">
        <v>380</v>
      </c>
      <c r="O10" s="515" t="s">
        <v>381</v>
      </c>
      <c r="P10" s="515" t="s">
        <v>382</v>
      </c>
      <c r="Q10" s="515" t="s">
        <v>383</v>
      </c>
      <c r="R10" s="515" t="s">
        <v>384</v>
      </c>
      <c r="S10" s="515" t="s">
        <v>292</v>
      </c>
      <c r="T10" s="515" t="s">
        <v>385</v>
      </c>
      <c r="U10" s="515" t="s">
        <v>386</v>
      </c>
      <c r="V10" s="515" t="s">
        <v>387</v>
      </c>
      <c r="W10" s="515" t="s">
        <v>387</v>
      </c>
      <c r="X10" s="515" t="s">
        <v>388</v>
      </c>
      <c r="Y10" s="515" t="s">
        <v>389</v>
      </c>
      <c r="Z10" s="515" t="s">
        <v>143</v>
      </c>
      <c r="AA10" s="515" t="s">
        <v>144</v>
      </c>
      <c r="AD10" s="515" t="s">
        <v>226</v>
      </c>
      <c r="AE10" s="515" t="s">
        <v>227</v>
      </c>
      <c r="AF10" s="515" t="s">
        <v>390</v>
      </c>
      <c r="AG10" s="515" t="s">
        <v>391</v>
      </c>
      <c r="AH10" s="515" t="s">
        <v>379</v>
      </c>
      <c r="AI10" s="515" t="s">
        <v>380</v>
      </c>
      <c r="AN10" s="515" t="s">
        <v>268</v>
      </c>
      <c r="AO10" s="515" t="s">
        <v>269</v>
      </c>
      <c r="AP10" s="515" t="s">
        <v>392</v>
      </c>
      <c r="AQ10" s="515" t="s">
        <v>393</v>
      </c>
      <c r="AV10" s="515" t="s">
        <v>311</v>
      </c>
      <c r="AW10" s="515" t="s">
        <v>312</v>
      </c>
      <c r="AX10" s="515" t="s">
        <v>394</v>
      </c>
      <c r="AY10" s="515" t="s">
        <v>395</v>
      </c>
      <c r="BP10" s="515" t="s">
        <v>396</v>
      </c>
      <c r="BQ10" s="515" t="s">
        <v>397</v>
      </c>
      <c r="BR10" s="515" t="s">
        <v>398</v>
      </c>
      <c r="BS10" s="515" t="s">
        <v>398</v>
      </c>
      <c r="BV10" s="515" t="s">
        <v>399</v>
      </c>
      <c r="BW10" s="515" t="s">
        <v>400</v>
      </c>
    </row>
    <row r="11" spans="1:75">
      <c r="A11" s="515">
        <v>10</v>
      </c>
      <c r="C11" s="516" t="s">
        <v>341</v>
      </c>
      <c r="D11" s="516" t="s">
        <v>342</v>
      </c>
      <c r="E11" s="516" t="s">
        <v>401</v>
      </c>
      <c r="F11" s="516" t="s">
        <v>402</v>
      </c>
      <c r="G11" s="516"/>
      <c r="H11" s="516"/>
      <c r="I11" s="515" t="s">
        <v>403</v>
      </c>
      <c r="J11" s="515" t="s">
        <v>404</v>
      </c>
      <c r="K11" s="515" t="s">
        <v>405</v>
      </c>
      <c r="L11" s="515" t="s">
        <v>406</v>
      </c>
      <c r="M11" s="515" t="s">
        <v>407</v>
      </c>
      <c r="N11" s="515" t="s">
        <v>408</v>
      </c>
      <c r="O11" s="515" t="s">
        <v>309</v>
      </c>
      <c r="P11" s="515" t="s">
        <v>409</v>
      </c>
      <c r="Q11" s="515" t="s">
        <v>410</v>
      </c>
      <c r="R11" s="515" t="s">
        <v>411</v>
      </c>
      <c r="S11" s="515" t="s">
        <v>412</v>
      </c>
      <c r="T11" s="515" t="s">
        <v>412</v>
      </c>
      <c r="U11" s="515" t="s">
        <v>413</v>
      </c>
      <c r="V11" s="515" t="s">
        <v>414</v>
      </c>
      <c r="W11" s="515" t="s">
        <v>414</v>
      </c>
      <c r="X11" s="515" t="s">
        <v>415</v>
      </c>
      <c r="Y11" s="515" t="s">
        <v>416</v>
      </c>
      <c r="Z11" s="515" t="s">
        <v>237</v>
      </c>
      <c r="AA11" s="515" t="s">
        <v>238</v>
      </c>
      <c r="AB11" s="515" t="s">
        <v>417</v>
      </c>
      <c r="AC11" s="515" t="s">
        <v>417</v>
      </c>
      <c r="AD11" s="515" t="s">
        <v>418</v>
      </c>
      <c r="AE11" s="515" t="s">
        <v>419</v>
      </c>
      <c r="AF11" s="515" t="s">
        <v>420</v>
      </c>
      <c r="AG11" s="515" t="s">
        <v>421</v>
      </c>
      <c r="AH11" s="515" t="s">
        <v>422</v>
      </c>
      <c r="AI11" s="515" t="s">
        <v>423</v>
      </c>
      <c r="AN11" s="515" t="s">
        <v>339</v>
      </c>
      <c r="AO11" s="515" t="s">
        <v>340</v>
      </c>
      <c r="AV11" s="515" t="s">
        <v>287</v>
      </c>
      <c r="AW11" s="515" t="s">
        <v>288</v>
      </c>
      <c r="BL11" s="515" t="s">
        <v>96</v>
      </c>
      <c r="BM11" s="515" t="s">
        <v>97</v>
      </c>
      <c r="BP11" s="515" t="s">
        <v>64</v>
      </c>
      <c r="BQ11" s="515" t="s">
        <v>65</v>
      </c>
      <c r="BR11" s="515" t="s">
        <v>424</v>
      </c>
      <c r="BS11" s="515" t="s">
        <v>425</v>
      </c>
      <c r="BT11" s="515" t="s">
        <v>426</v>
      </c>
      <c r="BV11" s="515" t="s">
        <v>427</v>
      </c>
      <c r="BW11" s="515" t="s">
        <v>427</v>
      </c>
    </row>
    <row r="12" spans="1:75">
      <c r="A12" s="515">
        <v>11</v>
      </c>
      <c r="C12" s="516" t="s">
        <v>374</v>
      </c>
      <c r="D12" s="516" t="s">
        <v>375</v>
      </c>
      <c r="E12" s="516" t="s">
        <v>428</v>
      </c>
      <c r="F12" s="516" t="s">
        <v>429</v>
      </c>
      <c r="G12" s="516"/>
      <c r="H12" s="516"/>
      <c r="I12" s="515" t="s">
        <v>430</v>
      </c>
      <c r="J12" s="515" t="s">
        <v>430</v>
      </c>
      <c r="K12" s="515" t="s">
        <v>431</v>
      </c>
      <c r="L12" s="515" t="s">
        <v>432</v>
      </c>
      <c r="M12" s="515" t="s">
        <v>433</v>
      </c>
      <c r="N12" s="515" t="s">
        <v>434</v>
      </c>
      <c r="O12" s="515" t="s">
        <v>102</v>
      </c>
      <c r="P12" s="515" t="s">
        <v>103</v>
      </c>
      <c r="Q12" s="515" t="s">
        <v>100</v>
      </c>
      <c r="R12" s="515" t="s">
        <v>435</v>
      </c>
      <c r="S12" s="515" t="s">
        <v>275</v>
      </c>
      <c r="T12" s="515" t="s">
        <v>276</v>
      </c>
      <c r="V12" s="515" t="s">
        <v>77</v>
      </c>
      <c r="W12" s="515" t="s">
        <v>77</v>
      </c>
      <c r="X12" s="515" t="s">
        <v>436</v>
      </c>
      <c r="Y12" s="515" t="s">
        <v>437</v>
      </c>
      <c r="Z12" s="515" t="s">
        <v>309</v>
      </c>
      <c r="AA12" s="515" t="s">
        <v>409</v>
      </c>
      <c r="AB12" s="515" t="s">
        <v>115</v>
      </c>
      <c r="AC12" s="515" t="s">
        <v>116</v>
      </c>
      <c r="AD12" s="515" t="s">
        <v>438</v>
      </c>
      <c r="AE12" s="515" t="s">
        <v>439</v>
      </c>
      <c r="AF12" s="515" t="s">
        <v>440</v>
      </c>
      <c r="AG12" s="515" t="s">
        <v>441</v>
      </c>
      <c r="AH12" s="515" t="s">
        <v>442</v>
      </c>
      <c r="AI12" s="515" t="s">
        <v>391</v>
      </c>
      <c r="AJ12" s="515" t="s">
        <v>921</v>
      </c>
      <c r="AK12" s="515" t="s">
        <v>922</v>
      </c>
      <c r="AN12" s="515" t="s">
        <v>443</v>
      </c>
      <c r="AO12" s="515" t="s">
        <v>444</v>
      </c>
      <c r="AV12" s="515" t="s">
        <v>379</v>
      </c>
      <c r="AW12" s="515" t="s">
        <v>380</v>
      </c>
      <c r="BL12" s="515" t="s">
        <v>445</v>
      </c>
      <c r="BM12" s="515" t="s">
        <v>446</v>
      </c>
      <c r="BP12" s="515" t="s">
        <v>447</v>
      </c>
      <c r="BQ12" s="515" t="s">
        <v>448</v>
      </c>
      <c r="BR12" s="515" t="s">
        <v>449</v>
      </c>
      <c r="BS12" s="515" t="s">
        <v>450</v>
      </c>
      <c r="BT12" s="515" t="s">
        <v>426</v>
      </c>
    </row>
    <row r="13" spans="1:75">
      <c r="A13" s="515">
        <v>12</v>
      </c>
      <c r="C13" s="516" t="s">
        <v>401</v>
      </c>
      <c r="D13" s="516" t="s">
        <v>402</v>
      </c>
      <c r="E13" s="516" t="s">
        <v>451</v>
      </c>
      <c r="F13" s="515" t="s">
        <v>452</v>
      </c>
      <c r="G13" s="516"/>
      <c r="H13" s="516"/>
      <c r="I13" s="515" t="s">
        <v>453</v>
      </c>
      <c r="J13" s="515" t="s">
        <v>453</v>
      </c>
      <c r="K13" s="515" t="s">
        <v>454</v>
      </c>
      <c r="L13" s="515" t="s">
        <v>455</v>
      </c>
      <c r="M13" s="515" t="s">
        <v>160</v>
      </c>
      <c r="N13" s="515" t="s">
        <v>161</v>
      </c>
      <c r="O13" s="515" t="s">
        <v>456</v>
      </c>
      <c r="P13" s="515" t="s">
        <v>457</v>
      </c>
      <c r="Q13" s="515" t="s">
        <v>458</v>
      </c>
      <c r="R13" s="515" t="s">
        <v>459</v>
      </c>
      <c r="S13" s="515" t="s">
        <v>311</v>
      </c>
      <c r="T13" s="515" t="s">
        <v>312</v>
      </c>
      <c r="X13" s="515" t="s">
        <v>460</v>
      </c>
      <c r="Y13" s="515" t="s">
        <v>461</v>
      </c>
      <c r="Z13" s="515" t="s">
        <v>273</v>
      </c>
      <c r="AA13" s="515" t="s">
        <v>274</v>
      </c>
      <c r="AB13" s="515" t="s">
        <v>160</v>
      </c>
      <c r="AC13" s="515" t="s">
        <v>161</v>
      </c>
      <c r="AD13" s="515" t="s">
        <v>462</v>
      </c>
      <c r="AE13" s="515" t="s">
        <v>463</v>
      </c>
      <c r="AF13" s="515" t="s">
        <v>464</v>
      </c>
      <c r="AG13" s="515" t="s">
        <v>465</v>
      </c>
      <c r="AH13" s="515" t="s">
        <v>420</v>
      </c>
      <c r="AI13" s="515" t="s">
        <v>421</v>
      </c>
      <c r="AV13" s="515" t="s">
        <v>466</v>
      </c>
      <c r="AW13" s="515" t="s">
        <v>467</v>
      </c>
      <c r="BL13" s="515" t="s">
        <v>468</v>
      </c>
      <c r="BM13" s="515" t="s">
        <v>469</v>
      </c>
      <c r="BP13" s="515" t="s">
        <v>470</v>
      </c>
      <c r="BQ13" s="515" t="s">
        <v>471</v>
      </c>
    </row>
    <row r="14" spans="1:75">
      <c r="A14" s="515">
        <v>13</v>
      </c>
      <c r="C14" s="516" t="s">
        <v>428</v>
      </c>
      <c r="D14" s="516" t="s">
        <v>429</v>
      </c>
      <c r="E14" s="516" t="s">
        <v>472</v>
      </c>
      <c r="F14" s="516" t="s">
        <v>473</v>
      </c>
      <c r="G14" s="516"/>
      <c r="H14" s="516"/>
      <c r="I14" s="515" t="s">
        <v>474</v>
      </c>
      <c r="J14" s="515" t="s">
        <v>474</v>
      </c>
      <c r="K14" s="515" t="s">
        <v>475</v>
      </c>
      <c r="L14" s="515" t="s">
        <v>476</v>
      </c>
      <c r="M14" s="515" t="s">
        <v>220</v>
      </c>
      <c r="N14" s="515" t="s">
        <v>221</v>
      </c>
      <c r="O14" s="515" t="s">
        <v>309</v>
      </c>
      <c r="P14" s="515" t="s">
        <v>409</v>
      </c>
      <c r="Q14" s="515" t="s">
        <v>348</v>
      </c>
      <c r="R14" s="515" t="s">
        <v>349</v>
      </c>
      <c r="V14" s="515" t="s">
        <v>477</v>
      </c>
      <c r="W14" s="515" t="s">
        <v>478</v>
      </c>
      <c r="X14" s="515" t="s">
        <v>479</v>
      </c>
      <c r="Y14" s="515" t="s">
        <v>480</v>
      </c>
      <c r="Z14" s="515" t="s">
        <v>481</v>
      </c>
      <c r="AA14" s="515" t="s">
        <v>482</v>
      </c>
      <c r="AB14" s="515" t="s">
        <v>205</v>
      </c>
      <c r="AC14" s="515" t="s">
        <v>206</v>
      </c>
      <c r="AD14" s="515" t="s">
        <v>483</v>
      </c>
      <c r="AE14" s="515" t="s">
        <v>484</v>
      </c>
      <c r="AH14" s="515" t="s">
        <v>485</v>
      </c>
      <c r="AI14" s="515" t="s">
        <v>441</v>
      </c>
      <c r="AV14" s="515" t="s">
        <v>486</v>
      </c>
      <c r="AW14" s="515" t="s">
        <v>487</v>
      </c>
      <c r="BL14" s="515" t="s">
        <v>488</v>
      </c>
      <c r="BM14" s="515" t="s">
        <v>489</v>
      </c>
      <c r="BP14" s="515" t="s">
        <v>490</v>
      </c>
      <c r="BQ14" s="515" t="s">
        <v>491</v>
      </c>
      <c r="BR14" s="515" t="s">
        <v>492</v>
      </c>
      <c r="BS14" s="515" t="s">
        <v>492</v>
      </c>
    </row>
    <row r="15" spans="1:75" ht="16">
      <c r="A15" s="515">
        <v>14</v>
      </c>
      <c r="C15" s="516" t="s">
        <v>451</v>
      </c>
      <c r="D15" s="515" t="s">
        <v>452</v>
      </c>
      <c r="E15" s="516" t="s">
        <v>493</v>
      </c>
      <c r="F15" s="516" t="s">
        <v>494</v>
      </c>
      <c r="I15" s="515" t="s">
        <v>495</v>
      </c>
      <c r="J15" s="515" t="s">
        <v>495</v>
      </c>
      <c r="K15" s="515" t="s">
        <v>496</v>
      </c>
      <c r="L15" s="515" t="s">
        <v>497</v>
      </c>
      <c r="M15" s="515" t="s">
        <v>296</v>
      </c>
      <c r="N15" s="515" t="s">
        <v>297</v>
      </c>
      <c r="O15" s="515" t="s">
        <v>498</v>
      </c>
      <c r="P15" s="515" t="s">
        <v>499</v>
      </c>
      <c r="Q15" s="515" t="s">
        <v>500</v>
      </c>
      <c r="R15" s="515" t="s">
        <v>501</v>
      </c>
      <c r="S15" s="515" t="s">
        <v>379</v>
      </c>
      <c r="T15" s="515" t="s">
        <v>380</v>
      </c>
      <c r="V15" s="515" t="s">
        <v>502</v>
      </c>
      <c r="W15" s="515" t="s">
        <v>503</v>
      </c>
      <c r="X15" s="515" t="s">
        <v>504</v>
      </c>
      <c r="Y15" s="515" t="s">
        <v>505</v>
      </c>
      <c r="AB15" s="515" t="s">
        <v>381</v>
      </c>
      <c r="AC15" s="515" t="s">
        <v>103</v>
      </c>
      <c r="AD15" s="515" t="s">
        <v>506</v>
      </c>
      <c r="AE15" s="515" t="s">
        <v>507</v>
      </c>
      <c r="AH15" s="515" t="s">
        <v>508</v>
      </c>
      <c r="AI15" s="515" t="s">
        <v>509</v>
      </c>
      <c r="BL15" s="515" t="s">
        <v>510</v>
      </c>
      <c r="BM15" s="515" t="s">
        <v>511</v>
      </c>
      <c r="BP15" s="515" t="s">
        <v>512</v>
      </c>
      <c r="BQ15" s="515" t="s">
        <v>512</v>
      </c>
      <c r="BR15" s="515" t="s">
        <v>513</v>
      </c>
      <c r="BS15" s="515" t="s">
        <v>514</v>
      </c>
      <c r="BT15" s="514" t="s">
        <v>515</v>
      </c>
    </row>
    <row r="16" spans="1:75" ht="16">
      <c r="A16" s="515">
        <v>15</v>
      </c>
      <c r="C16" s="516" t="s">
        <v>472</v>
      </c>
      <c r="D16" s="516" t="s">
        <v>473</v>
      </c>
      <c r="E16" s="516" t="s">
        <v>516</v>
      </c>
      <c r="F16" s="516" t="s">
        <v>517</v>
      </c>
      <c r="I16" s="515" t="s">
        <v>518</v>
      </c>
      <c r="J16" s="515" t="s">
        <v>519</v>
      </c>
      <c r="K16" s="515" t="s">
        <v>520</v>
      </c>
      <c r="L16" s="515" t="s">
        <v>521</v>
      </c>
      <c r="M16" s="515" t="s">
        <v>466</v>
      </c>
      <c r="N16" s="515" t="s">
        <v>522</v>
      </c>
      <c r="O16" s="515" t="s">
        <v>498</v>
      </c>
      <c r="P16" s="515" t="s">
        <v>499</v>
      </c>
      <c r="Q16" s="515" t="s">
        <v>226</v>
      </c>
      <c r="R16" s="515" t="s">
        <v>523</v>
      </c>
      <c r="S16" s="515" t="s">
        <v>524</v>
      </c>
      <c r="T16" s="515" t="s">
        <v>525</v>
      </c>
      <c r="X16" s="515" t="s">
        <v>526</v>
      </c>
      <c r="Y16" s="515" t="s">
        <v>527</v>
      </c>
      <c r="Z16" s="515" t="s">
        <v>528</v>
      </c>
      <c r="AA16" s="515" t="s">
        <v>529</v>
      </c>
      <c r="AB16" s="515" t="s">
        <v>530</v>
      </c>
      <c r="AC16" s="515" t="s">
        <v>290</v>
      </c>
      <c r="AD16" s="515" t="s">
        <v>531</v>
      </c>
      <c r="AE16" s="515" t="s">
        <v>532</v>
      </c>
      <c r="BP16" s="515" t="s">
        <v>387</v>
      </c>
      <c r="BQ16" s="515" t="s">
        <v>387</v>
      </c>
      <c r="BR16" s="515" t="s">
        <v>533</v>
      </c>
      <c r="BS16" s="515" t="s">
        <v>534</v>
      </c>
      <c r="BT16" s="514" t="s">
        <v>515</v>
      </c>
    </row>
    <row r="17" spans="1:72">
      <c r="A17" s="515">
        <v>16</v>
      </c>
      <c r="C17" s="516" t="s">
        <v>493</v>
      </c>
      <c r="D17" s="516" t="s">
        <v>494</v>
      </c>
      <c r="E17" s="516" t="s">
        <v>535</v>
      </c>
      <c r="F17" s="516" t="s">
        <v>536</v>
      </c>
      <c r="I17" s="515" t="s">
        <v>39</v>
      </c>
      <c r="J17" s="515" t="s">
        <v>40</v>
      </c>
      <c r="K17" s="515" t="s">
        <v>537</v>
      </c>
      <c r="L17" s="515" t="s">
        <v>538</v>
      </c>
      <c r="M17" s="515" t="s">
        <v>259</v>
      </c>
      <c r="N17" s="515" t="s">
        <v>260</v>
      </c>
      <c r="O17" s="515" t="s">
        <v>539</v>
      </c>
      <c r="P17" s="515" t="s">
        <v>540</v>
      </c>
      <c r="Q17" s="515" t="s">
        <v>541</v>
      </c>
      <c r="R17" s="515" t="s">
        <v>542</v>
      </c>
      <c r="S17" s="515" t="s">
        <v>543</v>
      </c>
      <c r="T17" s="515" t="s">
        <v>544</v>
      </c>
      <c r="X17" s="515" t="s">
        <v>545</v>
      </c>
      <c r="Y17" s="515" t="s">
        <v>546</v>
      </c>
      <c r="Z17" s="515" t="s">
        <v>158</v>
      </c>
      <c r="AA17" s="515" t="s">
        <v>159</v>
      </c>
      <c r="AB17" s="515" t="s">
        <v>77</v>
      </c>
      <c r="AC17" s="515" t="s">
        <v>326</v>
      </c>
      <c r="AD17" s="515" t="s">
        <v>300</v>
      </c>
      <c r="AE17" s="515" t="s">
        <v>301</v>
      </c>
      <c r="AH17" s="515" t="s">
        <v>547</v>
      </c>
      <c r="AI17" s="515" t="s">
        <v>548</v>
      </c>
      <c r="AV17" s="515" t="s">
        <v>549</v>
      </c>
      <c r="AW17" s="515" t="s">
        <v>550</v>
      </c>
      <c r="BL17" s="515" t="s">
        <v>551</v>
      </c>
      <c r="BM17" s="515" t="s">
        <v>552</v>
      </c>
      <c r="BP17" s="515" t="s">
        <v>506</v>
      </c>
      <c r="BQ17" s="520" t="s">
        <v>553</v>
      </c>
    </row>
    <row r="18" spans="1:72">
      <c r="A18" s="515">
        <v>17</v>
      </c>
      <c r="C18" s="516">
        <v>2023</v>
      </c>
      <c r="D18" s="516">
        <v>2023</v>
      </c>
      <c r="E18" s="516" t="s">
        <v>554</v>
      </c>
      <c r="F18" s="516" t="s">
        <v>555</v>
      </c>
      <c r="I18" s="515" t="s">
        <v>556</v>
      </c>
      <c r="J18" s="515" t="s">
        <v>556</v>
      </c>
      <c r="K18" s="515" t="s">
        <v>104</v>
      </c>
      <c r="L18" s="515" t="s">
        <v>105</v>
      </c>
      <c r="M18" s="515" t="s">
        <v>557</v>
      </c>
      <c r="N18" s="515" t="s">
        <v>558</v>
      </c>
      <c r="O18" s="515" t="s">
        <v>117</v>
      </c>
      <c r="P18" s="515" t="s">
        <v>118</v>
      </c>
      <c r="Q18" s="515" t="s">
        <v>418</v>
      </c>
      <c r="R18" s="515" t="s">
        <v>559</v>
      </c>
      <c r="S18" s="515" t="s">
        <v>560</v>
      </c>
      <c r="T18" s="515" t="s">
        <v>561</v>
      </c>
      <c r="X18" s="515" t="s">
        <v>562</v>
      </c>
      <c r="Y18" s="515" t="s">
        <v>563</v>
      </c>
      <c r="Z18" s="515" t="s">
        <v>204</v>
      </c>
      <c r="AA18" s="515" t="s">
        <v>204</v>
      </c>
      <c r="AD18" s="515" t="s">
        <v>564</v>
      </c>
      <c r="AE18" s="515" t="s">
        <v>565</v>
      </c>
      <c r="AH18" s="515" t="s">
        <v>566</v>
      </c>
      <c r="AI18" s="515" t="s">
        <v>567</v>
      </c>
      <c r="AV18" s="515" t="s">
        <v>220</v>
      </c>
      <c r="AW18" s="515" t="s">
        <v>221</v>
      </c>
      <c r="BL18" s="515" t="s">
        <v>568</v>
      </c>
      <c r="BM18" s="515" t="s">
        <v>569</v>
      </c>
      <c r="BP18" s="518" t="s">
        <v>570</v>
      </c>
      <c r="BQ18" s="518" t="s">
        <v>571</v>
      </c>
      <c r="BR18" s="515" t="s">
        <v>572</v>
      </c>
      <c r="BS18" s="515" t="s">
        <v>573</v>
      </c>
    </row>
    <row r="19" spans="1:72">
      <c r="A19" s="515">
        <v>18</v>
      </c>
      <c r="C19" s="516" t="s">
        <v>516</v>
      </c>
      <c r="D19" s="516" t="s">
        <v>517</v>
      </c>
      <c r="E19" s="516" t="s">
        <v>574</v>
      </c>
      <c r="F19" s="516" t="s">
        <v>575</v>
      </c>
      <c r="I19" s="515" t="s">
        <v>576</v>
      </c>
      <c r="J19" s="515" t="s">
        <v>577</v>
      </c>
      <c r="K19" s="515" t="s">
        <v>315</v>
      </c>
      <c r="L19" s="515" t="s">
        <v>316</v>
      </c>
      <c r="M19" s="515" t="s">
        <v>578</v>
      </c>
      <c r="N19" s="515" t="s">
        <v>579</v>
      </c>
      <c r="O19" s="515" t="s">
        <v>580</v>
      </c>
      <c r="P19" s="515" t="s">
        <v>581</v>
      </c>
      <c r="S19" s="515" t="s">
        <v>582</v>
      </c>
      <c r="T19" s="515" t="s">
        <v>583</v>
      </c>
      <c r="X19" s="515" t="s">
        <v>584</v>
      </c>
      <c r="Y19" s="515" t="s">
        <v>585</v>
      </c>
      <c r="Z19" s="515" t="s">
        <v>191</v>
      </c>
      <c r="AA19" s="515" t="s">
        <v>192</v>
      </c>
      <c r="AD19" s="515" t="s">
        <v>586</v>
      </c>
      <c r="AE19" s="515" t="s">
        <v>587</v>
      </c>
      <c r="AH19" s="515" t="s">
        <v>588</v>
      </c>
      <c r="AI19" s="515" t="s">
        <v>589</v>
      </c>
      <c r="AV19" s="515" t="s">
        <v>334</v>
      </c>
      <c r="AW19" s="515" t="s">
        <v>335</v>
      </c>
      <c r="BL19" s="515" t="s">
        <v>590</v>
      </c>
      <c r="BM19" s="515" t="s">
        <v>591</v>
      </c>
      <c r="BP19" s="515" t="s">
        <v>592</v>
      </c>
      <c r="BQ19" s="515" t="s">
        <v>593</v>
      </c>
    </row>
    <row r="20" spans="1:72">
      <c r="A20" s="515">
        <v>19</v>
      </c>
      <c r="C20" s="516" t="s">
        <v>535</v>
      </c>
      <c r="D20" s="516" t="s">
        <v>536</v>
      </c>
      <c r="I20" s="515" t="s">
        <v>594</v>
      </c>
      <c r="J20" s="515" t="s">
        <v>594</v>
      </c>
      <c r="K20" s="515" t="s">
        <v>595</v>
      </c>
      <c r="L20" s="515" t="s">
        <v>596</v>
      </c>
      <c r="M20" s="515" t="s">
        <v>597</v>
      </c>
      <c r="N20" s="515" t="s">
        <v>598</v>
      </c>
      <c r="O20" s="515" t="s">
        <v>599</v>
      </c>
      <c r="P20" s="515" t="s">
        <v>600</v>
      </c>
      <c r="Q20" s="515" t="s">
        <v>601</v>
      </c>
      <c r="R20" s="515" t="s">
        <v>602</v>
      </c>
      <c r="S20" s="515" t="s">
        <v>603</v>
      </c>
      <c r="T20" s="515" t="s">
        <v>604</v>
      </c>
      <c r="X20" s="515" t="s">
        <v>605</v>
      </c>
      <c r="Y20" s="515" t="s">
        <v>606</v>
      </c>
      <c r="Z20" s="515" t="s">
        <v>287</v>
      </c>
      <c r="AA20" s="515" t="s">
        <v>288</v>
      </c>
      <c r="AD20" s="515" t="s">
        <v>113</v>
      </c>
      <c r="AE20" s="515" t="s">
        <v>114</v>
      </c>
      <c r="AH20" s="515" t="s">
        <v>68</v>
      </c>
      <c r="AI20" s="515" t="s">
        <v>192</v>
      </c>
      <c r="AV20" s="515" t="s">
        <v>191</v>
      </c>
      <c r="AW20" s="515" t="s">
        <v>192</v>
      </c>
      <c r="BL20" s="515" t="s">
        <v>607</v>
      </c>
      <c r="BM20" s="515" t="s">
        <v>608</v>
      </c>
      <c r="BP20" s="515" t="s">
        <v>609</v>
      </c>
      <c r="BQ20" s="515" t="s">
        <v>609</v>
      </c>
      <c r="BR20" s="515" t="s">
        <v>610</v>
      </c>
      <c r="BS20" s="515" t="s">
        <v>611</v>
      </c>
      <c r="BT20" s="515" t="s">
        <v>916</v>
      </c>
    </row>
    <row r="21" spans="1:72">
      <c r="A21" s="515">
        <v>20</v>
      </c>
      <c r="C21" s="516" t="s">
        <v>554</v>
      </c>
      <c r="D21" s="516" t="s">
        <v>555</v>
      </c>
      <c r="I21" s="515" t="s">
        <v>612</v>
      </c>
      <c r="J21" s="515" t="s">
        <v>613</v>
      </c>
      <c r="K21" s="515" t="s">
        <v>614</v>
      </c>
      <c r="L21" s="515" t="s">
        <v>615</v>
      </c>
      <c r="M21" s="515" t="s">
        <v>616</v>
      </c>
      <c r="N21" s="515" t="s">
        <v>617</v>
      </c>
      <c r="O21" s="515" t="s">
        <v>618</v>
      </c>
      <c r="P21" s="515" t="s">
        <v>600</v>
      </c>
      <c r="Q21" s="515" t="s">
        <v>619</v>
      </c>
      <c r="R21" s="515" t="s">
        <v>620</v>
      </c>
      <c r="S21" s="515" t="s">
        <v>379</v>
      </c>
      <c r="T21" s="515" t="s">
        <v>380</v>
      </c>
      <c r="X21" s="515" t="s">
        <v>621</v>
      </c>
      <c r="Y21" s="515" t="s">
        <v>622</v>
      </c>
      <c r="Z21" s="515" t="s">
        <v>623</v>
      </c>
      <c r="AA21" s="515" t="s">
        <v>624</v>
      </c>
      <c r="AD21" s="515" t="s">
        <v>528</v>
      </c>
      <c r="AE21" s="515" t="s">
        <v>529</v>
      </c>
      <c r="AH21" s="515" t="s">
        <v>145</v>
      </c>
      <c r="AI21" s="515" t="s">
        <v>146</v>
      </c>
      <c r="AV21" s="515" t="s">
        <v>311</v>
      </c>
      <c r="AW21" s="515" t="s">
        <v>312</v>
      </c>
      <c r="BL21" s="515" t="s">
        <v>625</v>
      </c>
      <c r="BM21" s="515" t="s">
        <v>626</v>
      </c>
      <c r="BP21" s="515" t="s">
        <v>592</v>
      </c>
      <c r="BQ21" s="515" t="s">
        <v>593</v>
      </c>
    </row>
    <row r="22" spans="1:72">
      <c r="A22" s="515">
        <v>21</v>
      </c>
      <c r="C22" s="516" t="s">
        <v>574</v>
      </c>
      <c r="D22" s="516" t="s">
        <v>575</v>
      </c>
      <c r="I22" s="515" t="s">
        <v>627</v>
      </c>
      <c r="J22" s="515" t="s">
        <v>628</v>
      </c>
      <c r="K22" s="515" t="s">
        <v>629</v>
      </c>
      <c r="L22" s="515" t="s">
        <v>630</v>
      </c>
      <c r="M22" s="515" t="s">
        <v>631</v>
      </c>
      <c r="N22" s="515" t="s">
        <v>632</v>
      </c>
      <c r="O22" s="515" t="s">
        <v>633</v>
      </c>
      <c r="P22" s="515" t="s">
        <v>634</v>
      </c>
      <c r="Q22" s="515" t="s">
        <v>614</v>
      </c>
      <c r="R22" s="515" t="s">
        <v>615</v>
      </c>
      <c r="Z22" s="515" t="s">
        <v>635</v>
      </c>
      <c r="AA22" s="515" t="s">
        <v>636</v>
      </c>
      <c r="AD22" s="515" t="s">
        <v>597</v>
      </c>
      <c r="AE22" s="515" t="s">
        <v>598</v>
      </c>
      <c r="AH22" s="515" t="s">
        <v>106</v>
      </c>
      <c r="AI22" s="515" t="s">
        <v>107</v>
      </c>
      <c r="AV22" s="515" t="s">
        <v>287</v>
      </c>
      <c r="AW22" s="515" t="s">
        <v>288</v>
      </c>
      <c r="BP22" s="518" t="s">
        <v>637</v>
      </c>
      <c r="BQ22" s="515" t="s">
        <v>638</v>
      </c>
      <c r="BR22" s="515" t="s">
        <v>639</v>
      </c>
      <c r="BS22" s="515" t="s">
        <v>640</v>
      </c>
      <c r="BT22" s="515" t="s">
        <v>918</v>
      </c>
    </row>
    <row r="23" spans="1:72">
      <c r="A23" s="515">
        <v>22</v>
      </c>
      <c r="C23" s="516">
        <v>2024</v>
      </c>
      <c r="D23" s="516">
        <v>2024</v>
      </c>
      <c r="K23" s="515" t="s">
        <v>641</v>
      </c>
      <c r="L23" s="515" t="s">
        <v>642</v>
      </c>
      <c r="M23" s="515" t="s">
        <v>643</v>
      </c>
      <c r="N23" s="515" t="s">
        <v>644</v>
      </c>
      <c r="O23" s="515" t="s">
        <v>162</v>
      </c>
      <c r="P23" s="515" t="s">
        <v>163</v>
      </c>
      <c r="S23" s="515" t="s">
        <v>645</v>
      </c>
      <c r="T23" s="515" t="s">
        <v>646</v>
      </c>
      <c r="Z23" s="515" t="s">
        <v>143</v>
      </c>
      <c r="AA23" s="515" t="s">
        <v>144</v>
      </c>
      <c r="AD23" s="515" t="s">
        <v>647</v>
      </c>
      <c r="AE23" s="515" t="s">
        <v>648</v>
      </c>
      <c r="AH23" s="515" t="s">
        <v>287</v>
      </c>
      <c r="AI23" s="515" t="s">
        <v>288</v>
      </c>
      <c r="AV23" s="515" t="s">
        <v>379</v>
      </c>
      <c r="AW23" s="515" t="s">
        <v>380</v>
      </c>
      <c r="BL23" s="515" t="s">
        <v>649</v>
      </c>
      <c r="BM23" s="515" t="s">
        <v>650</v>
      </c>
      <c r="BP23" s="515" t="s">
        <v>651</v>
      </c>
      <c r="BQ23" s="515" t="s">
        <v>652</v>
      </c>
      <c r="BR23" s="515" t="s">
        <v>193</v>
      </c>
      <c r="BS23" s="515" t="s">
        <v>194</v>
      </c>
      <c r="BT23" s="515" t="s">
        <v>919</v>
      </c>
    </row>
    <row r="24" spans="1:72">
      <c r="A24" s="515">
        <v>23</v>
      </c>
      <c r="I24" s="515" t="s">
        <v>653</v>
      </c>
      <c r="J24" s="515" t="s">
        <v>654</v>
      </c>
      <c r="K24" s="515" t="s">
        <v>655</v>
      </c>
      <c r="L24" s="1" t="s">
        <v>656</v>
      </c>
      <c r="M24" s="515" t="s">
        <v>647</v>
      </c>
      <c r="N24" s="515" t="s">
        <v>648</v>
      </c>
      <c r="O24" s="515" t="s">
        <v>657</v>
      </c>
      <c r="P24" s="515" t="s">
        <v>658</v>
      </c>
      <c r="Q24" s="515" t="s">
        <v>659</v>
      </c>
      <c r="R24" s="515" t="s">
        <v>660</v>
      </c>
      <c r="S24" s="515" t="s">
        <v>311</v>
      </c>
      <c r="T24" s="515" t="s">
        <v>107</v>
      </c>
      <c r="Z24" s="515" t="s">
        <v>237</v>
      </c>
      <c r="AA24" s="515" t="s">
        <v>238</v>
      </c>
      <c r="AD24" s="515" t="s">
        <v>414</v>
      </c>
      <c r="AE24" s="515" t="s">
        <v>414</v>
      </c>
      <c r="AH24" s="515" t="s">
        <v>379</v>
      </c>
      <c r="AI24" s="515" t="s">
        <v>380</v>
      </c>
      <c r="AV24" s="515" t="s">
        <v>466</v>
      </c>
      <c r="AW24" s="515" t="s">
        <v>467</v>
      </c>
      <c r="BL24" s="515" t="s">
        <v>661</v>
      </c>
      <c r="BM24" s="515" t="s">
        <v>662</v>
      </c>
      <c r="BP24" s="515" t="s">
        <v>100</v>
      </c>
      <c r="BQ24" s="515" t="s">
        <v>101</v>
      </c>
      <c r="BR24" s="515" t="s">
        <v>663</v>
      </c>
      <c r="BS24" s="515" t="s">
        <v>148</v>
      </c>
      <c r="BT24" s="515" t="s">
        <v>917</v>
      </c>
    </row>
    <row r="25" spans="1:72">
      <c r="A25" s="515">
        <v>24</v>
      </c>
      <c r="I25" s="515" t="s">
        <v>664</v>
      </c>
      <c r="J25" s="515" t="s">
        <v>665</v>
      </c>
      <c r="K25" s="515" t="s">
        <v>666</v>
      </c>
      <c r="L25" s="515" t="s">
        <v>667</v>
      </c>
      <c r="M25" s="515" t="s">
        <v>668</v>
      </c>
      <c r="N25" s="515" t="s">
        <v>669</v>
      </c>
      <c r="O25" s="515" t="s">
        <v>670</v>
      </c>
      <c r="P25" s="515" t="s">
        <v>671</v>
      </c>
      <c r="S25" s="515" t="s">
        <v>379</v>
      </c>
      <c r="T25" s="515" t="s">
        <v>380</v>
      </c>
      <c r="Z25" s="515" t="s">
        <v>672</v>
      </c>
      <c r="AA25" s="515" t="s">
        <v>673</v>
      </c>
      <c r="AH25" s="515" t="s">
        <v>422</v>
      </c>
      <c r="AI25" s="515" t="s">
        <v>423</v>
      </c>
      <c r="AV25" s="515" t="s">
        <v>674</v>
      </c>
      <c r="AW25" s="515" t="s">
        <v>675</v>
      </c>
      <c r="BL25" s="515" t="s">
        <v>676</v>
      </c>
      <c r="BM25" s="515" t="s">
        <v>676</v>
      </c>
      <c r="BP25" s="515" t="s">
        <v>191</v>
      </c>
      <c r="BQ25" s="515" t="s">
        <v>677</v>
      </c>
      <c r="BR25" s="515" t="s">
        <v>678</v>
      </c>
      <c r="BS25" s="515" t="s">
        <v>240</v>
      </c>
      <c r="BT25" s="515" t="s">
        <v>920</v>
      </c>
    </row>
    <row r="26" spans="1:72">
      <c r="A26" s="515">
        <v>25</v>
      </c>
      <c r="K26" s="515" t="s">
        <v>679</v>
      </c>
      <c r="L26" s="515" t="s">
        <v>680</v>
      </c>
      <c r="M26" s="515" t="s">
        <v>438</v>
      </c>
      <c r="N26" s="515" t="s">
        <v>681</v>
      </c>
      <c r="O26" s="515" t="s">
        <v>682</v>
      </c>
      <c r="P26" s="515" t="s">
        <v>683</v>
      </c>
      <c r="S26" s="515" t="s">
        <v>684</v>
      </c>
      <c r="T26" s="515" t="s">
        <v>685</v>
      </c>
      <c r="Z26" s="515" t="s">
        <v>309</v>
      </c>
      <c r="AA26" s="515" t="s">
        <v>409</v>
      </c>
      <c r="AH26" s="515" t="s">
        <v>100</v>
      </c>
      <c r="AI26" s="515" t="s">
        <v>101</v>
      </c>
      <c r="BL26" s="515" t="s">
        <v>686</v>
      </c>
      <c r="BM26" s="515" t="s">
        <v>687</v>
      </c>
      <c r="BR26" s="515" t="s">
        <v>94</v>
      </c>
      <c r="BS26" s="515" t="s">
        <v>95</v>
      </c>
    </row>
    <row r="27" spans="1:72">
      <c r="A27" s="515">
        <v>26</v>
      </c>
      <c r="I27" s="515" t="s">
        <v>688</v>
      </c>
      <c r="J27" s="515" t="s">
        <v>689</v>
      </c>
      <c r="K27" s="515" t="s">
        <v>690</v>
      </c>
      <c r="L27" s="515" t="s">
        <v>691</v>
      </c>
      <c r="M27" s="515" t="s">
        <v>641</v>
      </c>
      <c r="N27" s="515" t="s">
        <v>644</v>
      </c>
      <c r="O27" s="515" t="s">
        <v>692</v>
      </c>
      <c r="P27" s="515" t="s">
        <v>693</v>
      </c>
      <c r="Q27" s="515" t="s">
        <v>694</v>
      </c>
      <c r="R27" s="515" t="s">
        <v>196</v>
      </c>
      <c r="Z27" s="515" t="s">
        <v>695</v>
      </c>
      <c r="AA27" s="515" t="s">
        <v>696</v>
      </c>
      <c r="AH27" s="515" t="s">
        <v>390</v>
      </c>
      <c r="AI27" s="515" t="s">
        <v>391</v>
      </c>
      <c r="AV27" s="515" t="s">
        <v>697</v>
      </c>
      <c r="AW27" s="515" t="s">
        <v>698</v>
      </c>
      <c r="BP27" s="515" t="s">
        <v>699</v>
      </c>
      <c r="BQ27" s="515" t="s">
        <v>700</v>
      </c>
    </row>
    <row r="28" spans="1:72">
      <c r="A28" s="515">
        <v>27</v>
      </c>
      <c r="K28" s="515" t="s">
        <v>701</v>
      </c>
      <c r="L28" s="515" t="s">
        <v>702</v>
      </c>
      <c r="O28" s="515" t="s">
        <v>703</v>
      </c>
      <c r="P28" s="515" t="s">
        <v>704</v>
      </c>
      <c r="Q28" s="515" t="s">
        <v>705</v>
      </c>
      <c r="R28" s="515" t="s">
        <v>706</v>
      </c>
      <c r="S28" s="515" t="s">
        <v>707</v>
      </c>
      <c r="T28" s="515" t="s">
        <v>708</v>
      </c>
      <c r="Z28" s="515" t="s">
        <v>273</v>
      </c>
      <c r="AA28" s="515" t="s">
        <v>274</v>
      </c>
      <c r="AH28" s="515" t="s">
        <v>420</v>
      </c>
      <c r="AI28" s="515" t="s">
        <v>421</v>
      </c>
      <c r="AV28" s="515" t="s">
        <v>259</v>
      </c>
      <c r="AW28" s="515" t="s">
        <v>260</v>
      </c>
      <c r="BL28" s="515" t="s">
        <v>28</v>
      </c>
      <c r="BM28" s="515" t="s">
        <v>28</v>
      </c>
      <c r="BP28" s="515" t="s">
        <v>438</v>
      </c>
      <c r="BQ28" s="515" t="s">
        <v>439</v>
      </c>
    </row>
    <row r="29" spans="1:72">
      <c r="A29" s="515">
        <v>28</v>
      </c>
      <c r="K29" s="515" t="s">
        <v>709</v>
      </c>
      <c r="L29" s="515" t="s">
        <v>710</v>
      </c>
      <c r="M29" s="515" t="s">
        <v>711</v>
      </c>
      <c r="N29" s="515" t="s">
        <v>712</v>
      </c>
      <c r="O29" s="515" t="s">
        <v>713</v>
      </c>
      <c r="P29" s="515" t="s">
        <v>714</v>
      </c>
      <c r="Q29" s="515" t="s">
        <v>715</v>
      </c>
      <c r="R29" s="515" t="s">
        <v>620</v>
      </c>
      <c r="S29" s="515" t="s">
        <v>684</v>
      </c>
      <c r="T29" s="515" t="s">
        <v>716</v>
      </c>
      <c r="Z29" s="515" t="s">
        <v>717</v>
      </c>
      <c r="AA29" s="515" t="s">
        <v>718</v>
      </c>
      <c r="AH29" s="515" t="s">
        <v>485</v>
      </c>
      <c r="AI29" s="515" t="s">
        <v>441</v>
      </c>
      <c r="AV29" s="515" t="s">
        <v>334</v>
      </c>
      <c r="AW29" s="515" t="s">
        <v>335</v>
      </c>
      <c r="BL29" s="515" t="s">
        <v>539</v>
      </c>
      <c r="BM29" s="515" t="s">
        <v>499</v>
      </c>
      <c r="BR29" s="515" t="s">
        <v>719</v>
      </c>
      <c r="BS29" s="515" t="s">
        <v>720</v>
      </c>
    </row>
    <row r="30" spans="1:72">
      <c r="A30" s="515">
        <v>29</v>
      </c>
      <c r="K30" s="515" t="s">
        <v>721</v>
      </c>
      <c r="L30" s="515" t="s">
        <v>722</v>
      </c>
      <c r="M30" s="515" t="s">
        <v>723</v>
      </c>
      <c r="N30" s="515" t="s">
        <v>724</v>
      </c>
      <c r="O30" s="515" t="s">
        <v>725</v>
      </c>
      <c r="P30" s="515" t="s">
        <v>726</v>
      </c>
      <c r="Q30" s="515" t="s">
        <v>727</v>
      </c>
      <c r="R30" s="515" t="s">
        <v>242</v>
      </c>
      <c r="S30" s="515" t="s">
        <v>728</v>
      </c>
      <c r="T30" s="515" t="s">
        <v>729</v>
      </c>
      <c r="AH30" s="515" t="s">
        <v>730</v>
      </c>
      <c r="AI30" s="515" t="s">
        <v>731</v>
      </c>
      <c r="AV30" s="515" t="s">
        <v>191</v>
      </c>
      <c r="AW30" s="515" t="s">
        <v>192</v>
      </c>
      <c r="BL30" s="515" t="s">
        <v>633</v>
      </c>
      <c r="BM30" s="515" t="s">
        <v>732</v>
      </c>
      <c r="BP30" s="515" t="s">
        <v>160</v>
      </c>
      <c r="BQ30" s="515" t="s">
        <v>161</v>
      </c>
      <c r="BR30" s="515" t="s">
        <v>733</v>
      </c>
      <c r="BS30" s="515" t="s">
        <v>734</v>
      </c>
    </row>
    <row r="31" spans="1:72">
      <c r="A31" s="515">
        <v>30</v>
      </c>
      <c r="K31" s="515" t="s">
        <v>735</v>
      </c>
      <c r="L31" s="515" t="s">
        <v>736</v>
      </c>
      <c r="M31" s="515" t="s">
        <v>737</v>
      </c>
      <c r="N31" s="515" t="s">
        <v>738</v>
      </c>
      <c r="O31" s="515" t="s">
        <v>68</v>
      </c>
      <c r="P31" s="515" t="s">
        <v>69</v>
      </c>
      <c r="Q31" s="515" t="s">
        <v>94</v>
      </c>
      <c r="R31" s="515" t="s">
        <v>95</v>
      </c>
      <c r="S31" s="515" t="s">
        <v>204</v>
      </c>
      <c r="T31" s="515" t="s">
        <v>204</v>
      </c>
      <c r="Z31" s="515" t="s">
        <v>739</v>
      </c>
      <c r="AA31" s="515" t="s">
        <v>740</v>
      </c>
      <c r="AV31" s="515" t="s">
        <v>311</v>
      </c>
      <c r="AW31" s="515" t="s">
        <v>312</v>
      </c>
      <c r="BL31" s="515" t="s">
        <v>741</v>
      </c>
      <c r="BM31" s="515" t="s">
        <v>742</v>
      </c>
      <c r="BP31" s="515" t="s">
        <v>668</v>
      </c>
      <c r="BQ31" s="515" t="s">
        <v>669</v>
      </c>
    </row>
    <row r="32" spans="1:72">
      <c r="A32" s="515">
        <v>31</v>
      </c>
      <c r="K32" s="515" t="s">
        <v>743</v>
      </c>
      <c r="L32" s="515" t="s">
        <v>744</v>
      </c>
      <c r="O32" s="515" t="s">
        <v>68</v>
      </c>
      <c r="P32" s="515" t="s">
        <v>69</v>
      </c>
      <c r="S32" s="515" t="s">
        <v>191</v>
      </c>
      <c r="T32" s="515" t="s">
        <v>192</v>
      </c>
      <c r="Z32" s="515" t="s">
        <v>745</v>
      </c>
      <c r="AA32" s="515" t="s">
        <v>746</v>
      </c>
      <c r="AH32" s="515" t="s">
        <v>747</v>
      </c>
      <c r="AI32" s="515" t="s">
        <v>747</v>
      </c>
      <c r="AV32" s="515" t="s">
        <v>287</v>
      </c>
      <c r="AW32" s="515" t="s">
        <v>288</v>
      </c>
    </row>
    <row r="33" spans="1:69">
      <c r="A33" s="515">
        <v>32</v>
      </c>
      <c r="K33" s="515" t="s">
        <v>748</v>
      </c>
      <c r="L33" s="515" t="s">
        <v>749</v>
      </c>
      <c r="O33" s="515" t="s">
        <v>750</v>
      </c>
      <c r="P33" s="515" t="s">
        <v>103</v>
      </c>
      <c r="Q33" s="515" t="s">
        <v>751</v>
      </c>
      <c r="R33" s="515" t="s">
        <v>752</v>
      </c>
      <c r="S33" s="515" t="s">
        <v>287</v>
      </c>
      <c r="T33" s="515" t="s">
        <v>288</v>
      </c>
      <c r="Z33" s="515" t="s">
        <v>753</v>
      </c>
      <c r="AA33" s="515" t="s">
        <v>754</v>
      </c>
      <c r="AV33" s="515" t="s">
        <v>379</v>
      </c>
      <c r="AW33" s="515" t="s">
        <v>380</v>
      </c>
      <c r="BL33" s="515" t="s">
        <v>755</v>
      </c>
      <c r="BM33" s="515" t="s">
        <v>756</v>
      </c>
      <c r="BP33" s="515" t="s">
        <v>757</v>
      </c>
      <c r="BQ33" s="515" t="s">
        <v>758</v>
      </c>
    </row>
    <row r="34" spans="1:69">
      <c r="A34" s="515">
        <v>33</v>
      </c>
      <c r="K34" s="515" t="s">
        <v>759</v>
      </c>
      <c r="L34" s="515" t="s">
        <v>760</v>
      </c>
      <c r="O34" s="515" t="s">
        <v>663</v>
      </c>
      <c r="P34" s="515" t="s">
        <v>148</v>
      </c>
      <c r="Q34" s="515" t="s">
        <v>761</v>
      </c>
      <c r="R34" s="515" t="s">
        <v>762</v>
      </c>
      <c r="S34" s="515" t="s">
        <v>684</v>
      </c>
      <c r="T34" s="515" t="s">
        <v>716</v>
      </c>
      <c r="Z34" s="515" t="s">
        <v>160</v>
      </c>
      <c r="AA34" s="515" t="s">
        <v>161</v>
      </c>
      <c r="AV34" s="515" t="s">
        <v>466</v>
      </c>
      <c r="AW34" s="515" t="s">
        <v>467</v>
      </c>
      <c r="BL34" s="515" t="s">
        <v>763</v>
      </c>
      <c r="BM34" s="515" t="s">
        <v>763</v>
      </c>
      <c r="BP34" s="515" t="s">
        <v>466</v>
      </c>
      <c r="BQ34" s="515" t="s">
        <v>522</v>
      </c>
    </row>
    <row r="35" spans="1:69">
      <c r="A35" s="515">
        <v>34</v>
      </c>
      <c r="K35" s="515" t="s">
        <v>764</v>
      </c>
      <c r="L35" s="515" t="s">
        <v>765</v>
      </c>
      <c r="O35" s="515" t="s">
        <v>193</v>
      </c>
      <c r="P35" s="515" t="s">
        <v>194</v>
      </c>
      <c r="Q35" s="515" t="s">
        <v>766</v>
      </c>
      <c r="S35" s="515" t="s">
        <v>767</v>
      </c>
      <c r="T35" s="515" t="s">
        <v>768</v>
      </c>
      <c r="Z35" s="515" t="s">
        <v>769</v>
      </c>
      <c r="AA35" s="515" t="s">
        <v>770</v>
      </c>
      <c r="AV35" s="515" t="s">
        <v>771</v>
      </c>
      <c r="AW35" s="515" t="s">
        <v>772</v>
      </c>
      <c r="BL35" s="515" t="s">
        <v>773</v>
      </c>
      <c r="BM35" s="515" t="s">
        <v>774</v>
      </c>
      <c r="BP35" s="515" t="s">
        <v>775</v>
      </c>
      <c r="BQ35" s="515" t="s">
        <v>776</v>
      </c>
    </row>
    <row r="36" spans="1:69">
      <c r="A36" s="515">
        <v>35</v>
      </c>
      <c r="K36" s="515" t="s">
        <v>777</v>
      </c>
      <c r="L36" s="515" t="s">
        <v>778</v>
      </c>
      <c r="O36" s="515" t="s">
        <v>239</v>
      </c>
      <c r="P36" s="515" t="s">
        <v>240</v>
      </c>
      <c r="Q36" s="515" t="s">
        <v>779</v>
      </c>
      <c r="Z36" s="515" t="s">
        <v>780</v>
      </c>
      <c r="AA36" s="515" t="s">
        <v>781</v>
      </c>
      <c r="BL36" s="515" t="s">
        <v>782</v>
      </c>
      <c r="BM36" s="515" t="s">
        <v>783</v>
      </c>
      <c r="BP36" s="515" t="s">
        <v>597</v>
      </c>
      <c r="BQ36" s="515" t="s">
        <v>648</v>
      </c>
    </row>
    <row r="37" spans="1:69">
      <c r="A37" s="515">
        <v>36</v>
      </c>
      <c r="K37" s="515" t="s">
        <v>784</v>
      </c>
      <c r="L37" s="515" t="s">
        <v>785</v>
      </c>
      <c r="O37" s="515" t="s">
        <v>639</v>
      </c>
      <c r="P37" s="515" t="s">
        <v>278</v>
      </c>
      <c r="Q37" s="515" t="s">
        <v>786</v>
      </c>
      <c r="Z37" s="515" t="s">
        <v>787</v>
      </c>
      <c r="AA37" s="515" t="s">
        <v>788</v>
      </c>
      <c r="AV37" s="515" t="s">
        <v>789</v>
      </c>
      <c r="AW37" s="515" t="s">
        <v>790</v>
      </c>
      <c r="BL37" s="515" t="s">
        <v>791</v>
      </c>
      <c r="BM37" s="515" t="s">
        <v>792</v>
      </c>
    </row>
    <row r="38" spans="1:69">
      <c r="A38" s="515">
        <v>37</v>
      </c>
      <c r="K38" s="515" t="s">
        <v>793</v>
      </c>
      <c r="L38" s="515" t="s">
        <v>794</v>
      </c>
      <c r="O38" s="515" t="s">
        <v>313</v>
      </c>
      <c r="P38" s="515" t="s">
        <v>314</v>
      </c>
      <c r="S38" s="515" t="s">
        <v>795</v>
      </c>
      <c r="T38" s="515" t="s">
        <v>378</v>
      </c>
      <c r="BL38" s="515" t="s">
        <v>796</v>
      </c>
      <c r="BM38" s="515" t="s">
        <v>796</v>
      </c>
      <c r="BP38" s="515" t="s">
        <v>641</v>
      </c>
      <c r="BQ38" s="515" t="s">
        <v>644</v>
      </c>
    </row>
    <row r="39" spans="1:69">
      <c r="A39" s="515">
        <v>38</v>
      </c>
      <c r="O39" s="515" t="s">
        <v>143</v>
      </c>
      <c r="P39" s="515" t="s">
        <v>144</v>
      </c>
      <c r="S39" s="515" t="s">
        <v>797</v>
      </c>
      <c r="T39" s="515" t="s">
        <v>798</v>
      </c>
      <c r="BL39" s="515" t="s">
        <v>799</v>
      </c>
      <c r="BM39" s="515" t="s">
        <v>800</v>
      </c>
      <c r="BP39" s="518" t="s">
        <v>647</v>
      </c>
      <c r="BQ39" s="515" t="s">
        <v>801</v>
      </c>
    </row>
    <row r="40" spans="1:69">
      <c r="A40" s="515">
        <v>39</v>
      </c>
      <c r="O40" s="515" t="s">
        <v>802</v>
      </c>
      <c r="P40" s="515" t="s">
        <v>803</v>
      </c>
      <c r="S40" s="515" t="s">
        <v>804</v>
      </c>
      <c r="T40" s="515" t="s">
        <v>805</v>
      </c>
      <c r="BL40" s="515" t="s">
        <v>806</v>
      </c>
      <c r="BM40" s="515" t="s">
        <v>807</v>
      </c>
    </row>
    <row r="41" spans="1:69">
      <c r="A41" s="515">
        <v>40</v>
      </c>
      <c r="O41" s="515" t="s">
        <v>808</v>
      </c>
      <c r="P41" s="515" t="s">
        <v>95</v>
      </c>
      <c r="BP41" s="515" t="s">
        <v>809</v>
      </c>
      <c r="BQ41" s="515" t="s">
        <v>810</v>
      </c>
    </row>
    <row r="42" spans="1:69">
      <c r="A42" s="515">
        <v>41</v>
      </c>
      <c r="O42" s="515" t="s">
        <v>100</v>
      </c>
      <c r="P42" s="515" t="s">
        <v>101</v>
      </c>
      <c r="BP42" s="515" t="s">
        <v>66</v>
      </c>
      <c r="BQ42" s="515" t="s">
        <v>67</v>
      </c>
    </row>
    <row r="43" spans="1:69">
      <c r="O43" s="515" t="s">
        <v>145</v>
      </c>
      <c r="P43" s="515" t="s">
        <v>146</v>
      </c>
      <c r="BP43" s="515" t="s">
        <v>811</v>
      </c>
      <c r="BQ43" s="515" t="s">
        <v>812</v>
      </c>
    </row>
    <row r="44" spans="1:69">
      <c r="O44" s="515" t="s">
        <v>191</v>
      </c>
      <c r="P44" s="515" t="s">
        <v>192</v>
      </c>
      <c r="BP44" s="515" t="s">
        <v>475</v>
      </c>
      <c r="BQ44" s="515" t="s">
        <v>476</v>
      </c>
    </row>
    <row r="45" spans="1:69">
      <c r="O45" s="515" t="s">
        <v>346</v>
      </c>
      <c r="P45" s="515" t="s">
        <v>813</v>
      </c>
      <c r="BP45" s="515" t="s">
        <v>496</v>
      </c>
      <c r="BQ45" s="515" t="s">
        <v>497</v>
      </c>
    </row>
    <row r="47" spans="1:69">
      <c r="O47" s="515" t="s">
        <v>814</v>
      </c>
      <c r="P47" s="515" t="s">
        <v>815</v>
      </c>
      <c r="BP47" s="515" t="s">
        <v>784</v>
      </c>
      <c r="BQ47" s="515" t="s">
        <v>785</v>
      </c>
    </row>
    <row r="48" spans="1:69">
      <c r="O48" s="515" t="s">
        <v>713</v>
      </c>
      <c r="P48" s="515" t="s">
        <v>714</v>
      </c>
      <c r="BP48" s="515" t="s">
        <v>348</v>
      </c>
      <c r="BQ48" s="515" t="s">
        <v>349</v>
      </c>
    </row>
    <row r="49" spans="15:69">
      <c r="BP49" s="515" t="s">
        <v>690</v>
      </c>
      <c r="BQ49" s="515" t="s">
        <v>691</v>
      </c>
    </row>
    <row r="50" spans="15:69">
      <c r="O50" s="515" t="s">
        <v>100</v>
      </c>
      <c r="P50" s="515" t="s">
        <v>101</v>
      </c>
      <c r="BP50" s="515" t="s">
        <v>709</v>
      </c>
      <c r="BQ50" s="515" t="s">
        <v>710</v>
      </c>
    </row>
    <row r="51" spans="15:69">
      <c r="O51" s="515" t="s">
        <v>694</v>
      </c>
      <c r="P51" s="515" t="s">
        <v>196</v>
      </c>
      <c r="BP51" s="515" t="s">
        <v>701</v>
      </c>
      <c r="BQ51" s="515" t="s">
        <v>816</v>
      </c>
    </row>
    <row r="52" spans="15:69">
      <c r="O52" s="515" t="s">
        <v>705</v>
      </c>
      <c r="P52" s="515" t="s">
        <v>706</v>
      </c>
    </row>
    <row r="53" spans="15:69">
      <c r="O53" s="515" t="s">
        <v>817</v>
      </c>
      <c r="P53" s="515" t="s">
        <v>620</v>
      </c>
      <c r="BP53" s="515" t="s">
        <v>85</v>
      </c>
      <c r="BQ53" s="515" t="s">
        <v>818</v>
      </c>
    </row>
    <row r="54" spans="15:69">
      <c r="O54" s="515" t="s">
        <v>819</v>
      </c>
      <c r="P54" s="515" t="s">
        <v>242</v>
      </c>
    </row>
    <row r="55" spans="15:69">
      <c r="O55" s="515" t="s">
        <v>808</v>
      </c>
      <c r="P55" s="515" t="s">
        <v>95</v>
      </c>
      <c r="BP55" s="515" t="s">
        <v>820</v>
      </c>
      <c r="BQ55" s="515" t="s">
        <v>820</v>
      </c>
    </row>
    <row r="56" spans="15:69">
      <c r="O56" s="515" t="s">
        <v>145</v>
      </c>
      <c r="P56" s="515" t="s">
        <v>146</v>
      </c>
      <c r="BP56" s="515" t="s">
        <v>821</v>
      </c>
      <c r="BQ56" s="515" t="s">
        <v>822</v>
      </c>
    </row>
    <row r="57" spans="15:69">
      <c r="O57" s="515" t="s">
        <v>823</v>
      </c>
      <c r="P57" s="515" t="s">
        <v>824</v>
      </c>
      <c r="BP57" s="515" t="s">
        <v>825</v>
      </c>
      <c r="BQ57" s="515" t="s">
        <v>825</v>
      </c>
    </row>
    <row r="58" spans="15:69">
      <c r="O58" s="515" t="s">
        <v>826</v>
      </c>
      <c r="P58" s="515" t="s">
        <v>827</v>
      </c>
      <c r="BP58" s="515" t="s">
        <v>828</v>
      </c>
      <c r="BQ58" s="515" t="s">
        <v>829</v>
      </c>
    </row>
    <row r="59" spans="15:69">
      <c r="O59" s="515" t="s">
        <v>830</v>
      </c>
      <c r="P59" s="515" t="s">
        <v>831</v>
      </c>
    </row>
    <row r="60" spans="15:69">
      <c r="O60" s="515" t="s">
        <v>832</v>
      </c>
      <c r="P60" s="515" t="s">
        <v>833</v>
      </c>
      <c r="BP60" s="515" t="s">
        <v>834</v>
      </c>
      <c r="BQ60" s="515" t="s">
        <v>835</v>
      </c>
    </row>
    <row r="61" spans="15:69">
      <c r="O61" s="515" t="s">
        <v>836</v>
      </c>
      <c r="P61" s="515" t="s">
        <v>837</v>
      </c>
    </row>
    <row r="62" spans="15:69">
      <c r="O62" s="515" t="s">
        <v>838</v>
      </c>
      <c r="P62" s="515" t="s">
        <v>839</v>
      </c>
    </row>
    <row r="63" spans="15:69">
      <c r="O63" s="515" t="s">
        <v>840</v>
      </c>
      <c r="P63" s="515" t="s">
        <v>841</v>
      </c>
      <c r="BP63" s="515" t="s">
        <v>102</v>
      </c>
      <c r="BQ63" s="515" t="s">
        <v>103</v>
      </c>
    </row>
    <row r="64" spans="15:69">
      <c r="O64" s="515" t="s">
        <v>842</v>
      </c>
      <c r="P64" s="515" t="s">
        <v>843</v>
      </c>
      <c r="BP64" s="515" t="s">
        <v>844</v>
      </c>
      <c r="BQ64" s="515" t="s">
        <v>845</v>
      </c>
    </row>
    <row r="65" spans="15:16">
      <c r="O65" s="515" t="s">
        <v>846</v>
      </c>
      <c r="P65" s="515" t="s">
        <v>847</v>
      </c>
    </row>
    <row r="66" spans="15:16">
      <c r="O66" s="515" t="s">
        <v>848</v>
      </c>
      <c r="P66" s="515" t="s">
        <v>849</v>
      </c>
    </row>
    <row r="67" spans="15:16">
      <c r="O67" s="515" t="s">
        <v>850</v>
      </c>
      <c r="P67" s="515" t="s">
        <v>851</v>
      </c>
    </row>
    <row r="69" spans="15:16">
      <c r="O69" s="515" t="s">
        <v>852</v>
      </c>
      <c r="P69" s="515" t="s">
        <v>853</v>
      </c>
    </row>
    <row r="70" spans="15:16">
      <c r="O70" s="515" t="s">
        <v>852</v>
      </c>
      <c r="P70" s="515" t="s">
        <v>853</v>
      </c>
    </row>
    <row r="71" spans="15:16">
      <c r="O71" s="515" t="s">
        <v>854</v>
      </c>
      <c r="P71" s="515" t="s">
        <v>855</v>
      </c>
    </row>
    <row r="72" spans="15:16">
      <c r="O72" s="515" t="s">
        <v>147</v>
      </c>
      <c r="P72" s="515" t="s">
        <v>148</v>
      </c>
    </row>
    <row r="73" spans="15:16">
      <c r="O73" s="515" t="s">
        <v>856</v>
      </c>
      <c r="P73" s="515" t="s">
        <v>857</v>
      </c>
    </row>
    <row r="74" spans="15:16">
      <c r="O74" s="515" t="s">
        <v>858</v>
      </c>
      <c r="P74" s="515" t="s">
        <v>859</v>
      </c>
    </row>
    <row r="75" spans="15:16">
      <c r="O75" s="515" t="s">
        <v>193</v>
      </c>
      <c r="P75" s="515" t="s">
        <v>194</v>
      </c>
    </row>
    <row r="76" spans="15:16">
      <c r="O76" s="515" t="s">
        <v>860</v>
      </c>
      <c r="P76" s="515" t="s">
        <v>861</v>
      </c>
    </row>
    <row r="77" spans="15:16">
      <c r="O77" s="515" t="s">
        <v>239</v>
      </c>
      <c r="P77" s="515" t="s">
        <v>240</v>
      </c>
    </row>
    <row r="78" spans="15:16">
      <c r="O78" s="515" t="s">
        <v>639</v>
      </c>
      <c r="P78" s="515" t="s">
        <v>278</v>
      </c>
    </row>
    <row r="79" spans="15:16">
      <c r="O79" s="515" t="s">
        <v>313</v>
      </c>
      <c r="P79" s="515" t="s">
        <v>314</v>
      </c>
    </row>
    <row r="80" spans="15:16">
      <c r="O80" s="515" t="s">
        <v>346</v>
      </c>
      <c r="P80" s="515" t="s">
        <v>347</v>
      </c>
    </row>
    <row r="82" spans="15:16">
      <c r="O82" s="515" t="s">
        <v>862</v>
      </c>
      <c r="P82" s="515" t="s">
        <v>863</v>
      </c>
    </row>
    <row r="83" spans="15:16">
      <c r="O83" s="515" t="s">
        <v>864</v>
      </c>
      <c r="P83" s="515" t="s">
        <v>865</v>
      </c>
    </row>
    <row r="84" spans="15:16">
      <c r="O84" s="515" t="s">
        <v>866</v>
      </c>
      <c r="P84" s="515" t="s">
        <v>867</v>
      </c>
    </row>
    <row r="85" spans="15:16">
      <c r="O85" s="515" t="s">
        <v>868</v>
      </c>
      <c r="P85" s="515" t="s">
        <v>869</v>
      </c>
    </row>
    <row r="86" spans="15:16">
      <c r="O86" s="515" t="s">
        <v>870</v>
      </c>
      <c r="P86" s="515" t="s">
        <v>871</v>
      </c>
    </row>
    <row r="87" spans="15:16">
      <c r="O87" s="515" t="s">
        <v>872</v>
      </c>
      <c r="P87" s="515" t="s">
        <v>873</v>
      </c>
    </row>
    <row r="88" spans="15:16">
      <c r="O88" s="515" t="s">
        <v>874</v>
      </c>
      <c r="P88" s="515" t="s">
        <v>875</v>
      </c>
    </row>
    <row r="89" spans="15:16">
      <c r="O89" s="515" t="s">
        <v>876</v>
      </c>
      <c r="P89" s="515" t="s">
        <v>877</v>
      </c>
    </row>
    <row r="91" spans="15:16">
      <c r="O91" s="515" t="s">
        <v>878</v>
      </c>
      <c r="P91" s="515" t="s">
        <v>879</v>
      </c>
    </row>
    <row r="92" spans="15:16">
      <c r="O92" s="515" t="s">
        <v>147</v>
      </c>
      <c r="P92" s="515" t="s">
        <v>148</v>
      </c>
    </row>
    <row r="93" spans="15:16">
      <c r="O93" s="515" t="s">
        <v>193</v>
      </c>
      <c r="P93" s="515" t="s">
        <v>194</v>
      </c>
    </row>
    <row r="94" spans="15:16">
      <c r="O94" s="515" t="s">
        <v>239</v>
      </c>
      <c r="P94" s="515" t="s">
        <v>240</v>
      </c>
    </row>
    <row r="95" spans="15:16">
      <c r="O95" s="515" t="s">
        <v>880</v>
      </c>
      <c r="P95" s="515" t="s">
        <v>881</v>
      </c>
    </row>
    <row r="96" spans="15:16">
      <c r="O96" s="515" t="s">
        <v>277</v>
      </c>
      <c r="P96" s="515" t="s">
        <v>278</v>
      </c>
    </row>
    <row r="97" spans="15:16">
      <c r="O97" s="515" t="s">
        <v>882</v>
      </c>
      <c r="P97" s="515" t="s">
        <v>883</v>
      </c>
    </row>
    <row r="98" spans="15:16">
      <c r="O98" s="515" t="s">
        <v>313</v>
      </c>
      <c r="P98" s="515" t="s">
        <v>314</v>
      </c>
    </row>
    <row r="99" spans="15:16">
      <c r="O99" s="515" t="s">
        <v>346</v>
      </c>
      <c r="P99" s="515" t="s">
        <v>347</v>
      </c>
    </row>
    <row r="101" spans="15:16">
      <c r="O101" s="515" t="s">
        <v>884</v>
      </c>
      <c r="P101" s="515" t="s">
        <v>885</v>
      </c>
    </row>
    <row r="102" spans="15:16">
      <c r="O102" s="515" t="s">
        <v>886</v>
      </c>
      <c r="P102" s="515" t="s">
        <v>887</v>
      </c>
    </row>
    <row r="103" spans="15:16">
      <c r="O103" s="515" t="s">
        <v>888</v>
      </c>
      <c r="P103" s="515" t="s">
        <v>889</v>
      </c>
    </row>
    <row r="105" spans="15:16">
      <c r="O105" s="515" t="s">
        <v>890</v>
      </c>
      <c r="P105" s="515" t="s">
        <v>742</v>
      </c>
    </row>
    <row r="106" spans="15:16">
      <c r="O106" s="515" t="s">
        <v>891</v>
      </c>
      <c r="P106" s="515" t="s">
        <v>892</v>
      </c>
    </row>
    <row r="107" spans="15:16">
      <c r="O107" s="515" t="s">
        <v>893</v>
      </c>
      <c r="P107" s="515" t="s">
        <v>894</v>
      </c>
    </row>
    <row r="108" spans="15:16">
      <c r="O108" s="515" t="s">
        <v>895</v>
      </c>
      <c r="P108" s="515" t="s">
        <v>896</v>
      </c>
    </row>
  </sheetData>
  <sheetProtection algorithmName="SHA-512" hashValue="HBLpXTwWkfoGNqtfk1raOrCmU1v5ZDrnSiPLd71EDmqh1x4yB/wszq5W352VaqtqSix/XzqDqeSeNGipQBcvRA==" saltValue="7X35+en3CNIdVFcfzb5n2g==" spinCount="100000" sheet="1" scenarios="1" selectLockedCells="1" selectUnlockedCells="1"/>
  <phoneticPr fontId="6" type="noConversion"/>
  <hyperlinks>
    <hyperlink ref="AR1" location="Summary!A1" display="Back to summary" xr:uid="{01D50603-9891-594D-ACF6-3472A9D2145C}"/>
  </hyperlink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58D7F-C60A-0B4C-967F-49226D28353A}">
  <sheetPr>
    <tabColor theme="5" tint="0.59999389629810485"/>
  </sheetPr>
  <dimension ref="A1:AC34"/>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230" customWidth="1"/>
    <col min="2" max="2" width="68.33203125" style="118" customWidth="1"/>
    <col min="3" max="22" width="10.83203125" style="231" customWidth="1"/>
    <col min="23" max="23" width="5.83203125" style="231" customWidth="1"/>
    <col min="24" max="25" width="10.83203125" style="231" customWidth="1"/>
    <col min="26" max="26" width="10.83203125" style="230" customWidth="1"/>
    <col min="27" max="16384" width="10.83203125" style="230"/>
  </cols>
  <sheetData>
    <row r="1" spans="1:29" ht="13" customHeight="1">
      <c r="Z1" s="231"/>
    </row>
    <row r="2" spans="1:29" s="10" customFormat="1" ht="13" customHeight="1">
      <c r="B2" s="319" t="str">
        <f>IF('Summary | Sumário'!D$6=Names!B$3,Names!X1,Names!Y1)</f>
        <v>Tier I Ratio (Banco Inter S.A.,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595" t="str">
        <f>IF('Summary | Sumário'!D6=Names!B3,Names!C21,Names!D21)</f>
        <v>3Q24</v>
      </c>
      <c r="W2" s="427"/>
      <c r="X2" s="116" t="str">
        <f>IF('Summary | Sumário'!$D$6=Names!$B$3,Names!$I$24,Names!$J$24)</f>
        <v>QoQ Variation</v>
      </c>
      <c r="Y2" s="116" t="str">
        <f>IF('Summary | Sumário'!$D$6=Names!$B$3,Names!$I$25,Names!$J$25)</f>
        <v>YoY Variation</v>
      </c>
      <c r="Z2" s="11"/>
      <c r="AB2" s="12"/>
      <c r="AC2" s="13"/>
    </row>
    <row r="3" spans="1:29" ht="13" customHeight="1">
      <c r="B3" s="119"/>
      <c r="C3" s="232"/>
      <c r="D3" s="232"/>
      <c r="E3" s="232"/>
      <c r="F3" s="232"/>
      <c r="G3" s="232"/>
      <c r="H3" s="232"/>
      <c r="I3" s="232"/>
      <c r="J3" s="232"/>
      <c r="K3" s="232"/>
      <c r="L3" s="232"/>
      <c r="M3" s="232"/>
      <c r="N3" s="232"/>
      <c r="O3" s="232"/>
      <c r="P3" s="232"/>
      <c r="Q3" s="232"/>
      <c r="R3" s="232"/>
      <c r="S3" s="232"/>
      <c r="T3" s="232"/>
      <c r="U3" s="232"/>
      <c r="V3" s="232"/>
      <c r="W3" s="232"/>
      <c r="X3" s="232"/>
      <c r="Y3" s="232"/>
      <c r="Z3" s="233"/>
    </row>
    <row r="4" spans="1:29" s="235" customFormat="1" ht="13" customHeight="1">
      <c r="A4" s="234"/>
      <c r="B4" s="3" t="str">
        <f>IF('Summary | Sumário'!D$6=Names!B$3,Names!X3,Names!Y3)</f>
        <v>Tier 1 ratio</v>
      </c>
      <c r="C4" s="215"/>
      <c r="D4" s="215"/>
      <c r="E4" s="215"/>
      <c r="F4" s="215"/>
      <c r="G4" s="215"/>
      <c r="H4" s="215"/>
      <c r="I4" s="215"/>
      <c r="J4" s="215"/>
      <c r="K4" s="215"/>
      <c r="L4" s="215"/>
      <c r="M4" s="215"/>
      <c r="N4" s="215"/>
      <c r="O4" s="215"/>
      <c r="P4" s="215"/>
      <c r="Q4" s="215"/>
      <c r="R4" s="215"/>
      <c r="S4" s="215"/>
      <c r="T4" s="215"/>
      <c r="U4" s="215"/>
      <c r="V4" s="215"/>
      <c r="W4" s="215"/>
      <c r="X4" s="215"/>
      <c r="Y4" s="215"/>
    </row>
    <row r="5" spans="1:29" ht="13" customHeight="1">
      <c r="B5" s="356" t="str">
        <f>IF('Summary | Sumário'!D$6=Names!B$3,Names!X4,Names!Y4)</f>
        <v>Referential equity (RE)</v>
      </c>
      <c r="C5" s="357">
        <v>2123127</v>
      </c>
      <c r="D5" s="357">
        <v>3077952</v>
      </c>
      <c r="E5" s="357">
        <f>K5</f>
        <v>7955237.9140799996</v>
      </c>
      <c r="F5" s="357">
        <f>O5</f>
        <v>5913329</v>
      </c>
      <c r="G5" s="357">
        <f>S5</f>
        <v>6138173.4993100008</v>
      </c>
      <c r="H5" s="357">
        <v>2815602.88809</v>
      </c>
      <c r="I5" s="357">
        <v>2682250.3591399998</v>
      </c>
      <c r="J5" s="357">
        <v>7955022.5986299999</v>
      </c>
      <c r="K5" s="357">
        <v>7955237.9140799996</v>
      </c>
      <c r="L5" s="357">
        <v>7042015</v>
      </c>
      <c r="M5" s="357">
        <v>7080872</v>
      </c>
      <c r="N5" s="357">
        <v>7162093</v>
      </c>
      <c r="O5" s="357">
        <v>5913329</v>
      </c>
      <c r="P5" s="357">
        <v>5829384</v>
      </c>
      <c r="Q5" s="357">
        <v>5959738</v>
      </c>
      <c r="R5" s="357">
        <v>5964109</v>
      </c>
      <c r="S5" s="357">
        <v>6138173.4993100008</v>
      </c>
      <c r="T5" s="357">
        <v>5852972.8847599998</v>
      </c>
      <c r="U5" s="357">
        <v>5895210.8120200001</v>
      </c>
      <c r="V5" s="357">
        <v>5557930.4372699996</v>
      </c>
      <c r="W5" s="211"/>
      <c r="X5" s="439">
        <f>V5/U5-1</f>
        <v>-5.7212606216270445E-2</v>
      </c>
      <c r="Y5" s="439">
        <f>V5/R5-1</f>
        <v>-6.8103812779075734E-2</v>
      </c>
    </row>
    <row r="6" spans="1:29" ht="13" customHeight="1">
      <c r="B6" s="53" t="str">
        <f>IF('Summary | Sumário'!D$6=Names!B$3,Names!X5,Names!Y5)</f>
        <v>Tier I referential equity</v>
      </c>
      <c r="C6" s="211">
        <v>2123127</v>
      </c>
      <c r="D6" s="211">
        <v>3077952</v>
      </c>
      <c r="E6" s="211">
        <f t="shared" ref="E6:E22" si="0">K6</f>
        <v>7955237.9140799996</v>
      </c>
      <c r="F6" s="211">
        <f t="shared" ref="F6:F7" si="1">O6</f>
        <v>5913329</v>
      </c>
      <c r="G6" s="211">
        <f t="shared" ref="G6:G11" si="2">S6</f>
        <v>6138173.4993100008</v>
      </c>
      <c r="H6" s="211">
        <v>2815602.88809</v>
      </c>
      <c r="I6" s="211">
        <v>2682250.3591399998</v>
      </c>
      <c r="J6" s="211">
        <v>7955022.5986299999</v>
      </c>
      <c r="K6" s="211">
        <v>7955237.9140799996</v>
      </c>
      <c r="L6" s="211">
        <v>7042015</v>
      </c>
      <c r="M6" s="211">
        <v>7080872</v>
      </c>
      <c r="N6" s="211">
        <v>7162093</v>
      </c>
      <c r="O6" s="211">
        <v>5913329</v>
      </c>
      <c r="P6" s="211">
        <v>5829384</v>
      </c>
      <c r="Q6" s="211">
        <v>5959738</v>
      </c>
      <c r="R6" s="211">
        <v>5964109</v>
      </c>
      <c r="S6" s="211">
        <v>6138173.4993100008</v>
      </c>
      <c r="T6" s="211">
        <v>5852972.8847599998</v>
      </c>
      <c r="U6" s="211">
        <v>5895210.8120200001</v>
      </c>
      <c r="V6" s="211">
        <v>5557930.4372699996</v>
      </c>
      <c r="W6" s="211"/>
      <c r="X6" s="240">
        <f t="shared" ref="X6:X11" si="3">V6/U6-1</f>
        <v>-5.7212606216270445E-2</v>
      </c>
      <c r="Y6" s="240">
        <f t="shared" ref="Y6:Y11" si="4">V6/R6-1</f>
        <v>-6.8103812779075734E-2</v>
      </c>
    </row>
    <row r="7" spans="1:29" ht="13" customHeight="1">
      <c r="B7" s="55" t="str">
        <f>IF('Summary | Sumário'!D$6=Names!B$3,Names!X6,Names!Y6)</f>
        <v>Core capital (CC)</v>
      </c>
      <c r="C7" s="206">
        <v>2123127</v>
      </c>
      <c r="D7" s="206">
        <v>3077952</v>
      </c>
      <c r="E7" s="206">
        <f t="shared" si="0"/>
        <v>7955237.9140799996</v>
      </c>
      <c r="F7" s="206">
        <f t="shared" si="1"/>
        <v>5913329</v>
      </c>
      <c r="G7" s="206">
        <f t="shared" si="2"/>
        <v>6138173.4993100008</v>
      </c>
      <c r="H7" s="206">
        <v>2815602.88809</v>
      </c>
      <c r="I7" s="206">
        <v>2682250.3591399998</v>
      </c>
      <c r="J7" s="206">
        <v>7955022.5986299999</v>
      </c>
      <c r="K7" s="206">
        <v>7955237.9140799996</v>
      </c>
      <c r="L7" s="206">
        <v>7042015</v>
      </c>
      <c r="M7" s="206">
        <v>7080872</v>
      </c>
      <c r="N7" s="206">
        <v>7162093</v>
      </c>
      <c r="O7" s="206">
        <v>5913329</v>
      </c>
      <c r="P7" s="206">
        <v>5829384</v>
      </c>
      <c r="Q7" s="206">
        <v>5959738</v>
      </c>
      <c r="R7" s="206">
        <v>5964109</v>
      </c>
      <c r="S7" s="206">
        <v>6138173.4993100008</v>
      </c>
      <c r="T7" s="206">
        <v>5852972.8847599998</v>
      </c>
      <c r="U7" s="206">
        <v>5895210.8120200001</v>
      </c>
      <c r="V7" s="206">
        <v>5557930.4372699996</v>
      </c>
      <c r="W7" s="211"/>
      <c r="X7" s="239">
        <f t="shared" si="3"/>
        <v>-5.7212606216270445E-2</v>
      </c>
      <c r="Y7" s="239">
        <f t="shared" si="4"/>
        <v>-6.8103812779075734E-2</v>
      </c>
    </row>
    <row r="8" spans="1:29" ht="13" customHeight="1">
      <c r="B8" s="53" t="str">
        <f>IF('Summary | Sumário'!D$6=Names!B$3,Names!X7,Names!Y7)</f>
        <v>Risk weighted assets - RWA</v>
      </c>
      <c r="C8" s="211">
        <v>5388262</v>
      </c>
      <c r="D8" s="211">
        <v>9643109</v>
      </c>
      <c r="E8" s="211">
        <f t="shared" si="0"/>
        <v>17953262.630789999</v>
      </c>
      <c r="F8" s="211">
        <v>24950460</v>
      </c>
      <c r="G8" s="211">
        <f t="shared" si="2"/>
        <v>26745734.312450003</v>
      </c>
      <c r="H8" s="211">
        <v>11661845.75979</v>
      </c>
      <c r="I8" s="211">
        <v>13664902.02272</v>
      </c>
      <c r="J8" s="211">
        <v>15993381.634679999</v>
      </c>
      <c r="K8" s="211">
        <v>17953262.630789999</v>
      </c>
      <c r="L8" s="211">
        <v>19739307</v>
      </c>
      <c r="M8" s="211">
        <v>21531298</v>
      </c>
      <c r="N8" s="211">
        <v>24039291</v>
      </c>
      <c r="O8" s="211">
        <v>24550461</v>
      </c>
      <c r="P8" s="211">
        <v>25344975</v>
      </c>
      <c r="Q8" s="211">
        <v>26110963</v>
      </c>
      <c r="R8" s="211">
        <v>25122491</v>
      </c>
      <c r="S8" s="211">
        <v>26745734.312450003</v>
      </c>
      <c r="T8" s="211">
        <v>28865752.132199999</v>
      </c>
      <c r="U8" s="211">
        <v>30562162.857720003</v>
      </c>
      <c r="V8" s="211">
        <v>32685685.686000001</v>
      </c>
      <c r="W8" s="211"/>
      <c r="X8" s="240">
        <f t="shared" si="3"/>
        <v>6.9482086008307409E-2</v>
      </c>
      <c r="Y8" s="240">
        <f t="shared" si="4"/>
        <v>0.30105273740569749</v>
      </c>
      <c r="Z8" s="236"/>
    </row>
    <row r="9" spans="1:29" ht="13" customHeight="1">
      <c r="B9" s="61" t="str">
        <f>IF('Summary | Sumário'!D$6=Names!B$3,Names!X8,Names!Y8)</f>
        <v>RWA for credit risk by standardized approach - RWACPAD</v>
      </c>
      <c r="C9" s="206">
        <v>4102332</v>
      </c>
      <c r="D9" s="206">
        <v>8064303</v>
      </c>
      <c r="E9" s="206">
        <v>16198394</v>
      </c>
      <c r="F9" s="206">
        <v>21963629</v>
      </c>
      <c r="G9" s="206">
        <f t="shared" si="2"/>
        <v>22367940.18866</v>
      </c>
      <c r="H9" s="206">
        <v>9477754</v>
      </c>
      <c r="I9" s="206">
        <v>11657733</v>
      </c>
      <c r="J9" s="206">
        <v>14128834</v>
      </c>
      <c r="K9" s="206">
        <v>16198394</v>
      </c>
      <c r="L9" s="206">
        <v>17444892</v>
      </c>
      <c r="M9" s="206">
        <v>19128150</v>
      </c>
      <c r="N9" s="206">
        <v>20914461</v>
      </c>
      <c r="O9" s="206">
        <v>20380664</v>
      </c>
      <c r="P9" s="206">
        <v>21964715</v>
      </c>
      <c r="Q9" s="206">
        <v>22597089</v>
      </c>
      <c r="R9" s="206">
        <v>20745143</v>
      </c>
      <c r="S9" s="206">
        <v>22367940.18866</v>
      </c>
      <c r="T9" s="206">
        <v>23115890.775979999</v>
      </c>
      <c r="U9" s="206">
        <v>24972742.652060002</v>
      </c>
      <c r="V9" s="206">
        <v>25007291.648669999</v>
      </c>
      <c r="W9" s="211"/>
      <c r="X9" s="239">
        <f t="shared" si="3"/>
        <v>1.3834682514195507E-3</v>
      </c>
      <c r="Y9" s="239">
        <f t="shared" si="4"/>
        <v>0.20545284497050709</v>
      </c>
    </row>
    <row r="10" spans="1:29" ht="13" customHeight="1">
      <c r="B10" s="56" t="str">
        <f>IF('Summary | Sumário'!D$6=Names!B$3,Names!X9,Names!Y9)</f>
        <v>RWA for market risk - RWAMPAD</v>
      </c>
      <c r="C10" s="211">
        <v>565751</v>
      </c>
      <c r="D10" s="211">
        <v>476759</v>
      </c>
      <c r="E10" s="211">
        <v>323581</v>
      </c>
      <c r="F10" s="211">
        <v>480765</v>
      </c>
      <c r="G10" s="211">
        <f t="shared" si="2"/>
        <v>342159.71365999995</v>
      </c>
      <c r="H10" s="211">
        <v>1043214</v>
      </c>
      <c r="I10" s="211">
        <v>866292</v>
      </c>
      <c r="J10" s="211">
        <v>433261</v>
      </c>
      <c r="K10" s="211">
        <v>323581</v>
      </c>
      <c r="L10" s="211">
        <v>356818</v>
      </c>
      <c r="M10" s="211">
        <v>465550</v>
      </c>
      <c r="N10" s="211">
        <v>618763</v>
      </c>
      <c r="O10" s="211">
        <v>480765</v>
      </c>
      <c r="P10" s="211">
        <v>216277</v>
      </c>
      <c r="Q10" s="211">
        <v>349892</v>
      </c>
      <c r="R10" s="211">
        <v>341714</v>
      </c>
      <c r="S10" s="211">
        <v>342159.71365999995</v>
      </c>
      <c r="T10" s="211">
        <v>754382.50448</v>
      </c>
      <c r="U10" s="211">
        <v>593941.35390999995</v>
      </c>
      <c r="V10" s="211">
        <v>1328691.41713</v>
      </c>
      <c r="W10" s="211"/>
      <c r="X10" s="240">
        <f t="shared" si="3"/>
        <v>1.2370751057878633</v>
      </c>
      <c r="Y10" s="240">
        <f t="shared" si="4"/>
        <v>2.888314254405731</v>
      </c>
    </row>
    <row r="11" spans="1:29" ht="13" customHeight="1">
      <c r="B11" s="61" t="str">
        <f>IF('Summary | Sumário'!D$6=Names!B$3,Names!X10,Names!Y10)</f>
        <v>RWA for operating risk by standard approach - RWAOPAD</v>
      </c>
      <c r="C11" s="206">
        <v>720179</v>
      </c>
      <c r="D11" s="206">
        <v>1102047</v>
      </c>
      <c r="E11" s="206">
        <v>1431287</v>
      </c>
      <c r="F11" s="206">
        <v>2506066</v>
      </c>
      <c r="G11" s="206">
        <f t="shared" si="2"/>
        <v>4035634.4101300002</v>
      </c>
      <c r="H11" s="206">
        <v>1140877</v>
      </c>
      <c r="I11" s="206">
        <v>1140877</v>
      </c>
      <c r="J11" s="206">
        <v>1431287</v>
      </c>
      <c r="K11" s="206">
        <v>1431287</v>
      </c>
      <c r="L11" s="206">
        <v>1937597</v>
      </c>
      <c r="M11" s="206">
        <v>1937597</v>
      </c>
      <c r="N11" s="206">
        <v>2506066</v>
      </c>
      <c r="O11" s="206">
        <v>2506066</v>
      </c>
      <c r="P11" s="206">
        <v>3163982</v>
      </c>
      <c r="Q11" s="206">
        <v>3163982</v>
      </c>
      <c r="R11" s="206">
        <v>4035634</v>
      </c>
      <c r="S11" s="206">
        <v>4035634.4101300002</v>
      </c>
      <c r="T11" s="206">
        <v>4995478.8517500004</v>
      </c>
      <c r="U11" s="206">
        <v>4995478.8517500004</v>
      </c>
      <c r="V11" s="206">
        <v>5939055.1324999994</v>
      </c>
      <c r="W11" s="211"/>
      <c r="X11" s="239">
        <f t="shared" si="3"/>
        <v>0.18888605251915913</v>
      </c>
      <c r="Y11" s="239">
        <f t="shared" si="4"/>
        <v>0.47165355740882342</v>
      </c>
    </row>
    <row r="12" spans="1:29" ht="13" customHeight="1">
      <c r="B12" s="56" t="str">
        <f>IF('Summary | Sumário'!D$6=Names!B$3,Names!X21,Names!Y21)</f>
        <v>RWA for payments services - RWASP</v>
      </c>
      <c r="C12" s="211"/>
      <c r="D12" s="211"/>
      <c r="E12" s="211"/>
      <c r="F12" s="211"/>
      <c r="G12" s="211"/>
      <c r="H12" s="211"/>
      <c r="I12" s="211"/>
      <c r="J12" s="211"/>
      <c r="K12" s="211"/>
      <c r="L12" s="211"/>
      <c r="M12" s="211"/>
      <c r="N12" s="211"/>
      <c r="O12" s="211"/>
      <c r="P12" s="211"/>
      <c r="Q12" s="211"/>
      <c r="R12" s="211"/>
      <c r="S12" s="211"/>
      <c r="T12" s="211"/>
      <c r="U12" s="211"/>
      <c r="V12" s="211">
        <v>410647.4877</v>
      </c>
      <c r="W12" s="211"/>
      <c r="X12" s="240"/>
      <c r="Y12" s="240"/>
    </row>
    <row r="13" spans="1:29" ht="13" customHeight="1">
      <c r="B13" s="55" t="str">
        <f>IF('Summary | Sumário'!D$6=Names!B$3,Names!X11,Names!Y11)</f>
        <v>Capital requirement</v>
      </c>
      <c r="C13" s="206"/>
      <c r="D13" s="206"/>
      <c r="E13" s="206"/>
      <c r="F13" s="206"/>
      <c r="G13" s="206"/>
      <c r="H13" s="206"/>
      <c r="I13" s="206"/>
      <c r="J13" s="206"/>
      <c r="K13" s="206"/>
      <c r="L13" s="206"/>
      <c r="M13" s="206"/>
      <c r="N13" s="206"/>
      <c r="O13" s="206"/>
      <c r="P13" s="206"/>
      <c r="Q13" s="206"/>
      <c r="R13" s="206"/>
      <c r="S13" s="206"/>
      <c r="T13" s="206"/>
      <c r="U13" s="206"/>
      <c r="V13" s="206"/>
      <c r="W13" s="211"/>
      <c r="X13" s="206"/>
      <c r="Y13" s="206"/>
    </row>
    <row r="14" spans="1:29" ht="13" customHeight="1">
      <c r="B14" s="56" t="str">
        <f>IF('Summary | Sumário'!D$6=Names!B$3,Names!X12,Names!Y12)</f>
        <v>Minimum principal capital required for RWA</v>
      </c>
      <c r="C14" s="211">
        <v>242472</v>
      </c>
      <c r="D14" s="211">
        <v>433940</v>
      </c>
      <c r="E14" s="211">
        <v>807897</v>
      </c>
      <c r="F14" s="211">
        <v>1104771</v>
      </c>
      <c r="G14" s="211">
        <f t="shared" ref="G14:G16" si="5">S14</f>
        <v>1203558.04406025</v>
      </c>
      <c r="H14" s="211">
        <v>524783</v>
      </c>
      <c r="I14" s="211">
        <v>614921</v>
      </c>
      <c r="J14" s="211">
        <v>719702</v>
      </c>
      <c r="K14" s="211">
        <v>807897</v>
      </c>
      <c r="L14" s="211">
        <v>888269</v>
      </c>
      <c r="M14" s="211">
        <v>968908</v>
      </c>
      <c r="N14" s="211">
        <v>1081768</v>
      </c>
      <c r="O14" s="211">
        <v>1104771</v>
      </c>
      <c r="P14" s="211">
        <v>1140524</v>
      </c>
      <c r="Q14" s="211">
        <v>1174993</v>
      </c>
      <c r="R14" s="211">
        <v>1130512</v>
      </c>
      <c r="S14" s="211">
        <v>1203558.04406025</v>
      </c>
      <c r="T14" s="211">
        <v>1298958.845949</v>
      </c>
      <c r="U14" s="211">
        <v>1375297.3285974001</v>
      </c>
      <c r="V14" s="211">
        <v>1470855.8558700001</v>
      </c>
      <c r="W14" s="211"/>
      <c r="X14" s="240">
        <f t="shared" ref="X14:X16" si="6">V14/U14-1</f>
        <v>6.9482086008307409E-2</v>
      </c>
      <c r="Y14" s="240">
        <f t="shared" ref="Y14:Y16" si="7">V14/R14-1</f>
        <v>0.30105284673669996</v>
      </c>
    </row>
    <row r="15" spans="1:29" ht="13" customHeight="1">
      <c r="B15" s="61" t="str">
        <f>IF('Summary | Sumário'!D$6=Names!B$3,Names!X13,Names!Y13)</f>
        <v>Tier I minimum reference equity required to RWA</v>
      </c>
      <c r="C15" s="206">
        <v>323296</v>
      </c>
      <c r="D15" s="206">
        <v>578587</v>
      </c>
      <c r="E15" s="206">
        <v>1077196</v>
      </c>
      <c r="F15" s="206">
        <v>1473028</v>
      </c>
      <c r="G15" s="206">
        <f t="shared" si="5"/>
        <v>1604744.0587470001</v>
      </c>
      <c r="H15" s="206">
        <v>699711</v>
      </c>
      <c r="I15" s="206">
        <v>819894</v>
      </c>
      <c r="J15" s="206">
        <v>959603</v>
      </c>
      <c r="K15" s="206">
        <v>1077196</v>
      </c>
      <c r="L15" s="206">
        <v>1184358</v>
      </c>
      <c r="M15" s="206">
        <v>1291878</v>
      </c>
      <c r="N15" s="206">
        <v>1442357</v>
      </c>
      <c r="O15" s="206">
        <v>1473028</v>
      </c>
      <c r="P15" s="206">
        <v>1520699</v>
      </c>
      <c r="Q15" s="206">
        <v>1566658</v>
      </c>
      <c r="R15" s="206">
        <v>1507349</v>
      </c>
      <c r="S15" s="206">
        <v>1604744.0587470001</v>
      </c>
      <c r="T15" s="206">
        <v>1731945.127932</v>
      </c>
      <c r="U15" s="206">
        <v>1833729.7714632</v>
      </c>
      <c r="V15" s="206">
        <v>1961141.1411599999</v>
      </c>
      <c r="W15" s="211"/>
      <c r="X15" s="239">
        <f t="shared" si="6"/>
        <v>6.9482086008307409E-2</v>
      </c>
      <c r="Y15" s="239">
        <f>V15/R15-1</f>
        <v>0.30105313444995141</v>
      </c>
    </row>
    <row r="16" spans="1:29" ht="13" customHeight="1">
      <c r="B16" s="56" t="str">
        <f>IF('Summary | Sumário'!D$6=Names!B$3,Names!X14,Names!Y14)</f>
        <v>Minimum Reference Equity required to RWA</v>
      </c>
      <c r="C16" s="211">
        <v>431061</v>
      </c>
      <c r="D16" s="211">
        <v>771449</v>
      </c>
      <c r="E16" s="211">
        <v>1435261</v>
      </c>
      <c r="F16" s="211">
        <v>1964037</v>
      </c>
      <c r="G16" s="211">
        <f t="shared" si="5"/>
        <v>2139658.7449960001</v>
      </c>
      <c r="H16" s="211">
        <v>932948</v>
      </c>
      <c r="I16" s="211">
        <v>1093192</v>
      </c>
      <c r="J16" s="211">
        <v>1279471</v>
      </c>
      <c r="K16" s="211">
        <v>1436261</v>
      </c>
      <c r="L16" s="211">
        <v>1579145</v>
      </c>
      <c r="M16" s="211">
        <v>1722504</v>
      </c>
      <c r="N16" s="211">
        <v>1923143</v>
      </c>
      <c r="O16" s="211">
        <v>1964037</v>
      </c>
      <c r="P16" s="211">
        <v>2027598</v>
      </c>
      <c r="Q16" s="211">
        <v>2088877</v>
      </c>
      <c r="R16" s="211">
        <v>2009799</v>
      </c>
      <c r="S16" s="211">
        <v>2139658.7449960001</v>
      </c>
      <c r="T16" s="211">
        <v>2309260.1705760001</v>
      </c>
      <c r="U16" s="211">
        <v>2444973.0286176004</v>
      </c>
      <c r="V16" s="211">
        <v>2614854.85488</v>
      </c>
      <c r="W16" s="211"/>
      <c r="X16" s="240">
        <f t="shared" si="6"/>
        <v>6.9482086008307187E-2</v>
      </c>
      <c r="Y16" s="240">
        <f t="shared" si="7"/>
        <v>0.30105291866500083</v>
      </c>
    </row>
    <row r="17" spans="2:25" ht="13" customHeight="1">
      <c r="B17" s="55" t="str">
        <f>IF('Summary | Sumário'!D$6=Names!B$3,Names!X15,Names!Y15)</f>
        <v>Margin on capital requirements</v>
      </c>
      <c r="C17" s="206"/>
      <c r="D17" s="206"/>
      <c r="E17" s="206"/>
      <c r="F17" s="206"/>
      <c r="G17" s="206"/>
      <c r="H17" s="206"/>
      <c r="I17" s="206"/>
      <c r="J17" s="206"/>
      <c r="K17" s="206"/>
      <c r="L17" s="206"/>
      <c r="M17" s="206"/>
      <c r="N17" s="206"/>
      <c r="O17" s="206"/>
      <c r="P17" s="206"/>
      <c r="Q17" s="206"/>
      <c r="R17" s="206"/>
      <c r="S17" s="206"/>
      <c r="T17" s="206"/>
      <c r="U17" s="206"/>
      <c r="V17" s="206"/>
      <c r="W17" s="211"/>
      <c r="X17" s="206"/>
      <c r="Y17" s="206"/>
    </row>
    <row r="18" spans="2:25" ht="13" customHeight="1">
      <c r="B18" s="57" t="str">
        <f>IF('Summary | Sumário'!D$6=Names!B$3,Names!X16,Names!Y16)</f>
        <v>Margin on required principal capital</v>
      </c>
      <c r="C18" s="211">
        <v>1880665</v>
      </c>
      <c r="D18" s="211">
        <v>2644013</v>
      </c>
      <c r="E18" s="211">
        <v>7147341</v>
      </c>
      <c r="F18" s="211">
        <v>4808558</v>
      </c>
      <c r="G18" s="211">
        <f t="shared" ref="G18:G22" si="8">S18</f>
        <v>4934615.455249751</v>
      </c>
      <c r="H18" s="238">
        <v>2290820</v>
      </c>
      <c r="I18" s="238">
        <v>2067330</v>
      </c>
      <c r="J18" s="238">
        <v>7235320</v>
      </c>
      <c r="K18" s="238" t="s">
        <v>912</v>
      </c>
      <c r="L18" s="211">
        <v>6153746</v>
      </c>
      <c r="M18" s="211">
        <v>6111964</v>
      </c>
      <c r="N18" s="211">
        <v>6080324</v>
      </c>
      <c r="O18" s="211">
        <v>4808558</v>
      </c>
      <c r="P18" s="211">
        <v>4688860</v>
      </c>
      <c r="Q18" s="211">
        <v>4784744</v>
      </c>
      <c r="R18" s="211">
        <v>4833597</v>
      </c>
      <c r="S18" s="211">
        <v>4934615.455249751</v>
      </c>
      <c r="T18" s="211">
        <v>4554014.0388110001</v>
      </c>
      <c r="U18" s="211">
        <v>4519913.4834225997</v>
      </c>
      <c r="V18" s="211">
        <v>4087074.5813999996</v>
      </c>
      <c r="W18" s="211"/>
      <c r="X18" s="240">
        <f t="shared" ref="X18:X19" si="9">V18/U18-1</f>
        <v>-9.5762652008737792E-2</v>
      </c>
      <c r="Y18" s="240">
        <f t="shared" ref="Y18:Y19" si="10">V18/R18-1</f>
        <v>-0.15444448897994612</v>
      </c>
    </row>
    <row r="19" spans="2:25" ht="13" customHeight="1">
      <c r="B19" s="62" t="str">
        <f>IF('Summary | Sumário'!D$6=Names!B$3,Names!X17,Names!Y17)</f>
        <v>Margin on the tier I required reference equity</v>
      </c>
      <c r="C19" s="206">
        <v>1799831</v>
      </c>
      <c r="D19" s="206">
        <v>2499366</v>
      </c>
      <c r="E19" s="206">
        <v>6878042</v>
      </c>
      <c r="F19" s="206">
        <v>4440301</v>
      </c>
      <c r="G19" s="206">
        <f t="shared" si="8"/>
        <v>4533429.4405630007</v>
      </c>
      <c r="H19" s="237">
        <v>2115982</v>
      </c>
      <c r="I19" s="237">
        <v>1862356</v>
      </c>
      <c r="J19" s="237">
        <v>6995420</v>
      </c>
      <c r="K19" s="237">
        <v>6878042</v>
      </c>
      <c r="L19" s="206">
        <v>5857656</v>
      </c>
      <c r="M19" s="206">
        <v>5788994</v>
      </c>
      <c r="N19" s="206">
        <v>5719735</v>
      </c>
      <c r="O19" s="206">
        <v>4440301</v>
      </c>
      <c r="P19" s="206">
        <v>4308685</v>
      </c>
      <c r="Q19" s="206">
        <v>4393080</v>
      </c>
      <c r="R19" s="206">
        <v>4456759</v>
      </c>
      <c r="S19" s="206">
        <v>4533429.4405630007</v>
      </c>
      <c r="T19" s="206">
        <v>4121027.7568279998</v>
      </c>
      <c r="U19" s="206">
        <v>4061481.0405568001</v>
      </c>
      <c r="V19" s="206">
        <v>3596789.2961099995</v>
      </c>
      <c r="W19" s="211"/>
      <c r="X19" s="239">
        <f t="shared" si="9"/>
        <v>-0.1144143576706429</v>
      </c>
      <c r="Y19" s="239">
        <f t="shared" si="10"/>
        <v>-0.19295853868023838</v>
      </c>
    </row>
    <row r="20" spans="2:25" ht="13" customHeight="1">
      <c r="B20" s="53" t="str">
        <f>IF('Summary | Sumário'!D$6=Names!B$3,Names!X18,Names!Y18)</f>
        <v>Core capital ratio (CC/RWA)</v>
      </c>
      <c r="C20" s="240">
        <v>0.39400000000000002</v>
      </c>
      <c r="D20" s="240">
        <v>0.31900000000000001</v>
      </c>
      <c r="E20" s="240">
        <f t="shared" si="0"/>
        <v>0.44310820142722684</v>
      </c>
      <c r="F20" s="240">
        <f>O20</f>
        <v>0.24099999999999999</v>
      </c>
      <c r="G20" s="240">
        <f t="shared" si="8"/>
        <v>0.229501027251763</v>
      </c>
      <c r="H20" s="240">
        <v>0.24143715721212744</v>
      </c>
      <c r="I20" s="240">
        <v>0.19628756610770765</v>
      </c>
      <c r="J20" s="240">
        <v>0.4973946586368172</v>
      </c>
      <c r="K20" s="240">
        <v>0.44310820142722684</v>
      </c>
      <c r="L20" s="240">
        <v>0.35699999999999998</v>
      </c>
      <c r="M20" s="240">
        <v>0.32900000000000001</v>
      </c>
      <c r="N20" s="240">
        <v>0.29799999999999999</v>
      </c>
      <c r="O20" s="240">
        <v>0.24099999999999999</v>
      </c>
      <c r="P20" s="240">
        <v>0.23</v>
      </c>
      <c r="Q20" s="240">
        <v>0.22800000000000001</v>
      </c>
      <c r="R20" s="240">
        <v>0.2374</v>
      </c>
      <c r="S20" s="240">
        <v>0.229501027251763</v>
      </c>
      <c r="T20" s="240">
        <v>0.20276529979036845</v>
      </c>
      <c r="U20" s="240">
        <v>0.19289246116070838</v>
      </c>
      <c r="V20" s="240">
        <v>0.17004172684835503</v>
      </c>
      <c r="W20" s="240"/>
      <c r="X20" s="479">
        <f>(V20-U20)*100</f>
        <v>-2.2850734312353351</v>
      </c>
      <c r="Y20" s="479">
        <f>(V20-R20)*100</f>
        <v>-6.7358273151644967</v>
      </c>
    </row>
    <row r="21" spans="2:25" ht="13" customHeight="1">
      <c r="B21" s="55" t="str">
        <f>IF('Summary | Sumário'!D$6=Names!B$3,Names!X19,Names!Y19)</f>
        <v>Tier I capital ratio (tier I /RWA)</v>
      </c>
      <c r="C21" s="239">
        <v>0.39400000000000002</v>
      </c>
      <c r="D21" s="239">
        <v>0.31900000000000001</v>
      </c>
      <c r="E21" s="239">
        <f t="shared" si="0"/>
        <v>0.44310820142722684</v>
      </c>
      <c r="F21" s="239">
        <f t="shared" ref="F21:F22" si="11">O21</f>
        <v>0.24099999999999999</v>
      </c>
      <c r="G21" s="239">
        <f t="shared" si="8"/>
        <v>0.229501027251763</v>
      </c>
      <c r="H21" s="239">
        <v>0.24143715721212744</v>
      </c>
      <c r="I21" s="239">
        <v>0.19628756610770765</v>
      </c>
      <c r="J21" s="239">
        <v>0.4973946586368172</v>
      </c>
      <c r="K21" s="239">
        <v>0.44310820142722684</v>
      </c>
      <c r="L21" s="239">
        <v>0.35699999999999998</v>
      </c>
      <c r="M21" s="239">
        <v>0.32900000000000001</v>
      </c>
      <c r="N21" s="239">
        <v>0.29799999999999999</v>
      </c>
      <c r="O21" s="239">
        <v>0.24099999999999999</v>
      </c>
      <c r="P21" s="239">
        <v>0.23</v>
      </c>
      <c r="Q21" s="239">
        <v>0.22800000000000001</v>
      </c>
      <c r="R21" s="239">
        <v>0.2374</v>
      </c>
      <c r="S21" s="239">
        <v>0.229501027251763</v>
      </c>
      <c r="T21" s="239">
        <v>0.20276529979036845</v>
      </c>
      <c r="U21" s="239">
        <v>0.19289246116070838</v>
      </c>
      <c r="V21" s="239">
        <v>0.17004172684835503</v>
      </c>
      <c r="W21" s="240"/>
      <c r="X21" s="478">
        <f t="shared" ref="X21:X22" si="12">(V21-U21)*100</f>
        <v>-2.2850734312353351</v>
      </c>
      <c r="Y21" s="478">
        <f t="shared" ref="Y21:Y22" si="13">(V21-R21)*100</f>
        <v>-6.7358273151644967</v>
      </c>
    </row>
    <row r="22" spans="2:25" ht="13" customHeight="1">
      <c r="B22" s="53" t="str">
        <f>IF('Summary | Sumário'!D$6=Names!B$3,Names!X20,Names!Y20)</f>
        <v>Basel ratio (RE/RWA)</v>
      </c>
      <c r="C22" s="240">
        <v>0.39400000000000002</v>
      </c>
      <c r="D22" s="240">
        <v>0.31900000000000001</v>
      </c>
      <c r="E22" s="240">
        <f t="shared" si="0"/>
        <v>0.44310820142722684</v>
      </c>
      <c r="F22" s="240">
        <f t="shared" si="11"/>
        <v>0.24099999999999999</v>
      </c>
      <c r="G22" s="240">
        <f t="shared" si="8"/>
        <v>0.229501027251763</v>
      </c>
      <c r="H22" s="240">
        <v>0.24143715721212744</v>
      </c>
      <c r="I22" s="240">
        <v>0.19628756610770765</v>
      </c>
      <c r="J22" s="240">
        <v>0.4973946586368172</v>
      </c>
      <c r="K22" s="240">
        <v>0.44310820142722684</v>
      </c>
      <c r="L22" s="240">
        <v>0.35699999999999998</v>
      </c>
      <c r="M22" s="240">
        <v>0.32900000000000001</v>
      </c>
      <c r="N22" s="240">
        <v>0.29799999999999999</v>
      </c>
      <c r="O22" s="240">
        <v>0.24099999999999999</v>
      </c>
      <c r="P22" s="240">
        <v>0.23</v>
      </c>
      <c r="Q22" s="240">
        <v>0.22800000000000001</v>
      </c>
      <c r="R22" s="240">
        <v>0.2374</v>
      </c>
      <c r="S22" s="240">
        <v>0.229501027251763</v>
      </c>
      <c r="T22" s="240">
        <v>0.20276529979036845</v>
      </c>
      <c r="U22" s="240">
        <v>0.19289246116070838</v>
      </c>
      <c r="V22" s="240">
        <v>0.17004172684835503</v>
      </c>
      <c r="W22" s="240"/>
      <c r="X22" s="479">
        <f t="shared" si="12"/>
        <v>-2.2850734312353351</v>
      </c>
      <c r="Y22" s="479">
        <f t="shared" si="13"/>
        <v>-6.7358273151644967</v>
      </c>
    </row>
    <row r="23" spans="2:25" ht="13" customHeight="1">
      <c r="B23" s="120"/>
      <c r="C23" s="241"/>
      <c r="D23" s="241"/>
      <c r="E23" s="241"/>
      <c r="F23" s="241"/>
      <c r="G23" s="241"/>
      <c r="H23" s="241"/>
      <c r="I23" s="241"/>
      <c r="J23" s="241"/>
      <c r="K23" s="241"/>
      <c r="L23" s="241"/>
      <c r="M23" s="241"/>
      <c r="N23" s="241"/>
      <c r="O23" s="241"/>
      <c r="P23" s="241"/>
      <c r="Q23" s="241"/>
      <c r="R23" s="393"/>
      <c r="S23" s="393"/>
      <c r="T23" s="393"/>
      <c r="U23" s="393"/>
      <c r="V23" s="241"/>
      <c r="W23" s="241"/>
      <c r="X23" s="241"/>
      <c r="Y23" s="241"/>
    </row>
    <row r="24" spans="2:25" ht="13" customHeight="1">
      <c r="B24" s="120"/>
      <c r="C24" s="241"/>
      <c r="D24" s="241"/>
      <c r="E24" s="241"/>
      <c r="F24" s="241"/>
      <c r="G24" s="242"/>
      <c r="H24" s="241"/>
      <c r="I24" s="241"/>
      <c r="J24" s="241"/>
      <c r="K24" s="241"/>
      <c r="L24" s="241"/>
      <c r="M24" s="241"/>
      <c r="N24" s="241"/>
      <c r="O24" s="241"/>
      <c r="P24" s="241"/>
      <c r="Q24" s="241"/>
      <c r="R24" s="241"/>
      <c r="S24" s="241"/>
      <c r="T24" s="241"/>
      <c r="U24" s="241"/>
      <c r="V24" s="242"/>
      <c r="W24" s="242"/>
      <c r="X24" s="242"/>
      <c r="Y24" s="242"/>
    </row>
    <row r="25" spans="2:25" ht="13" customHeight="1">
      <c r="B25" s="120"/>
      <c r="C25" s="242"/>
      <c r="D25" s="242"/>
      <c r="E25" s="242"/>
      <c r="F25" s="242"/>
      <c r="G25" s="242"/>
      <c r="H25" s="242"/>
      <c r="I25" s="242"/>
      <c r="J25" s="242"/>
      <c r="K25" s="242"/>
      <c r="L25" s="242"/>
      <c r="M25" s="242"/>
      <c r="N25" s="242"/>
      <c r="O25" s="242"/>
      <c r="P25" s="242"/>
      <c r="Q25" s="242"/>
      <c r="R25" s="242"/>
      <c r="S25" s="242"/>
      <c r="T25" s="242"/>
      <c r="U25" s="242"/>
      <c r="V25" s="242"/>
      <c r="W25" s="242"/>
      <c r="X25" s="242"/>
      <c r="Y25" s="242"/>
    </row>
    <row r="26" spans="2:25" ht="13" customHeight="1">
      <c r="B26" s="120"/>
      <c r="C26" s="242"/>
      <c r="D26" s="242"/>
      <c r="E26" s="242"/>
      <c r="F26" s="242"/>
      <c r="G26" s="242"/>
      <c r="H26" s="242"/>
      <c r="I26" s="242"/>
      <c r="J26" s="242"/>
      <c r="K26" s="242"/>
      <c r="L26" s="242"/>
      <c r="M26" s="242"/>
      <c r="N26" s="242"/>
      <c r="O26" s="242"/>
      <c r="P26" s="242"/>
      <c r="Q26" s="242"/>
      <c r="R26" s="242"/>
      <c r="S26" s="242"/>
      <c r="T26" s="242"/>
      <c r="U26" s="242"/>
      <c r="V26" s="242"/>
      <c r="W26" s="242"/>
      <c r="X26" s="242"/>
      <c r="Y26" s="242"/>
    </row>
    <row r="27" spans="2:25" ht="13" customHeight="1">
      <c r="B27" s="120"/>
      <c r="C27" s="241"/>
      <c r="D27" s="241"/>
      <c r="E27" s="241"/>
      <c r="F27" s="241"/>
      <c r="G27" s="241"/>
      <c r="H27" s="241"/>
      <c r="I27" s="241"/>
      <c r="J27" s="241"/>
      <c r="K27" s="241"/>
      <c r="L27" s="241"/>
      <c r="M27" s="241"/>
      <c r="N27" s="241"/>
      <c r="O27" s="241"/>
      <c r="P27" s="241"/>
      <c r="Q27" s="241"/>
      <c r="R27" s="241"/>
      <c r="S27" s="241"/>
      <c r="T27" s="241"/>
      <c r="U27" s="241"/>
      <c r="V27" s="241"/>
      <c r="W27" s="241"/>
      <c r="X27" s="241"/>
      <c r="Y27" s="241"/>
    </row>
    <row r="28" spans="2:25" ht="13" customHeight="1">
      <c r="B28" s="120"/>
      <c r="C28" s="241"/>
      <c r="D28" s="241"/>
      <c r="E28" s="241"/>
      <c r="F28" s="241"/>
      <c r="G28" s="241"/>
      <c r="H28" s="241"/>
      <c r="I28" s="241"/>
      <c r="J28" s="241"/>
      <c r="K28" s="241"/>
      <c r="L28" s="241"/>
      <c r="M28" s="241"/>
      <c r="N28" s="241"/>
      <c r="O28" s="241"/>
      <c r="P28" s="241"/>
      <c r="Q28" s="241"/>
      <c r="R28" s="241"/>
      <c r="S28" s="241"/>
      <c r="T28" s="241"/>
      <c r="U28" s="241"/>
      <c r="V28" s="241"/>
      <c r="W28" s="241"/>
      <c r="X28" s="241"/>
      <c r="Y28" s="241"/>
    </row>
    <row r="29" spans="2:25" ht="13" customHeight="1">
      <c r="B29" s="120"/>
      <c r="C29" s="241"/>
      <c r="D29" s="241"/>
      <c r="E29" s="241"/>
      <c r="F29" s="241"/>
      <c r="G29" s="241"/>
      <c r="H29" s="241"/>
      <c r="I29" s="241"/>
      <c r="J29" s="241"/>
      <c r="K29" s="241"/>
      <c r="L29" s="241"/>
      <c r="M29" s="241"/>
      <c r="N29" s="241"/>
      <c r="O29" s="241"/>
      <c r="P29" s="241"/>
      <c r="Q29" s="241"/>
      <c r="R29" s="241"/>
      <c r="S29" s="241"/>
      <c r="T29" s="241"/>
      <c r="U29" s="241"/>
      <c r="V29" s="241"/>
      <c r="W29" s="241"/>
      <c r="X29" s="241"/>
      <c r="Y29" s="241"/>
    </row>
    <row r="30" spans="2:25" ht="13" customHeight="1">
      <c r="B30" s="120"/>
      <c r="C30" s="241"/>
      <c r="D30" s="241"/>
      <c r="E30" s="241"/>
      <c r="F30" s="241"/>
      <c r="G30" s="241"/>
      <c r="H30" s="241"/>
      <c r="I30" s="241"/>
      <c r="J30" s="241"/>
      <c r="K30" s="241"/>
      <c r="L30" s="241"/>
      <c r="M30" s="241"/>
      <c r="N30" s="241"/>
      <c r="O30" s="241"/>
      <c r="P30" s="241"/>
      <c r="Q30" s="241"/>
      <c r="R30" s="241"/>
      <c r="S30" s="241"/>
      <c r="T30" s="241"/>
      <c r="U30" s="241"/>
      <c r="V30" s="241"/>
      <c r="W30" s="241"/>
      <c r="X30" s="241"/>
      <c r="Y30" s="241"/>
    </row>
    <row r="31" spans="2:25" ht="13" customHeight="1">
      <c r="B31" s="120"/>
      <c r="C31" s="241"/>
      <c r="D31" s="241"/>
      <c r="E31" s="241"/>
      <c r="F31" s="241"/>
      <c r="G31" s="241"/>
      <c r="H31" s="241"/>
      <c r="I31" s="241"/>
      <c r="J31" s="241"/>
      <c r="K31" s="241"/>
      <c r="L31" s="241"/>
      <c r="M31" s="241"/>
      <c r="N31" s="241"/>
      <c r="O31" s="241"/>
      <c r="P31" s="241"/>
      <c r="Q31" s="241"/>
      <c r="R31" s="241"/>
      <c r="S31" s="241"/>
      <c r="T31" s="241"/>
      <c r="U31" s="241"/>
      <c r="V31" s="241"/>
      <c r="W31" s="241"/>
      <c r="X31" s="241"/>
      <c r="Y31" s="241"/>
    </row>
    <row r="32" spans="2:25" ht="13" customHeight="1">
      <c r="B32" s="121"/>
      <c r="O32" s="394"/>
      <c r="R32" s="394"/>
      <c r="S32" s="394"/>
      <c r="T32" s="394"/>
      <c r="U32" s="394"/>
    </row>
    <row r="33" spans="2:21" ht="13" customHeight="1">
      <c r="B33" s="122"/>
    </row>
    <row r="34" spans="2:21" ht="13" customHeight="1">
      <c r="O34" s="394"/>
      <c r="R34" s="394"/>
      <c r="S34" s="394"/>
      <c r="T34" s="394"/>
      <c r="U34" s="394"/>
    </row>
  </sheetData>
  <sheetProtection algorithmName="SHA-512" hashValue="W7V8UDn9Wtv6G67kL4W4V901etS0Xq5wIBu9HQQNgywpL28YGOVdhXrXu/HgTrBeLnEm6iP2RFpmLr2oHs5bnA==" saltValue="CGn+OJNryHoS+qmd6T7H8Q=="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E1F96-96B0-404C-B04E-D3393ACCD1B8}">
  <sheetPr>
    <tabColor theme="5" tint="0.59999389629810485"/>
  </sheetPr>
  <dimension ref="B1:AC56"/>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6" customWidth="1"/>
    <col min="23" max="23" width="5.83203125" style="136" customWidth="1"/>
    <col min="24" max="25" width="10.83203125" style="136" customWidth="1"/>
    <col min="26" max="16384" width="10.83203125" style="135"/>
  </cols>
  <sheetData>
    <row r="1" spans="2:29" ht="13" customHeight="1">
      <c r="Z1" s="136"/>
    </row>
    <row r="2" spans="2:29" s="10" customFormat="1" ht="13" customHeight="1">
      <c r="B2" s="319" t="str">
        <f>IF('Summary | Sumário'!D$6=Names!B$3,Names!Z1,Names!AA1)</f>
        <v>NIMs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70">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2:29" ht="13" customHeight="1">
      <c r="B3" s="49"/>
      <c r="C3" s="178"/>
      <c r="D3" s="178"/>
      <c r="E3" s="178"/>
      <c r="F3" s="178"/>
      <c r="G3" s="178"/>
      <c r="H3" s="178"/>
      <c r="I3" s="178"/>
      <c r="J3" s="178"/>
      <c r="K3" s="178"/>
      <c r="L3" s="178"/>
      <c r="M3" s="178"/>
      <c r="N3" s="178"/>
      <c r="O3" s="178"/>
      <c r="P3" s="178"/>
      <c r="Q3" s="178"/>
      <c r="R3" s="178"/>
      <c r="S3" s="178"/>
      <c r="T3" s="178"/>
      <c r="U3" s="178"/>
      <c r="V3" s="178"/>
      <c r="W3" s="178"/>
      <c r="X3" s="178"/>
      <c r="Y3" s="178"/>
      <c r="Z3" s="147"/>
    </row>
    <row r="4" spans="2:29" ht="13" customHeight="1">
      <c r="B4" s="3" t="str">
        <f>IF('Summary | Sumário'!D$6=Names!B$3,Names!Z3,Names!AA3)</f>
        <v>NIM 1.0 - IEP + non-interest credit card receivables</v>
      </c>
      <c r="C4" s="214"/>
      <c r="D4" s="214"/>
      <c r="E4" s="214"/>
      <c r="F4" s="214"/>
      <c r="G4" s="214"/>
      <c r="H4" s="214"/>
      <c r="I4" s="214"/>
      <c r="J4" s="214"/>
      <c r="K4" s="214"/>
      <c r="L4" s="214"/>
      <c r="M4" s="214"/>
      <c r="N4" s="214"/>
      <c r="O4" s="214"/>
      <c r="P4" s="214"/>
      <c r="Q4" s="214"/>
      <c r="R4" s="214"/>
      <c r="S4" s="214"/>
      <c r="T4" s="214"/>
      <c r="U4" s="214"/>
      <c r="V4" s="214"/>
      <c r="W4" s="214"/>
      <c r="X4" s="214"/>
      <c r="Y4" s="214"/>
    </row>
    <row r="5" spans="2:29" ht="13" customHeight="1">
      <c r="B5" s="356" t="str">
        <f>IF('Summary | Sumário'!D$6=Names!B$3,Names!Z4,Names!AA4)</f>
        <v>Annualized NII</v>
      </c>
      <c r="C5" s="357">
        <f>C6</f>
        <v>585551</v>
      </c>
      <c r="D5" s="357">
        <f>D6</f>
        <v>715962.89517999999</v>
      </c>
      <c r="E5" s="357">
        <f t="shared" ref="E5:G5" si="0">E6</f>
        <v>1589469.2459999998</v>
      </c>
      <c r="F5" s="357">
        <f t="shared" si="0"/>
        <v>2335429.0819999995</v>
      </c>
      <c r="G5" s="357">
        <f t="shared" si="0"/>
        <v>3208088</v>
      </c>
      <c r="H5" s="357">
        <f>H6*4</f>
        <v>1166323.74</v>
      </c>
      <c r="I5" s="357">
        <f t="shared" ref="I5:V5" si="1">I6*4</f>
        <v>1209183.0040000002</v>
      </c>
      <c r="J5" s="357">
        <f t="shared" si="1"/>
        <v>1789479.52</v>
      </c>
      <c r="K5" s="357">
        <f t="shared" si="1"/>
        <v>2192886.7199999997</v>
      </c>
      <c r="L5" s="357">
        <f t="shared" si="1"/>
        <v>2173642.5279999999</v>
      </c>
      <c r="M5" s="357">
        <f t="shared" si="1"/>
        <v>2244350.5480000004</v>
      </c>
      <c r="N5" s="357">
        <f t="shared" si="1"/>
        <v>2222350.9240000001</v>
      </c>
      <c r="O5" s="357">
        <f t="shared" si="1"/>
        <v>2701372.3279999997</v>
      </c>
      <c r="P5" s="357">
        <f t="shared" si="1"/>
        <v>2846247.2880000002</v>
      </c>
      <c r="Q5" s="357">
        <f t="shared" si="1"/>
        <v>3208300</v>
      </c>
      <c r="R5" s="357">
        <f t="shared" si="1"/>
        <v>3274228.3549600001</v>
      </c>
      <c r="S5" s="357">
        <f t="shared" si="1"/>
        <v>3503580.3370399997</v>
      </c>
      <c r="T5" s="357">
        <f t="shared" si="1"/>
        <v>3882660.4387999987</v>
      </c>
      <c r="U5" s="357">
        <f t="shared" si="1"/>
        <v>4118666.9160000002</v>
      </c>
      <c r="V5" s="357">
        <f t="shared" si="1"/>
        <v>4539049.1119999997</v>
      </c>
      <c r="W5" s="211"/>
      <c r="X5" s="455">
        <f>V5/U5-1</f>
        <v>0.10206753898134346</v>
      </c>
      <c r="Y5" s="455">
        <f>V5/R5-1</f>
        <v>0.38629582909938831</v>
      </c>
    </row>
    <row r="6" spans="2:29" ht="13" customHeight="1">
      <c r="B6" s="57" t="str">
        <f>IF('Summary | Sumário'!D$6=Names!B$3,Names!Z5,Names!AA5)</f>
        <v>NII</v>
      </c>
      <c r="C6" s="211">
        <f t="shared" ref="C6:V6" si="2">SUM(C7:C7)</f>
        <v>585551</v>
      </c>
      <c r="D6" s="211">
        <f t="shared" si="2"/>
        <v>715962.89517999999</v>
      </c>
      <c r="E6" s="211">
        <f t="shared" si="2"/>
        <v>1589469.2459999998</v>
      </c>
      <c r="F6" s="211">
        <f t="shared" si="2"/>
        <v>2335429.0819999995</v>
      </c>
      <c r="G6" s="211">
        <f t="shared" si="2"/>
        <v>3208088</v>
      </c>
      <c r="H6" s="211">
        <f t="shared" si="2"/>
        <v>291580.935</v>
      </c>
      <c r="I6" s="211">
        <f t="shared" si="2"/>
        <v>302295.75100000005</v>
      </c>
      <c r="J6" s="211">
        <f t="shared" si="2"/>
        <v>447369.88</v>
      </c>
      <c r="K6" s="211">
        <f t="shared" si="2"/>
        <v>548221.67999999993</v>
      </c>
      <c r="L6" s="211">
        <f t="shared" si="2"/>
        <v>543410.63199999998</v>
      </c>
      <c r="M6" s="211">
        <f t="shared" si="2"/>
        <v>561087.6370000001</v>
      </c>
      <c r="N6" s="211">
        <f t="shared" si="2"/>
        <v>555587.73100000003</v>
      </c>
      <c r="O6" s="211">
        <f t="shared" si="2"/>
        <v>675343.08199999994</v>
      </c>
      <c r="P6" s="211">
        <f t="shared" si="2"/>
        <v>711561.82200000004</v>
      </c>
      <c r="Q6" s="211">
        <f t="shared" si="2"/>
        <v>802075</v>
      </c>
      <c r="R6" s="211">
        <f t="shared" si="2"/>
        <v>818557.08874000004</v>
      </c>
      <c r="S6" s="211">
        <f t="shared" si="2"/>
        <v>875895.08425999992</v>
      </c>
      <c r="T6" s="211">
        <f t="shared" si="2"/>
        <v>970665.10969999968</v>
      </c>
      <c r="U6" s="211">
        <f t="shared" si="2"/>
        <v>1029666.7290000001</v>
      </c>
      <c r="V6" s="211">
        <f t="shared" si="2"/>
        <v>1134762.2779999999</v>
      </c>
      <c r="W6" s="211"/>
      <c r="X6" s="456">
        <f t="shared" ref="X6:X13" si="3">V6/U6-1</f>
        <v>0.10206753898134346</v>
      </c>
      <c r="Y6" s="456">
        <f t="shared" ref="Y6:Y13" si="4">V6/R6-1</f>
        <v>0.38629582909938831</v>
      </c>
    </row>
    <row r="7" spans="2:29" ht="13" customHeight="1">
      <c r="B7" s="70" t="str">
        <f>IF('Summary | Sumário'!D$6=Names!B$3,Names!Z6,Names!AA6)</f>
        <v>Net interest income</v>
      </c>
      <c r="C7" s="225">
        <v>585551</v>
      </c>
      <c r="D7" s="225">
        <v>715962.89517999999</v>
      </c>
      <c r="E7" s="225">
        <v>1589469.2459999998</v>
      </c>
      <c r="F7" s="225">
        <v>2335429.0819999995</v>
      </c>
      <c r="G7" s="225">
        <v>3208088</v>
      </c>
      <c r="H7" s="225">
        <v>291580.935</v>
      </c>
      <c r="I7" s="225">
        <v>302295.75100000005</v>
      </c>
      <c r="J7" s="225">
        <v>447369.88</v>
      </c>
      <c r="K7" s="225">
        <v>548221.67999999993</v>
      </c>
      <c r="L7" s="225">
        <v>543410.63199999998</v>
      </c>
      <c r="M7" s="225">
        <v>561087.6370000001</v>
      </c>
      <c r="N7" s="225">
        <v>555587.73100000003</v>
      </c>
      <c r="O7" s="225">
        <v>675343.08199999994</v>
      </c>
      <c r="P7" s="225">
        <v>711561.82200000004</v>
      </c>
      <c r="Q7" s="225">
        <v>802075</v>
      </c>
      <c r="R7" s="225">
        <v>818557.08874000004</v>
      </c>
      <c r="S7" s="225">
        <v>875895.08425999992</v>
      </c>
      <c r="T7" s="225">
        <v>970665.10969999968</v>
      </c>
      <c r="U7" s="225">
        <v>1029666.7290000001</v>
      </c>
      <c r="V7" s="225">
        <v>1134762.2779999999</v>
      </c>
      <c r="W7" s="226"/>
      <c r="X7" s="473">
        <f t="shared" si="3"/>
        <v>0.10206753898134346</v>
      </c>
      <c r="Y7" s="473">
        <f t="shared" si="4"/>
        <v>0.38629582909938831</v>
      </c>
    </row>
    <row r="8" spans="2:29" ht="13" customHeight="1">
      <c r="B8" s="66" t="str">
        <f>IF('Summary | Sumário'!D$6=Names!B$3,Names!Z8,Names!AA8)</f>
        <v>(÷) Avg of the last two periods of IEP + non-interest credit card receivables</v>
      </c>
      <c r="C8" s="226">
        <f>C9</f>
        <v>5973015</v>
      </c>
      <c r="D8" s="226">
        <f>(D9+C9)/2</f>
        <v>10411611</v>
      </c>
      <c r="E8" s="226">
        <f t="shared" ref="E8:G8" si="5">(E9+D9)/2</f>
        <v>23141067</v>
      </c>
      <c r="F8" s="226">
        <f t="shared" si="5"/>
        <v>34759632</v>
      </c>
      <c r="G8" s="226">
        <f t="shared" si="5"/>
        <v>43289367.897454999</v>
      </c>
      <c r="H8" s="226">
        <f>AVERAGE(H9,D9)</f>
        <v>15987577.5</v>
      </c>
      <c r="I8" s="226">
        <f>AVERAGE(I9,H9)</f>
        <v>19027250.5</v>
      </c>
      <c r="J8" s="226">
        <f t="shared" ref="J8:V8" si="6">AVERAGE(J9,I9)</f>
        <v>24944048</v>
      </c>
      <c r="K8" s="226">
        <f t="shared" si="6"/>
        <v>30195235</v>
      </c>
      <c r="L8" s="226">
        <f t="shared" si="6"/>
        <v>31479814</v>
      </c>
      <c r="M8" s="226">
        <f t="shared" si="6"/>
        <v>32288221</v>
      </c>
      <c r="N8" s="226">
        <f t="shared" si="6"/>
        <v>34830595</v>
      </c>
      <c r="O8" s="226">
        <f t="shared" si="6"/>
        <v>37349893</v>
      </c>
      <c r="P8" s="226">
        <f t="shared" si="6"/>
        <v>38382525.5</v>
      </c>
      <c r="Q8" s="226">
        <f t="shared" si="6"/>
        <v>39465908</v>
      </c>
      <c r="R8" s="226">
        <f t="shared" si="6"/>
        <v>41971325.694665</v>
      </c>
      <c r="S8" s="226">
        <f t="shared" si="6"/>
        <v>46089974.092119999</v>
      </c>
      <c r="T8" s="226">
        <f t="shared" si="6"/>
        <v>49772164.046540096</v>
      </c>
      <c r="U8" s="226">
        <f t="shared" si="6"/>
        <v>52711747.047085106</v>
      </c>
      <c r="V8" s="226">
        <f t="shared" si="6"/>
        <v>55840226.956757471</v>
      </c>
      <c r="W8" s="226"/>
      <c r="X8" s="480">
        <f t="shared" si="3"/>
        <v>5.9350715636076856E-2</v>
      </c>
      <c r="Y8" s="480">
        <f t="shared" si="4"/>
        <v>0.33043753163735201</v>
      </c>
    </row>
    <row r="9" spans="2:29" ht="13" customHeight="1">
      <c r="B9" s="71" t="str">
        <f>IF('Summary | Sumário'!D$6=Names!B$3,Names!Z9,Names!AA9)</f>
        <v>IEP + non-interest credit card receivables</v>
      </c>
      <c r="C9" s="227">
        <f>SUM(C10:C13)</f>
        <v>5973015</v>
      </c>
      <c r="D9" s="227">
        <f>SUM(D10:D13)</f>
        <v>14850207</v>
      </c>
      <c r="E9" s="227">
        <f t="shared" ref="E9:F9" si="7">SUM(E10:E13)</f>
        <v>31431927</v>
      </c>
      <c r="F9" s="227">
        <f t="shared" si="7"/>
        <v>38087337</v>
      </c>
      <c r="G9" s="227">
        <f t="shared" ref="G9" si="8">SUM(G10:G13)</f>
        <v>48491398.794909999</v>
      </c>
      <c r="H9" s="227">
        <f t="shared" ref="H9:I9" si="9">SUM(H10:H13)</f>
        <v>17124948</v>
      </c>
      <c r="I9" s="227">
        <f t="shared" si="9"/>
        <v>20929553</v>
      </c>
      <c r="J9" s="227">
        <f t="shared" ref="J9" si="10">SUM(J10:J13)</f>
        <v>28958543</v>
      </c>
      <c r="K9" s="227">
        <f t="shared" ref="K9" si="11">SUM(K10:K13)</f>
        <v>31431927</v>
      </c>
      <c r="L9" s="227">
        <f t="shared" ref="L9" si="12">SUM(L10:L13)</f>
        <v>31527701</v>
      </c>
      <c r="M9" s="227">
        <f t="shared" ref="M9" si="13">SUM(M10:M13)</f>
        <v>33048741</v>
      </c>
      <c r="N9" s="227">
        <f t="shared" ref="N9" si="14">SUM(N10:N13)</f>
        <v>36612449</v>
      </c>
      <c r="O9" s="227">
        <f t="shared" ref="O9" si="15">SUM(O10:O13)</f>
        <v>38087337</v>
      </c>
      <c r="P9" s="227">
        <f t="shared" ref="P9:Q9" si="16">SUM(P10:P13)</f>
        <v>38677714</v>
      </c>
      <c r="Q9" s="227">
        <f t="shared" si="16"/>
        <v>40254102</v>
      </c>
      <c r="R9" s="227">
        <f t="shared" ref="R9:S9" si="17">SUM(R10:R13)</f>
        <v>43688549.38933</v>
      </c>
      <c r="S9" s="227">
        <f t="shared" si="17"/>
        <v>48491398.794909999</v>
      </c>
      <c r="T9" s="227">
        <f t="shared" ref="T9:U9" si="18">SUM(T10:T13)</f>
        <v>51052929.298170201</v>
      </c>
      <c r="U9" s="227">
        <f t="shared" si="18"/>
        <v>54370564.796000004</v>
      </c>
      <c r="V9" s="227">
        <f t="shared" ref="V9" si="19">SUM(V10:V13)</f>
        <v>57309889.117514931</v>
      </c>
      <c r="W9" s="228"/>
      <c r="X9" s="481">
        <f t="shared" si="3"/>
        <v>5.4060948834049549E-2</v>
      </c>
      <c r="Y9" s="481">
        <f t="shared" si="4"/>
        <v>0.3117828336848294</v>
      </c>
    </row>
    <row r="10" spans="2:29" ht="13" customHeight="1">
      <c r="B10" s="65" t="str">
        <f>IF('Summary | Sumário'!D$6=Names!B$3,Names!Z10,Names!AA10)</f>
        <v>Amounts due from financial institutions</v>
      </c>
      <c r="C10" s="228">
        <v>256097</v>
      </c>
      <c r="D10" s="228">
        <v>502369</v>
      </c>
      <c r="E10" s="228">
        <v>2051862</v>
      </c>
      <c r="F10" s="228">
        <v>4258856</v>
      </c>
      <c r="G10" s="228">
        <v>3718505.7949100002</v>
      </c>
      <c r="H10" s="228">
        <v>578499</v>
      </c>
      <c r="I10" s="228">
        <v>646905</v>
      </c>
      <c r="J10" s="228">
        <v>1408183</v>
      </c>
      <c r="K10" s="228">
        <v>2051862</v>
      </c>
      <c r="L10" s="228">
        <v>1807258</v>
      </c>
      <c r="M10" s="228">
        <v>1825289</v>
      </c>
      <c r="N10" s="228">
        <v>3417500</v>
      </c>
      <c r="O10" s="228">
        <v>4258856</v>
      </c>
      <c r="P10" s="228">
        <v>3770074</v>
      </c>
      <c r="Q10" s="228">
        <v>2556811</v>
      </c>
      <c r="R10" s="228">
        <v>3474243.8523399998</v>
      </c>
      <c r="S10" s="228">
        <v>3718505.7949100002</v>
      </c>
      <c r="T10" s="228">
        <v>4051287.3041199995</v>
      </c>
      <c r="U10" s="228">
        <v>5280321.6449999996</v>
      </c>
      <c r="V10" s="228">
        <v>5225481.9997899998</v>
      </c>
      <c r="W10" s="228"/>
      <c r="X10" s="395">
        <f t="shared" si="3"/>
        <v>-1.0385663771434794E-2</v>
      </c>
      <c r="Y10" s="395">
        <f t="shared" si="4"/>
        <v>0.50406310606853122</v>
      </c>
    </row>
    <row r="11" spans="2:29" ht="13" customHeight="1">
      <c r="B11" s="70" t="str">
        <f>IF('Summary | Sumário'!D$6=Names!B$3,Names!Z11,Names!AA11)</f>
        <v>Securities</v>
      </c>
      <c r="C11" s="227">
        <v>1155094</v>
      </c>
      <c r="D11" s="227">
        <v>5812622</v>
      </c>
      <c r="E11" s="227">
        <v>12757687</v>
      </c>
      <c r="F11" s="227">
        <v>12448565</v>
      </c>
      <c r="G11" s="227">
        <v>16868112</v>
      </c>
      <c r="H11" s="227">
        <v>6619726</v>
      </c>
      <c r="I11" s="227">
        <v>8230481</v>
      </c>
      <c r="J11" s="227">
        <v>13241180</v>
      </c>
      <c r="K11" s="227">
        <v>12757687</v>
      </c>
      <c r="L11" s="227">
        <v>12335401</v>
      </c>
      <c r="M11" s="227">
        <v>12710051</v>
      </c>
      <c r="N11" s="227">
        <v>13373465</v>
      </c>
      <c r="O11" s="227">
        <v>12448565</v>
      </c>
      <c r="P11" s="227">
        <v>12535351</v>
      </c>
      <c r="Q11" s="227">
        <v>14169684</v>
      </c>
      <c r="R11" s="227">
        <v>14908297</v>
      </c>
      <c r="S11" s="227">
        <v>16868112</v>
      </c>
      <c r="T11" s="227">
        <v>18167251</v>
      </c>
      <c r="U11" s="227">
        <v>18276425.519000001</v>
      </c>
      <c r="V11" s="227">
        <v>20587496.485247668</v>
      </c>
      <c r="W11" s="228"/>
      <c r="X11" s="481">
        <f t="shared" si="3"/>
        <v>0.12645092793692614</v>
      </c>
      <c r="Y11" s="481">
        <f t="shared" si="4"/>
        <v>0.3809422018656905</v>
      </c>
    </row>
    <row r="12" spans="2:29" ht="13" customHeight="1">
      <c r="B12" s="65" t="str">
        <f>IF('Summary | Sumário'!D$6=Names!B$3,Names!Z12,Names!AA12)</f>
        <v>Net loans and advances to customers</v>
      </c>
      <c r="C12" s="228">
        <v>4561824</v>
      </c>
      <c r="D12" s="228">
        <v>8507703</v>
      </c>
      <c r="E12" s="228">
        <v>16535430</v>
      </c>
      <c r="F12" s="228">
        <v>21379916</v>
      </c>
      <c r="G12" s="228">
        <v>27900543</v>
      </c>
      <c r="H12" s="228">
        <v>9908120</v>
      </c>
      <c r="I12" s="228">
        <v>12040483</v>
      </c>
      <c r="J12" s="228">
        <v>14301537</v>
      </c>
      <c r="K12" s="228">
        <v>16535430</v>
      </c>
      <c r="L12" s="228">
        <v>17374632</v>
      </c>
      <c r="M12" s="228">
        <v>18510189</v>
      </c>
      <c r="N12" s="228">
        <v>19820903</v>
      </c>
      <c r="O12" s="228">
        <v>21379916</v>
      </c>
      <c r="P12" s="228">
        <v>22371167</v>
      </c>
      <c r="Q12" s="228">
        <v>23523982</v>
      </c>
      <c r="R12" s="228">
        <v>25296620</v>
      </c>
      <c r="S12" s="228">
        <v>27900543</v>
      </c>
      <c r="T12" s="228">
        <v>28826998.881090201</v>
      </c>
      <c r="U12" s="228">
        <v>30806640.206</v>
      </c>
      <c r="V12" s="228">
        <v>31478421.724357259</v>
      </c>
      <c r="W12" s="228"/>
      <c r="X12" s="395">
        <f t="shared" si="3"/>
        <v>2.1806386995308236E-2</v>
      </c>
      <c r="Y12" s="395">
        <f t="shared" si="4"/>
        <v>0.24437263651654884</v>
      </c>
    </row>
    <row r="13" spans="2:29" ht="13" customHeight="1">
      <c r="B13" s="70" t="str">
        <f>IF('Summary | Sumário'!D$6=Names!B$3,Names!Z13,Names!AA13)</f>
        <v>Derivative financial assets</v>
      </c>
      <c r="C13" s="227">
        <v>0</v>
      </c>
      <c r="D13" s="227">
        <v>27513</v>
      </c>
      <c r="E13" s="227">
        <v>86948</v>
      </c>
      <c r="F13" s="227">
        <v>0</v>
      </c>
      <c r="G13" s="227">
        <v>4238</v>
      </c>
      <c r="H13" s="227">
        <v>18603</v>
      </c>
      <c r="I13" s="227">
        <v>11684</v>
      </c>
      <c r="J13" s="227">
        <v>7643</v>
      </c>
      <c r="K13" s="227">
        <v>86948</v>
      </c>
      <c r="L13" s="227">
        <v>10410</v>
      </c>
      <c r="M13" s="227">
        <v>3212</v>
      </c>
      <c r="N13" s="227">
        <v>581</v>
      </c>
      <c r="O13" s="227">
        <v>0</v>
      </c>
      <c r="P13" s="227">
        <v>1122</v>
      </c>
      <c r="Q13" s="227">
        <v>3625</v>
      </c>
      <c r="R13" s="227">
        <v>9388.5369900000005</v>
      </c>
      <c r="S13" s="227">
        <v>4238</v>
      </c>
      <c r="T13" s="227">
        <v>7392.1129600000004</v>
      </c>
      <c r="U13" s="227">
        <v>7177.4260000000004</v>
      </c>
      <c r="V13" s="227">
        <v>18488.908119999996</v>
      </c>
      <c r="W13" s="228"/>
      <c r="X13" s="481">
        <f t="shared" si="3"/>
        <v>1.5759803194069844</v>
      </c>
      <c r="Y13" s="481">
        <f t="shared" si="4"/>
        <v>0.96930662782636556</v>
      </c>
    </row>
    <row r="14" spans="2:29" ht="13" customHeight="1">
      <c r="B14" s="355" t="str">
        <f>IF('Summary | Sumário'!D$6=Names!B$3,Names!Z14,Names!AA14)</f>
        <v>(=) NIM 1.0 - IEP + non-interest credit card receivables (%)</v>
      </c>
      <c r="C14" s="371">
        <f t="shared" ref="C14:Q14" si="20">C5/C8</f>
        <v>9.803273556152127E-2</v>
      </c>
      <c r="D14" s="371">
        <f t="shared" si="20"/>
        <v>6.8765813012030511E-2</v>
      </c>
      <c r="E14" s="371">
        <f t="shared" si="20"/>
        <v>6.8686082884596447E-2</v>
      </c>
      <c r="F14" s="371">
        <f t="shared" si="20"/>
        <v>6.7187969136151937E-2</v>
      </c>
      <c r="G14" s="371">
        <f t="shared" ref="G14" si="21">G5/G8</f>
        <v>7.4107989000888247E-2</v>
      </c>
      <c r="H14" s="371">
        <f t="shared" si="20"/>
        <v>7.2951874040954615E-2</v>
      </c>
      <c r="I14" s="371">
        <f t="shared" si="20"/>
        <v>6.3550064892455183E-2</v>
      </c>
      <c r="J14" s="371">
        <f t="shared" si="20"/>
        <v>7.1739740077472594E-2</v>
      </c>
      <c r="K14" s="371">
        <f t="shared" si="20"/>
        <v>7.2623601704043694E-2</v>
      </c>
      <c r="L14" s="371">
        <f t="shared" si="20"/>
        <v>6.9048772905710307E-2</v>
      </c>
      <c r="M14" s="371">
        <f t="shared" si="20"/>
        <v>6.9509885601935162E-2</v>
      </c>
      <c r="N14" s="371">
        <f t="shared" si="20"/>
        <v>6.3804563889878999E-2</v>
      </c>
      <c r="O14" s="371">
        <f t="shared" si="20"/>
        <v>7.2326106208657676E-2</v>
      </c>
      <c r="P14" s="371">
        <f t="shared" si="20"/>
        <v>7.4154768372393848E-2</v>
      </c>
      <c r="Q14" s="371">
        <f t="shared" si="20"/>
        <v>8.1292947827274115E-2</v>
      </c>
      <c r="R14" s="371">
        <f t="shared" ref="R14:S14" si="22">R5/R8</f>
        <v>7.8011077819640784E-2</v>
      </c>
      <c r="S14" s="371">
        <f t="shared" si="22"/>
        <v>7.6016105585943614E-2</v>
      </c>
      <c r="T14" s="371">
        <f t="shared" ref="T14:U14" si="23">T5/T8</f>
        <v>7.8008672381001315E-2</v>
      </c>
      <c r="U14" s="371">
        <f t="shared" si="23"/>
        <v>7.8135655650361471E-2</v>
      </c>
      <c r="V14" s="371">
        <f t="shared" ref="V14" si="24">V5/V8</f>
        <v>8.1286365750537298E-2</v>
      </c>
      <c r="W14" s="428"/>
      <c r="X14" s="485">
        <f>(V14-U14)*100</f>
        <v>0.3150710100175827</v>
      </c>
      <c r="Y14" s="485">
        <f>(V14-R14)*100</f>
        <v>0.32752879308965144</v>
      </c>
      <c r="AA14" s="268"/>
      <c r="AB14" s="268"/>
    </row>
    <row r="15" spans="2:29" ht="13" customHeight="1">
      <c r="B15" s="72"/>
      <c r="C15" s="210"/>
      <c r="D15" s="210"/>
      <c r="E15" s="210"/>
      <c r="F15" s="210"/>
      <c r="G15" s="210"/>
      <c r="H15" s="210"/>
      <c r="I15" s="210"/>
      <c r="J15" s="210"/>
      <c r="K15" s="210"/>
      <c r="L15" s="210"/>
      <c r="M15" s="210"/>
      <c r="N15" s="210"/>
      <c r="O15" s="210"/>
      <c r="P15" s="210"/>
      <c r="Q15" s="210"/>
      <c r="R15" s="210"/>
      <c r="S15" s="210"/>
      <c r="T15" s="210"/>
      <c r="U15" s="210"/>
      <c r="V15" s="210"/>
      <c r="X15" s="210"/>
      <c r="Y15" s="210"/>
    </row>
    <row r="16" spans="2:29" ht="13" customHeight="1">
      <c r="B16" s="3" t="str">
        <f>IF('Summary | Sumário'!D$6=Names!B$3,Names!Z16,Names!AA16)</f>
        <v>NIM 2.0 - IEP</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row>
    <row r="17" spans="2:28" ht="13" customHeight="1">
      <c r="B17" s="356" t="str">
        <f>IF('Summary | Sumário'!D$6=Names!B$3,Names!Z17,Names!AA17)</f>
        <v>Annualized NII</v>
      </c>
      <c r="C17" s="357">
        <f t="shared" ref="C17:Q17" si="25">C5</f>
        <v>585551</v>
      </c>
      <c r="D17" s="357">
        <f t="shared" si="25"/>
        <v>715962.89517999999</v>
      </c>
      <c r="E17" s="357">
        <f t="shared" si="25"/>
        <v>1589469.2459999998</v>
      </c>
      <c r="F17" s="357">
        <f t="shared" si="25"/>
        <v>2335429.0819999995</v>
      </c>
      <c r="G17" s="357">
        <f t="shared" ref="G17" si="26">G5</f>
        <v>3208088</v>
      </c>
      <c r="H17" s="357">
        <f t="shared" si="25"/>
        <v>1166323.74</v>
      </c>
      <c r="I17" s="357">
        <f t="shared" si="25"/>
        <v>1209183.0040000002</v>
      </c>
      <c r="J17" s="357">
        <f t="shared" si="25"/>
        <v>1789479.52</v>
      </c>
      <c r="K17" s="357">
        <f t="shared" si="25"/>
        <v>2192886.7199999997</v>
      </c>
      <c r="L17" s="357">
        <f t="shared" si="25"/>
        <v>2173642.5279999999</v>
      </c>
      <c r="M17" s="357">
        <f t="shared" si="25"/>
        <v>2244350.5480000004</v>
      </c>
      <c r="N17" s="357">
        <f t="shared" si="25"/>
        <v>2222350.9240000001</v>
      </c>
      <c r="O17" s="357">
        <f t="shared" si="25"/>
        <v>2701372.3279999997</v>
      </c>
      <c r="P17" s="357">
        <f t="shared" si="25"/>
        <v>2846247.2880000002</v>
      </c>
      <c r="Q17" s="357">
        <f t="shared" si="25"/>
        <v>3208300</v>
      </c>
      <c r="R17" s="357">
        <f t="shared" ref="R17:S17" si="27">R5</f>
        <v>3274228.3549600001</v>
      </c>
      <c r="S17" s="357">
        <f t="shared" si="27"/>
        <v>3503580.3370399997</v>
      </c>
      <c r="T17" s="357">
        <f t="shared" ref="T17:U17" si="28">T5</f>
        <v>3882660.4387999987</v>
      </c>
      <c r="U17" s="357">
        <f t="shared" si="28"/>
        <v>4118666.9160000002</v>
      </c>
      <c r="V17" s="357">
        <f t="shared" ref="V17" si="29">V5</f>
        <v>4539049.1119999997</v>
      </c>
      <c r="W17" s="211"/>
      <c r="X17" s="455">
        <f t="shared" ref="X17:X27" si="30">V17/U17-1</f>
        <v>0.10206753898134346</v>
      </c>
      <c r="Y17" s="455">
        <f t="shared" ref="Y17:Y27" si="31">V17/R17-1</f>
        <v>0.38629582909938831</v>
      </c>
    </row>
    <row r="18" spans="2:28" ht="13" customHeight="1">
      <c r="B18" s="57" t="str">
        <f>IF('Summary | Sumário'!D$6=Names!B$3,Names!Z18,Names!AA18)</f>
        <v>NII</v>
      </c>
      <c r="C18" s="211">
        <f t="shared" ref="C18:Q18" si="32">C6</f>
        <v>585551</v>
      </c>
      <c r="D18" s="211">
        <f t="shared" si="32"/>
        <v>715962.89517999999</v>
      </c>
      <c r="E18" s="211">
        <f t="shared" si="32"/>
        <v>1589469.2459999998</v>
      </c>
      <c r="F18" s="211">
        <f t="shared" si="32"/>
        <v>2335429.0819999995</v>
      </c>
      <c r="G18" s="211">
        <f t="shared" ref="G18" si="33">G6</f>
        <v>3208088</v>
      </c>
      <c r="H18" s="211">
        <f t="shared" si="32"/>
        <v>291580.935</v>
      </c>
      <c r="I18" s="211">
        <f t="shared" si="32"/>
        <v>302295.75100000005</v>
      </c>
      <c r="J18" s="211">
        <f t="shared" si="32"/>
        <v>447369.88</v>
      </c>
      <c r="K18" s="211">
        <f t="shared" si="32"/>
        <v>548221.67999999993</v>
      </c>
      <c r="L18" s="211">
        <f t="shared" si="32"/>
        <v>543410.63199999998</v>
      </c>
      <c r="M18" s="211">
        <f t="shared" si="32"/>
        <v>561087.6370000001</v>
      </c>
      <c r="N18" s="211">
        <f t="shared" si="32"/>
        <v>555587.73100000003</v>
      </c>
      <c r="O18" s="211">
        <f t="shared" si="32"/>
        <v>675343.08199999994</v>
      </c>
      <c r="P18" s="211">
        <f t="shared" si="32"/>
        <v>711561.82200000004</v>
      </c>
      <c r="Q18" s="211">
        <f t="shared" si="32"/>
        <v>802075</v>
      </c>
      <c r="R18" s="211">
        <f t="shared" ref="R18:S18" si="34">R6</f>
        <v>818557.08874000004</v>
      </c>
      <c r="S18" s="211">
        <f t="shared" si="34"/>
        <v>875895.08425999992</v>
      </c>
      <c r="T18" s="211">
        <f t="shared" ref="T18:U18" si="35">T6</f>
        <v>970665.10969999968</v>
      </c>
      <c r="U18" s="211">
        <f t="shared" si="35"/>
        <v>1029666.7290000001</v>
      </c>
      <c r="V18" s="211">
        <f t="shared" ref="V18" si="36">V6</f>
        <v>1134762.2779999999</v>
      </c>
      <c r="W18" s="211"/>
      <c r="X18" s="456">
        <f t="shared" si="30"/>
        <v>0.10206753898134346</v>
      </c>
      <c r="Y18" s="456">
        <f t="shared" si="31"/>
        <v>0.38629582909938831</v>
      </c>
    </row>
    <row r="19" spans="2:28" ht="13" customHeight="1">
      <c r="B19" s="70" t="str">
        <f>IF('Summary | Sumário'!D$6=Names!B$3,Names!Z19,Names!AA19)</f>
        <v>Net interest income</v>
      </c>
      <c r="C19" s="225">
        <f t="shared" ref="C19:Q19" si="37">C7</f>
        <v>585551</v>
      </c>
      <c r="D19" s="225">
        <f t="shared" si="37"/>
        <v>715962.89517999999</v>
      </c>
      <c r="E19" s="225">
        <f t="shared" si="37"/>
        <v>1589469.2459999998</v>
      </c>
      <c r="F19" s="225">
        <f t="shared" si="37"/>
        <v>2335429.0819999995</v>
      </c>
      <c r="G19" s="225">
        <f t="shared" ref="G19" si="38">G7</f>
        <v>3208088</v>
      </c>
      <c r="H19" s="225">
        <f t="shared" si="37"/>
        <v>291580.935</v>
      </c>
      <c r="I19" s="225">
        <f t="shared" si="37"/>
        <v>302295.75100000005</v>
      </c>
      <c r="J19" s="225">
        <f t="shared" si="37"/>
        <v>447369.88</v>
      </c>
      <c r="K19" s="225">
        <f t="shared" si="37"/>
        <v>548221.67999999993</v>
      </c>
      <c r="L19" s="225">
        <f t="shared" si="37"/>
        <v>543410.63199999998</v>
      </c>
      <c r="M19" s="225">
        <f t="shared" si="37"/>
        <v>561087.6370000001</v>
      </c>
      <c r="N19" s="225">
        <f t="shared" si="37"/>
        <v>555587.73100000003</v>
      </c>
      <c r="O19" s="225">
        <f t="shared" si="37"/>
        <v>675343.08199999994</v>
      </c>
      <c r="P19" s="225">
        <f t="shared" si="37"/>
        <v>711561.82200000004</v>
      </c>
      <c r="Q19" s="225">
        <f t="shared" si="37"/>
        <v>802075</v>
      </c>
      <c r="R19" s="225">
        <f t="shared" ref="R19:S19" si="39">R7</f>
        <v>818557.08874000004</v>
      </c>
      <c r="S19" s="225">
        <f t="shared" si="39"/>
        <v>875895.08425999992</v>
      </c>
      <c r="T19" s="225">
        <f t="shared" ref="T19:U19" si="40">T7</f>
        <v>970665.10969999968</v>
      </c>
      <c r="U19" s="225">
        <f t="shared" si="40"/>
        <v>1029666.7290000001</v>
      </c>
      <c r="V19" s="225">
        <f t="shared" ref="V19" si="41">V7</f>
        <v>1134762.2779999999</v>
      </c>
      <c r="W19" s="226"/>
      <c r="X19" s="473">
        <f t="shared" si="30"/>
        <v>0.10206753898134346</v>
      </c>
      <c r="Y19" s="473">
        <f t="shared" si="31"/>
        <v>0.38629582909938831</v>
      </c>
    </row>
    <row r="20" spans="2:28" ht="13" customHeight="1">
      <c r="B20" s="66" t="str">
        <f>IF('Summary | Sumário'!D$6=Names!B$3,Names!Z21,Names!AA21)</f>
        <v>(÷) Avg of the last two periods of IEP</v>
      </c>
      <c r="C20" s="226">
        <f>C21</f>
        <v>5906176.3870000001</v>
      </c>
      <c r="D20" s="229">
        <f>(D21+C21)/2</f>
        <v>9540976.6059999987</v>
      </c>
      <c r="E20" s="229">
        <f t="shared" ref="E20:G20" si="42">(E21+D21)/2</f>
        <v>20242695.412500001</v>
      </c>
      <c r="F20" s="229">
        <f t="shared" si="42"/>
        <v>29992576.5</v>
      </c>
      <c r="G20" s="229">
        <f t="shared" si="42"/>
        <v>36838463.595954999</v>
      </c>
      <c r="H20" s="229">
        <f>(H21+D21)/2</f>
        <v>14103254.9125</v>
      </c>
      <c r="I20" s="226">
        <f>(I21+H21)/2</f>
        <v>16655040.5</v>
      </c>
      <c r="J20" s="226">
        <f t="shared" ref="J20:V20" si="43">(J21+I21)/2</f>
        <v>21978468</v>
      </c>
      <c r="K20" s="226">
        <f t="shared" si="43"/>
        <v>26493601</v>
      </c>
      <c r="L20" s="226">
        <f t="shared" si="43"/>
        <v>27179014.5</v>
      </c>
      <c r="M20" s="226">
        <f t="shared" si="43"/>
        <v>27600017.5</v>
      </c>
      <c r="N20" s="226">
        <f t="shared" si="43"/>
        <v>29831065</v>
      </c>
      <c r="O20" s="226">
        <f t="shared" si="43"/>
        <v>32093024.5</v>
      </c>
      <c r="P20" s="226">
        <f t="shared" si="43"/>
        <v>32836492.193913735</v>
      </c>
      <c r="Q20" s="226">
        <f t="shared" si="43"/>
        <v>33673793.577701032</v>
      </c>
      <c r="R20" s="226">
        <f t="shared" si="43"/>
        <v>35635379.055952296</v>
      </c>
      <c r="S20" s="226">
        <f t="shared" si="43"/>
        <v>38961002.268119998</v>
      </c>
      <c r="T20" s="226">
        <f t="shared" si="43"/>
        <v>42059618.137200102</v>
      </c>
      <c r="U20" s="226">
        <f t="shared" si="43"/>
        <v>44622222.196655095</v>
      </c>
      <c r="V20" s="226">
        <f t="shared" si="43"/>
        <v>47436807.037132457</v>
      </c>
      <c r="W20" s="226"/>
      <c r="X20" s="480">
        <f t="shared" si="30"/>
        <v>6.3075855524926006E-2</v>
      </c>
      <c r="Y20" s="480">
        <f t="shared" si="31"/>
        <v>0.33117166966711209</v>
      </c>
    </row>
    <row r="21" spans="2:28" ht="13" customHeight="1">
      <c r="B21" s="71" t="str">
        <f>IF('Summary | Sumário'!D$6=Names!B$3,Names!Z22,Names!AA22)</f>
        <v>IEP</v>
      </c>
      <c r="C21" s="225">
        <f>C22+C23+C24+C27</f>
        <v>5906176.3870000001</v>
      </c>
      <c r="D21" s="225">
        <f t="shared" ref="D21:P21" si="44">D22+D23+D24+D27</f>
        <v>13175776.824999999</v>
      </c>
      <c r="E21" s="225">
        <f t="shared" si="44"/>
        <v>27309614</v>
      </c>
      <c r="F21" s="225">
        <f t="shared" si="44"/>
        <v>32675539</v>
      </c>
      <c r="G21" s="225">
        <f t="shared" ref="G21" si="45">G22+G23+G24+G27</f>
        <v>41001388.191909999</v>
      </c>
      <c r="H21" s="225">
        <f t="shared" si="44"/>
        <v>15030733</v>
      </c>
      <c r="I21" s="225">
        <f t="shared" si="44"/>
        <v>18279348</v>
      </c>
      <c r="J21" s="225">
        <f t="shared" si="44"/>
        <v>25677588</v>
      </c>
      <c r="K21" s="225">
        <f t="shared" si="44"/>
        <v>27309614</v>
      </c>
      <c r="L21" s="225">
        <f t="shared" si="44"/>
        <v>27048415</v>
      </c>
      <c r="M21" s="225">
        <f t="shared" si="44"/>
        <v>28151620</v>
      </c>
      <c r="N21" s="225">
        <f t="shared" si="44"/>
        <v>31510510</v>
      </c>
      <c r="O21" s="225">
        <f t="shared" si="44"/>
        <v>32675539</v>
      </c>
      <c r="P21" s="225">
        <f t="shared" si="44"/>
        <v>32997445.387827475</v>
      </c>
      <c r="Q21" s="225">
        <f t="shared" ref="Q21:R21" si="46">Q22+Q23+Q24+Q27</f>
        <v>34350141.767574593</v>
      </c>
      <c r="R21" s="225">
        <f t="shared" si="46"/>
        <v>36920616.344329998</v>
      </c>
      <c r="S21" s="225">
        <f t="shared" ref="S21:T21" si="47">S22+S23+S24+S27</f>
        <v>41001388.191909999</v>
      </c>
      <c r="T21" s="225">
        <f t="shared" si="47"/>
        <v>43117848.082490198</v>
      </c>
      <c r="U21" s="225">
        <f t="shared" ref="U21:V21" si="48">U22+U23+U24+U27</f>
        <v>46126596.310819998</v>
      </c>
      <c r="V21" s="225">
        <f t="shared" si="48"/>
        <v>48747017.763444923</v>
      </c>
      <c r="W21" s="226"/>
      <c r="X21" s="473">
        <f t="shared" si="30"/>
        <v>5.6809339127635639E-2</v>
      </c>
      <c r="Y21" s="473">
        <f t="shared" si="31"/>
        <v>0.3203197180897317</v>
      </c>
    </row>
    <row r="22" spans="2:28" ht="13" customHeight="1">
      <c r="B22" s="65" t="str">
        <f>IF('Summary | Sumário'!D$6=Names!B$3,Names!Z23,Names!AA23)</f>
        <v>Amounts due from financial institutions</v>
      </c>
      <c r="C22" s="226">
        <f t="shared" ref="C22:Q22" si="49">C10</f>
        <v>256097</v>
      </c>
      <c r="D22" s="226">
        <f t="shared" si="49"/>
        <v>502369</v>
      </c>
      <c r="E22" s="226">
        <f t="shared" si="49"/>
        <v>2051862</v>
      </c>
      <c r="F22" s="226">
        <f t="shared" si="49"/>
        <v>4258856</v>
      </c>
      <c r="G22" s="226">
        <f t="shared" ref="G22" si="50">G10</f>
        <v>3718505.7949100002</v>
      </c>
      <c r="H22" s="226">
        <f t="shared" si="49"/>
        <v>578499</v>
      </c>
      <c r="I22" s="226">
        <f t="shared" si="49"/>
        <v>646905</v>
      </c>
      <c r="J22" s="226">
        <f t="shared" si="49"/>
        <v>1408183</v>
      </c>
      <c r="K22" s="226">
        <f t="shared" si="49"/>
        <v>2051862</v>
      </c>
      <c r="L22" s="226">
        <f t="shared" si="49"/>
        <v>1807258</v>
      </c>
      <c r="M22" s="226">
        <f t="shared" si="49"/>
        <v>1825289</v>
      </c>
      <c r="N22" s="226">
        <f t="shared" si="49"/>
        <v>3417500</v>
      </c>
      <c r="O22" s="226">
        <f t="shared" si="49"/>
        <v>4258856</v>
      </c>
      <c r="P22" s="226">
        <f t="shared" si="49"/>
        <v>3770074</v>
      </c>
      <c r="Q22" s="226">
        <f t="shared" si="49"/>
        <v>2556811</v>
      </c>
      <c r="R22" s="226">
        <f t="shared" ref="R22:S22" si="51">R10</f>
        <v>3474243.8523399998</v>
      </c>
      <c r="S22" s="226">
        <f t="shared" si="51"/>
        <v>3718505.7949100002</v>
      </c>
      <c r="T22" s="226">
        <f t="shared" ref="T22:U22" si="52">T10</f>
        <v>4051287.3041199995</v>
      </c>
      <c r="U22" s="226">
        <f t="shared" si="52"/>
        <v>5280321.6449999996</v>
      </c>
      <c r="V22" s="226">
        <f t="shared" ref="V22" si="53">V10</f>
        <v>5225481.9997899998</v>
      </c>
      <c r="W22" s="226"/>
      <c r="X22" s="480">
        <f t="shared" si="30"/>
        <v>-1.0385663771434794E-2</v>
      </c>
      <c r="Y22" s="480">
        <f t="shared" si="31"/>
        <v>0.50406310606853122</v>
      </c>
    </row>
    <row r="23" spans="2:28" ht="13" customHeight="1">
      <c r="B23" s="70" t="str">
        <f>IF('Summary | Sumário'!D$6=Names!B$3,Names!Z24,Names!AA24)</f>
        <v>Securities</v>
      </c>
      <c r="C23" s="225">
        <f t="shared" ref="C23:Q23" si="54">C11</f>
        <v>1155094</v>
      </c>
      <c r="D23" s="225">
        <f t="shared" si="54"/>
        <v>5812622</v>
      </c>
      <c r="E23" s="225">
        <f t="shared" si="54"/>
        <v>12757687</v>
      </c>
      <c r="F23" s="225">
        <f t="shared" si="54"/>
        <v>12448565</v>
      </c>
      <c r="G23" s="225">
        <f t="shared" ref="G23" si="55">G11</f>
        <v>16868112</v>
      </c>
      <c r="H23" s="225">
        <f t="shared" si="54"/>
        <v>6619726</v>
      </c>
      <c r="I23" s="225">
        <f t="shared" si="54"/>
        <v>8230481</v>
      </c>
      <c r="J23" s="225">
        <f t="shared" si="54"/>
        <v>13241180</v>
      </c>
      <c r="K23" s="225">
        <f t="shared" si="54"/>
        <v>12757687</v>
      </c>
      <c r="L23" s="225">
        <f t="shared" si="54"/>
        <v>12335401</v>
      </c>
      <c r="M23" s="225">
        <f t="shared" si="54"/>
        <v>12710051</v>
      </c>
      <c r="N23" s="225">
        <f t="shared" si="54"/>
        <v>13373465</v>
      </c>
      <c r="O23" s="225">
        <f t="shared" si="54"/>
        <v>12448565</v>
      </c>
      <c r="P23" s="225">
        <f t="shared" si="54"/>
        <v>12535351</v>
      </c>
      <c r="Q23" s="225">
        <f t="shared" si="54"/>
        <v>14169684</v>
      </c>
      <c r="R23" s="225">
        <f t="shared" ref="R23:S23" si="56">R11</f>
        <v>14908297</v>
      </c>
      <c r="S23" s="225">
        <f t="shared" si="56"/>
        <v>16868112</v>
      </c>
      <c r="T23" s="225">
        <f t="shared" ref="T23:U23" si="57">T11</f>
        <v>18167251</v>
      </c>
      <c r="U23" s="225">
        <f t="shared" si="57"/>
        <v>18276425.519000001</v>
      </c>
      <c r="V23" s="225">
        <f t="shared" ref="V23" si="58">V11</f>
        <v>20587496.485247668</v>
      </c>
      <c r="W23" s="226"/>
      <c r="X23" s="473">
        <f t="shared" si="30"/>
        <v>0.12645092793692614</v>
      </c>
      <c r="Y23" s="473">
        <f t="shared" si="31"/>
        <v>0.3809422018656905</v>
      </c>
    </row>
    <row r="24" spans="2:28" ht="13" customHeight="1">
      <c r="B24" s="68" t="str">
        <f>IF('Summary | Sumário'!D$6=Names!B$3,Names!Z25,Names!AA25)</f>
        <v>Net loans and advances to customers excluding non int. CC Receivables</v>
      </c>
      <c r="C24" s="226">
        <f>SUM(C25,-C26)</f>
        <v>4494985.3870000001</v>
      </c>
      <c r="D24" s="226">
        <f t="shared" ref="D24:P24" si="59">SUM(D25,-D26)</f>
        <v>6833272.8250000002</v>
      </c>
      <c r="E24" s="226">
        <f t="shared" si="59"/>
        <v>12413117</v>
      </c>
      <c r="F24" s="226">
        <f t="shared" si="59"/>
        <v>15968118</v>
      </c>
      <c r="G24" s="226">
        <f t="shared" ref="G24" si="60">SUM(G25,-G26)</f>
        <v>20410532.397</v>
      </c>
      <c r="H24" s="226">
        <f t="shared" si="59"/>
        <v>7813905</v>
      </c>
      <c r="I24" s="226">
        <f t="shared" si="59"/>
        <v>9390278</v>
      </c>
      <c r="J24" s="226">
        <f t="shared" si="59"/>
        <v>11020582</v>
      </c>
      <c r="K24" s="226">
        <f t="shared" si="59"/>
        <v>12413117</v>
      </c>
      <c r="L24" s="226">
        <f t="shared" si="59"/>
        <v>12895346</v>
      </c>
      <c r="M24" s="226">
        <f t="shared" si="59"/>
        <v>13613068</v>
      </c>
      <c r="N24" s="226">
        <f t="shared" si="59"/>
        <v>14718964</v>
      </c>
      <c r="O24" s="226">
        <f t="shared" si="59"/>
        <v>15968118</v>
      </c>
      <c r="P24" s="226">
        <f t="shared" si="59"/>
        <v>16690898.387827475</v>
      </c>
      <c r="Q24" s="226">
        <f t="shared" ref="Q24:R24" si="61">SUM(Q25,-Q26)</f>
        <v>17620021.767574593</v>
      </c>
      <c r="R24" s="226">
        <f t="shared" si="61"/>
        <v>18528686.954999998</v>
      </c>
      <c r="S24" s="226">
        <f t="shared" ref="S24:T24" si="62">SUM(S25,-S26)</f>
        <v>20410532.397</v>
      </c>
      <c r="T24" s="226">
        <f t="shared" si="62"/>
        <v>20891917.665410198</v>
      </c>
      <c r="U24" s="226">
        <f t="shared" ref="U24:V24" si="63">SUM(U25,-U26)</f>
        <v>22562671.720820002</v>
      </c>
      <c r="V24" s="226">
        <f t="shared" si="63"/>
        <v>22915550.370287258</v>
      </c>
      <c r="W24" s="226"/>
      <c r="X24" s="480">
        <f t="shared" si="30"/>
        <v>1.5639931912036387E-2</v>
      </c>
      <c r="Y24" s="480">
        <f t="shared" si="31"/>
        <v>0.23676062021780009</v>
      </c>
    </row>
    <row r="25" spans="2:28" ht="13" customHeight="1">
      <c r="B25" s="73" t="str">
        <f>IF('Summary | Sumário'!D$6=Names!B$3,Names!Z26,Names!AA26)</f>
        <v>Net loans and advances to customers</v>
      </c>
      <c r="C25" s="225">
        <f t="shared" ref="C25:Q25" si="64">C12</f>
        <v>4561824</v>
      </c>
      <c r="D25" s="225">
        <f t="shared" si="64"/>
        <v>8507703</v>
      </c>
      <c r="E25" s="225">
        <f t="shared" si="64"/>
        <v>16535430</v>
      </c>
      <c r="F25" s="225">
        <f t="shared" si="64"/>
        <v>21379916</v>
      </c>
      <c r="G25" s="225">
        <f t="shared" ref="G25" si="65">G12</f>
        <v>27900543</v>
      </c>
      <c r="H25" s="225">
        <f t="shared" si="64"/>
        <v>9908120</v>
      </c>
      <c r="I25" s="225">
        <f t="shared" si="64"/>
        <v>12040483</v>
      </c>
      <c r="J25" s="225">
        <f t="shared" si="64"/>
        <v>14301537</v>
      </c>
      <c r="K25" s="225">
        <f t="shared" si="64"/>
        <v>16535430</v>
      </c>
      <c r="L25" s="225">
        <f t="shared" si="64"/>
        <v>17374632</v>
      </c>
      <c r="M25" s="225">
        <f t="shared" si="64"/>
        <v>18510189</v>
      </c>
      <c r="N25" s="225">
        <f t="shared" si="64"/>
        <v>19820903</v>
      </c>
      <c r="O25" s="225">
        <f t="shared" si="64"/>
        <v>21379916</v>
      </c>
      <c r="P25" s="225">
        <f t="shared" si="64"/>
        <v>22371167</v>
      </c>
      <c r="Q25" s="225">
        <f t="shared" si="64"/>
        <v>23523982</v>
      </c>
      <c r="R25" s="225">
        <f t="shared" ref="R25:S25" si="66">R12</f>
        <v>25296620</v>
      </c>
      <c r="S25" s="225">
        <f t="shared" si="66"/>
        <v>27900543</v>
      </c>
      <c r="T25" s="225">
        <f t="shared" ref="T25:U25" si="67">T12</f>
        <v>28826998.881090201</v>
      </c>
      <c r="U25" s="225">
        <f t="shared" si="67"/>
        <v>30806640.206</v>
      </c>
      <c r="V25" s="225">
        <f t="shared" ref="V25" si="68">V12</f>
        <v>31478421.724357259</v>
      </c>
      <c r="W25" s="226"/>
      <c r="X25" s="473">
        <f t="shared" si="30"/>
        <v>2.1806386995308236E-2</v>
      </c>
      <c r="Y25" s="473">
        <f t="shared" si="31"/>
        <v>0.24437263651654884</v>
      </c>
    </row>
    <row r="26" spans="2:28" ht="13" customHeight="1">
      <c r="B26" s="69" t="str">
        <f>IF('Summary | Sumário'!D$6=Names!B$3,Names!Z27,Names!AA27)</f>
        <v>(-) Non int. CC receivables</v>
      </c>
      <c r="C26" s="226">
        <v>66838.612999999998</v>
      </c>
      <c r="D26" s="226">
        <v>1674430.175</v>
      </c>
      <c r="E26" s="226">
        <v>4122313</v>
      </c>
      <c r="F26" s="226">
        <v>5411798</v>
      </c>
      <c r="G26" s="226">
        <v>7490010.6029999992</v>
      </c>
      <c r="H26" s="226">
        <v>2094215</v>
      </c>
      <c r="I26" s="226">
        <v>2650205</v>
      </c>
      <c r="J26" s="226">
        <v>3280955</v>
      </c>
      <c r="K26" s="226">
        <v>4122313</v>
      </c>
      <c r="L26" s="226">
        <v>4479286</v>
      </c>
      <c r="M26" s="226">
        <v>4897121</v>
      </c>
      <c r="N26" s="226">
        <v>5101939</v>
      </c>
      <c r="O26" s="226">
        <v>5411798</v>
      </c>
      <c r="P26" s="226">
        <v>5680268.6121725254</v>
      </c>
      <c r="Q26" s="226">
        <v>5903960.2324254084</v>
      </c>
      <c r="R26" s="226">
        <v>6767933.0449999999</v>
      </c>
      <c r="S26" s="226">
        <v>7490010.6029999992</v>
      </c>
      <c r="T26" s="226">
        <v>7935081.2156800013</v>
      </c>
      <c r="U26" s="226">
        <v>8243968.4851799998</v>
      </c>
      <c r="V26" s="226">
        <v>8562871.3540700004</v>
      </c>
      <c r="W26" s="226"/>
      <c r="X26" s="480">
        <f t="shared" si="30"/>
        <v>3.8683174185258684E-2</v>
      </c>
      <c r="Y26" s="480">
        <f t="shared" si="31"/>
        <v>0.2652121847446558</v>
      </c>
    </row>
    <row r="27" spans="2:28" ht="13" customHeight="1">
      <c r="B27" s="70" t="str">
        <f>IF('Summary | Sumário'!D$6=Names!B$3,Names!Z28,Names!AA28)</f>
        <v>Derivative financial assets</v>
      </c>
      <c r="C27" s="225">
        <f t="shared" ref="C27:Q27" si="69">C13</f>
        <v>0</v>
      </c>
      <c r="D27" s="225">
        <f t="shared" si="69"/>
        <v>27513</v>
      </c>
      <c r="E27" s="225">
        <f t="shared" si="69"/>
        <v>86948</v>
      </c>
      <c r="F27" s="225">
        <f t="shared" si="69"/>
        <v>0</v>
      </c>
      <c r="G27" s="225">
        <f t="shared" ref="G27" si="70">G13</f>
        <v>4238</v>
      </c>
      <c r="H27" s="225">
        <f t="shared" si="69"/>
        <v>18603</v>
      </c>
      <c r="I27" s="225">
        <f t="shared" si="69"/>
        <v>11684</v>
      </c>
      <c r="J27" s="225">
        <f t="shared" si="69"/>
        <v>7643</v>
      </c>
      <c r="K27" s="225">
        <f t="shared" si="69"/>
        <v>86948</v>
      </c>
      <c r="L27" s="225">
        <f t="shared" si="69"/>
        <v>10410</v>
      </c>
      <c r="M27" s="225">
        <f t="shared" si="69"/>
        <v>3212</v>
      </c>
      <c r="N27" s="225">
        <f t="shared" si="69"/>
        <v>581</v>
      </c>
      <c r="O27" s="225">
        <f t="shared" si="69"/>
        <v>0</v>
      </c>
      <c r="P27" s="225">
        <f t="shared" si="69"/>
        <v>1122</v>
      </c>
      <c r="Q27" s="225">
        <f t="shared" si="69"/>
        <v>3625</v>
      </c>
      <c r="R27" s="225">
        <f t="shared" ref="R27:S27" si="71">R13</f>
        <v>9388.5369900000005</v>
      </c>
      <c r="S27" s="225">
        <f t="shared" si="71"/>
        <v>4238</v>
      </c>
      <c r="T27" s="225">
        <f t="shared" ref="T27:U27" si="72">T13</f>
        <v>7392.1129600000004</v>
      </c>
      <c r="U27" s="225">
        <f t="shared" si="72"/>
        <v>7177.4260000000004</v>
      </c>
      <c r="V27" s="225">
        <f t="shared" ref="V27" si="73">V13</f>
        <v>18488.908119999996</v>
      </c>
      <c r="W27" s="226"/>
      <c r="X27" s="473">
        <f t="shared" si="30"/>
        <v>1.5759803194069844</v>
      </c>
      <c r="Y27" s="473">
        <f t="shared" si="31"/>
        <v>0.96930662782636556</v>
      </c>
    </row>
    <row r="28" spans="2:28" ht="13" customHeight="1">
      <c r="B28" s="355" t="str">
        <f>IF('Summary | Sumário'!D$6=Names!B$3,Names!Z29,Names!AA29)</f>
        <v>(=) NIM 2.0 - IEP (%)</v>
      </c>
      <c r="C28" s="371">
        <f t="shared" ref="C28:Q28" si="74">C17/C20</f>
        <v>9.9142145718649363E-2</v>
      </c>
      <c r="D28" s="371">
        <f t="shared" si="74"/>
        <v>7.5040839606477505E-2</v>
      </c>
      <c r="E28" s="371">
        <f t="shared" si="74"/>
        <v>7.8520632436058474E-2</v>
      </c>
      <c r="F28" s="371">
        <f t="shared" si="74"/>
        <v>7.786690423211888E-2</v>
      </c>
      <c r="G28" s="371">
        <f>G17/G20</f>
        <v>8.7085282252440624E-2</v>
      </c>
      <c r="H28" s="371">
        <f t="shared" si="74"/>
        <v>8.2698905127656999E-2</v>
      </c>
      <c r="I28" s="371">
        <f t="shared" si="74"/>
        <v>7.2601624955520236E-2</v>
      </c>
      <c r="J28" s="371">
        <f t="shared" si="74"/>
        <v>8.1419665829301657E-2</v>
      </c>
      <c r="K28" s="371">
        <f t="shared" si="74"/>
        <v>8.2770428980190339E-2</v>
      </c>
      <c r="L28" s="371">
        <f t="shared" si="74"/>
        <v>7.9975031029914642E-2</v>
      </c>
      <c r="M28" s="371">
        <f t="shared" si="74"/>
        <v>8.1316997280889425E-2</v>
      </c>
      <c r="N28" s="371">
        <f t="shared" si="74"/>
        <v>7.4497874078582174E-2</v>
      </c>
      <c r="O28" s="371">
        <f t="shared" si="74"/>
        <v>8.4173192464300134E-2</v>
      </c>
      <c r="P28" s="371">
        <f t="shared" si="74"/>
        <v>8.6679395326141259E-2</v>
      </c>
      <c r="Q28" s="371">
        <f t="shared" si="74"/>
        <v>9.5275870614249816E-2</v>
      </c>
      <c r="R28" s="371">
        <f t="shared" ref="R28:S28" si="75">R17/R20</f>
        <v>9.1881395447457576E-2</v>
      </c>
      <c r="S28" s="371">
        <f t="shared" si="75"/>
        <v>8.9925313340997362E-2</v>
      </c>
      <c r="T28" s="371">
        <f t="shared" ref="T28:U28" si="76">T17/T20</f>
        <v>9.2313259386583357E-2</v>
      </c>
      <c r="U28" s="371">
        <f t="shared" si="76"/>
        <v>9.2300802453283856E-2</v>
      </c>
      <c r="V28" s="371">
        <f t="shared" ref="V28" si="77">V17/V20</f>
        <v>9.5686227541557228E-2</v>
      </c>
      <c r="W28" s="428"/>
      <c r="X28" s="485">
        <f>(V28-U28)*100</f>
        <v>0.33854250882733722</v>
      </c>
      <c r="Y28" s="485">
        <f>(V28-R28)*100</f>
        <v>0.38048320940996527</v>
      </c>
      <c r="AA28" s="268"/>
      <c r="AB28" s="268"/>
    </row>
    <row r="29" spans="2:28" ht="13" customHeight="1">
      <c r="B29" s="401"/>
      <c r="C29" s="210"/>
      <c r="D29" s="210"/>
      <c r="E29" s="210"/>
      <c r="F29" s="210"/>
      <c r="G29" s="210"/>
      <c r="H29" s="210"/>
      <c r="I29" s="210"/>
      <c r="J29" s="210"/>
      <c r="K29" s="210"/>
      <c r="L29" s="210"/>
      <c r="M29" s="210"/>
      <c r="N29" s="210"/>
      <c r="O29" s="210"/>
      <c r="P29" s="210"/>
      <c r="Q29" s="210"/>
      <c r="R29" s="210"/>
      <c r="S29" s="210"/>
      <c r="T29" s="210"/>
      <c r="U29" s="210"/>
      <c r="V29" s="210"/>
      <c r="X29" s="210"/>
      <c r="Y29" s="210"/>
    </row>
    <row r="30" spans="2:28" ht="13" customHeight="1">
      <c r="B30" s="3" t="str">
        <f>IF('Summary | Sumário'!D$6=Names!B$3,Names!Z31,Names!AA31)</f>
        <v>Risk-Adjusted NIM 1.0 - IEP + non-interest credit card receivables</v>
      </c>
      <c r="C30" s="214"/>
      <c r="D30" s="214"/>
      <c r="E30" s="214"/>
      <c r="F30" s="214"/>
      <c r="G30" s="214"/>
      <c r="H30" s="214"/>
      <c r="I30" s="214"/>
      <c r="J30" s="214"/>
      <c r="K30" s="214"/>
      <c r="L30" s="214"/>
      <c r="M30" s="214"/>
      <c r="N30" s="214"/>
      <c r="O30" s="214"/>
      <c r="P30" s="214"/>
      <c r="Q30" s="214"/>
      <c r="R30" s="214"/>
      <c r="S30" s="214"/>
      <c r="T30" s="214"/>
      <c r="U30" s="214"/>
      <c r="V30" s="214"/>
      <c r="W30" s="214"/>
      <c r="X30" s="214"/>
      <c r="Y30" s="214"/>
    </row>
    <row r="31" spans="2:28" ht="13" customHeight="1">
      <c r="B31" s="356" t="str">
        <f>IF('Summary | Sumário'!D$6=Names!B$3,Names!Z32,Names!AA32)</f>
        <v>Annualized NII after impairment losses on financial assets</v>
      </c>
      <c r="C31" s="357">
        <f>C32</f>
        <v>446981</v>
      </c>
      <c r="D31" s="357">
        <f>D32</f>
        <v>502274.89517999999</v>
      </c>
      <c r="E31" s="357">
        <f t="shared" ref="E31:G31" si="78">E32</f>
        <v>993888.24599999981</v>
      </c>
      <c r="F31" s="357">
        <f t="shared" si="78"/>
        <v>1252192.0819999995</v>
      </c>
      <c r="G31" s="357">
        <f t="shared" si="78"/>
        <v>1666504</v>
      </c>
      <c r="H31" s="357">
        <f>H32*4</f>
        <v>739647.74</v>
      </c>
      <c r="I31" s="357">
        <f t="shared" ref="I31:V31" si="79">I32*4</f>
        <v>539419.00400000019</v>
      </c>
      <c r="J31" s="357">
        <f t="shared" si="79"/>
        <v>1237459.52</v>
      </c>
      <c r="K31" s="357">
        <f t="shared" si="79"/>
        <v>1459022.7199999997</v>
      </c>
      <c r="L31" s="357">
        <f t="shared" si="79"/>
        <v>921858.52799999993</v>
      </c>
      <c r="M31" s="357">
        <f t="shared" si="79"/>
        <v>1274494.5480000004</v>
      </c>
      <c r="N31" s="357">
        <f t="shared" si="79"/>
        <v>1169898.9240000001</v>
      </c>
      <c r="O31" s="357">
        <f t="shared" si="79"/>
        <v>1642516.3279999997</v>
      </c>
      <c r="P31" s="357">
        <f t="shared" si="79"/>
        <v>1443523.2880000002</v>
      </c>
      <c r="Q31" s="357">
        <f t="shared" si="79"/>
        <v>1614060</v>
      </c>
      <c r="R31" s="357">
        <f t="shared" si="79"/>
        <v>1642632.3549600001</v>
      </c>
      <c r="S31" s="357">
        <f t="shared" si="79"/>
        <v>1965804.3370399997</v>
      </c>
      <c r="T31" s="357">
        <f t="shared" si="79"/>
        <v>2238468.4387999987</v>
      </c>
      <c r="U31" s="357">
        <f t="shared" si="79"/>
        <v>2433676.2719999999</v>
      </c>
      <c r="V31" s="357">
        <f t="shared" si="79"/>
        <v>2653338.5119999996</v>
      </c>
      <c r="W31" s="211"/>
      <c r="X31" s="455">
        <f t="shared" ref="X31:X40" si="80">V31/U31-1</f>
        <v>9.0259432828952546E-2</v>
      </c>
      <c r="Y31" s="455">
        <f t="shared" ref="Y31:Y40" si="81">V31/R31-1</f>
        <v>0.61529663286378611</v>
      </c>
    </row>
    <row r="32" spans="2:28" ht="13" customHeight="1">
      <c r="B32" s="57" t="str">
        <f>IF('Summary | Sumário'!D$6=Names!B$3,Names!Z33,Names!AA33)</f>
        <v>NII after impairment losses on financial assets</v>
      </c>
      <c r="C32" s="211">
        <f>C33+C34</f>
        <v>446981</v>
      </c>
      <c r="D32" s="211">
        <f t="shared" ref="D32:S32" si="82">D33+D34</f>
        <v>502274.89517999999</v>
      </c>
      <c r="E32" s="211">
        <f t="shared" si="82"/>
        <v>993888.24599999981</v>
      </c>
      <c r="F32" s="211">
        <f t="shared" si="82"/>
        <v>1252192.0819999995</v>
      </c>
      <c r="G32" s="211">
        <f t="shared" si="82"/>
        <v>1666504</v>
      </c>
      <c r="H32" s="211">
        <f t="shared" si="82"/>
        <v>184911.935</v>
      </c>
      <c r="I32" s="211">
        <f t="shared" si="82"/>
        <v>134854.75100000005</v>
      </c>
      <c r="J32" s="211">
        <f t="shared" si="82"/>
        <v>309364.88</v>
      </c>
      <c r="K32" s="211">
        <f t="shared" si="82"/>
        <v>364755.67999999993</v>
      </c>
      <c r="L32" s="211">
        <f t="shared" si="82"/>
        <v>230464.63199999998</v>
      </c>
      <c r="M32" s="211">
        <f t="shared" si="82"/>
        <v>318623.6370000001</v>
      </c>
      <c r="N32" s="211">
        <f t="shared" si="82"/>
        <v>292474.73100000003</v>
      </c>
      <c r="O32" s="211">
        <f t="shared" si="82"/>
        <v>410629.08199999994</v>
      </c>
      <c r="P32" s="211">
        <f t="shared" si="82"/>
        <v>360880.82200000004</v>
      </c>
      <c r="Q32" s="211">
        <f t="shared" si="82"/>
        <v>403515</v>
      </c>
      <c r="R32" s="211">
        <f t="shared" si="82"/>
        <v>410658.08874000004</v>
      </c>
      <c r="S32" s="211">
        <f t="shared" si="82"/>
        <v>491451.08425999992</v>
      </c>
      <c r="T32" s="211">
        <f t="shared" ref="T32:U32" si="83">T33+T34</f>
        <v>559617.10969999968</v>
      </c>
      <c r="U32" s="211">
        <f t="shared" si="83"/>
        <v>608419.06799999997</v>
      </c>
      <c r="V32" s="211">
        <f t="shared" ref="V32" si="84">V33+V34</f>
        <v>663334.62799999991</v>
      </c>
      <c r="W32" s="211"/>
      <c r="X32" s="456">
        <f t="shared" si="80"/>
        <v>9.0259432828952546E-2</v>
      </c>
      <c r="Y32" s="456">
        <f t="shared" si="81"/>
        <v>0.61529663286378611</v>
      </c>
    </row>
    <row r="33" spans="2:25" ht="13" customHeight="1">
      <c r="B33" s="402" t="str">
        <f>IF('Summary | Sumário'!D$6=Names!B$3,Names!Z6,Names!AA6)</f>
        <v>Net interest income</v>
      </c>
      <c r="C33" s="225">
        <v>585551</v>
      </c>
      <c r="D33" s="225">
        <v>715962.89517999999</v>
      </c>
      <c r="E33" s="225">
        <v>1589469.2459999998</v>
      </c>
      <c r="F33" s="225">
        <v>2335429.0819999995</v>
      </c>
      <c r="G33" s="225">
        <v>3208088</v>
      </c>
      <c r="H33" s="225">
        <v>291580.935</v>
      </c>
      <c r="I33" s="225">
        <v>302295.75100000005</v>
      </c>
      <c r="J33" s="225">
        <v>447369.88</v>
      </c>
      <c r="K33" s="225">
        <v>548221.67999999993</v>
      </c>
      <c r="L33" s="225">
        <v>543410.63199999998</v>
      </c>
      <c r="M33" s="225">
        <v>561087.6370000001</v>
      </c>
      <c r="N33" s="225">
        <v>555587.73100000003</v>
      </c>
      <c r="O33" s="225">
        <v>675343.08199999994</v>
      </c>
      <c r="P33" s="225">
        <v>711561.82200000004</v>
      </c>
      <c r="Q33" s="225">
        <v>802075</v>
      </c>
      <c r="R33" s="225">
        <v>818557.08874000004</v>
      </c>
      <c r="S33" s="225">
        <v>875895.08425999992</v>
      </c>
      <c r="T33" s="225">
        <v>970665.10969999968</v>
      </c>
      <c r="U33" s="225">
        <v>1029666.7290000001</v>
      </c>
      <c r="V33" s="225">
        <v>1134762.2779999999</v>
      </c>
      <c r="W33" s="226"/>
      <c r="X33" s="473">
        <f t="shared" si="80"/>
        <v>0.10206753898134346</v>
      </c>
      <c r="Y33" s="473">
        <f t="shared" si="81"/>
        <v>0.38629582909938831</v>
      </c>
    </row>
    <row r="34" spans="2:25" ht="13" customHeight="1">
      <c r="B34" s="65" t="str">
        <f>IF('Summary | Sumário'!D$6=Names!B$3,Names!Z34,Names!AA34)</f>
        <v>Impairment losses on financial assets</v>
      </c>
      <c r="C34" s="226">
        <v>-138570</v>
      </c>
      <c r="D34" s="226">
        <v>-213688</v>
      </c>
      <c r="E34" s="226">
        <v>-595581</v>
      </c>
      <c r="F34" s="226">
        <v>-1083237</v>
      </c>
      <c r="G34" s="226">
        <v>-1541584</v>
      </c>
      <c r="H34" s="226">
        <v>-106669</v>
      </c>
      <c r="I34" s="226">
        <v>-167441</v>
      </c>
      <c r="J34" s="226">
        <v>-138005</v>
      </c>
      <c r="K34" s="226">
        <v>-183466</v>
      </c>
      <c r="L34" s="226">
        <v>-312946</v>
      </c>
      <c r="M34" s="226">
        <v>-242464</v>
      </c>
      <c r="N34" s="226">
        <v>-263113</v>
      </c>
      <c r="O34" s="226">
        <v>-264714</v>
      </c>
      <c r="P34" s="226">
        <v>-350681</v>
      </c>
      <c r="Q34" s="226">
        <v>-398560</v>
      </c>
      <c r="R34" s="226">
        <v>-407899</v>
      </c>
      <c r="S34" s="226">
        <v>-384444</v>
      </c>
      <c r="T34" s="226">
        <v>-411048</v>
      </c>
      <c r="U34" s="226">
        <v>-421247.66100000002</v>
      </c>
      <c r="V34" s="226">
        <v>-471427.65</v>
      </c>
      <c r="W34" s="226"/>
      <c r="X34" s="480">
        <f t="shared" si="80"/>
        <v>0.11912229703751409</v>
      </c>
      <c r="Y34" s="480">
        <f t="shared" si="81"/>
        <v>0.15574603026729661</v>
      </c>
    </row>
    <row r="35" spans="2:25" ht="13" customHeight="1">
      <c r="B35" s="72" t="str">
        <f>IF('Summary | Sumário'!D$6=Names!B$3,Names!Z8,Names!AA8)</f>
        <v>(÷) Avg of the last two periods of IEP + non-interest credit card receivables</v>
      </c>
      <c r="C35" s="225">
        <f>C36</f>
        <v>5973015</v>
      </c>
      <c r="D35" s="225">
        <f>(D36+C36)/2</f>
        <v>10411611</v>
      </c>
      <c r="E35" s="225">
        <f t="shared" ref="E35" si="85">(E36+D36)/2</f>
        <v>23141067</v>
      </c>
      <c r="F35" s="225">
        <f t="shared" ref="F35" si="86">(F36+E36)/2</f>
        <v>34759632</v>
      </c>
      <c r="G35" s="225">
        <f t="shared" ref="G35" si="87">(G36+F36)/2</f>
        <v>43289367.897454999</v>
      </c>
      <c r="H35" s="225">
        <f>AVERAGE(H36,D36)</f>
        <v>15987577.5</v>
      </c>
      <c r="I35" s="225">
        <f>AVERAGE(I36,H36)</f>
        <v>19027250.5</v>
      </c>
      <c r="J35" s="225">
        <f t="shared" ref="J35" si="88">AVERAGE(J36,I36)</f>
        <v>24944048</v>
      </c>
      <c r="K35" s="225">
        <f t="shared" ref="K35" si="89">AVERAGE(K36,J36)</f>
        <v>30195235</v>
      </c>
      <c r="L35" s="225">
        <f t="shared" ref="L35" si="90">AVERAGE(L36,K36)</f>
        <v>31479814</v>
      </c>
      <c r="M35" s="225">
        <f t="shared" ref="M35" si="91">AVERAGE(M36,L36)</f>
        <v>32288221</v>
      </c>
      <c r="N35" s="225">
        <f t="shared" ref="N35" si="92">AVERAGE(N36,M36)</f>
        <v>34830595</v>
      </c>
      <c r="O35" s="225">
        <f t="shared" ref="O35" si="93">AVERAGE(O36,N36)</f>
        <v>37349893</v>
      </c>
      <c r="P35" s="225">
        <f t="shared" ref="P35" si="94">AVERAGE(P36,O36)</f>
        <v>38382525.5</v>
      </c>
      <c r="Q35" s="225">
        <f t="shared" ref="Q35" si="95">AVERAGE(Q36,P36)</f>
        <v>39465908</v>
      </c>
      <c r="R35" s="225">
        <f t="shared" ref="R35" si="96">AVERAGE(R36,Q36)</f>
        <v>41971325.694665</v>
      </c>
      <c r="S35" s="225">
        <f t="shared" ref="S35:V35" si="97">AVERAGE(S36,R36)</f>
        <v>46089974.092119999</v>
      </c>
      <c r="T35" s="225">
        <f t="shared" si="97"/>
        <v>49772164.046540096</v>
      </c>
      <c r="U35" s="225">
        <f t="shared" si="97"/>
        <v>52711747.047085106</v>
      </c>
      <c r="V35" s="225">
        <f t="shared" si="97"/>
        <v>55840226.956757471</v>
      </c>
      <c r="W35" s="226"/>
      <c r="X35" s="473">
        <f t="shared" si="80"/>
        <v>5.9350715636076856E-2</v>
      </c>
      <c r="Y35" s="473">
        <f t="shared" si="81"/>
        <v>0.33043753163735201</v>
      </c>
    </row>
    <row r="36" spans="2:25" ht="13" customHeight="1">
      <c r="B36" s="67" t="str">
        <f>IF('Summary | Sumário'!D$6=Names!B$3,Names!Z9,Names!AA9)</f>
        <v>IEP + non-interest credit card receivables</v>
      </c>
      <c r="C36" s="228">
        <f>SUM(C37:C40)</f>
        <v>5973015</v>
      </c>
      <c r="D36" s="228">
        <f>SUM(D37:D40)</f>
        <v>14850207</v>
      </c>
      <c r="E36" s="228">
        <f t="shared" ref="E36:S36" si="98">SUM(E37:E40)</f>
        <v>31431927</v>
      </c>
      <c r="F36" s="228">
        <f t="shared" si="98"/>
        <v>38087337</v>
      </c>
      <c r="G36" s="228">
        <f t="shared" si="98"/>
        <v>48491398.794909999</v>
      </c>
      <c r="H36" s="228">
        <f t="shared" si="98"/>
        <v>17124948</v>
      </c>
      <c r="I36" s="228">
        <f t="shared" si="98"/>
        <v>20929553</v>
      </c>
      <c r="J36" s="228">
        <f t="shared" si="98"/>
        <v>28958543</v>
      </c>
      <c r="K36" s="228">
        <f t="shared" si="98"/>
        <v>31431927</v>
      </c>
      <c r="L36" s="228">
        <f t="shared" si="98"/>
        <v>31527701</v>
      </c>
      <c r="M36" s="228">
        <f t="shared" si="98"/>
        <v>33048741</v>
      </c>
      <c r="N36" s="228">
        <f t="shared" si="98"/>
        <v>36612449</v>
      </c>
      <c r="O36" s="228">
        <f t="shared" si="98"/>
        <v>38087337</v>
      </c>
      <c r="P36" s="228">
        <f t="shared" si="98"/>
        <v>38677714</v>
      </c>
      <c r="Q36" s="228">
        <f t="shared" si="98"/>
        <v>40254102</v>
      </c>
      <c r="R36" s="228">
        <f t="shared" si="98"/>
        <v>43688549.38933</v>
      </c>
      <c r="S36" s="228">
        <f t="shared" si="98"/>
        <v>48491398.794909999</v>
      </c>
      <c r="T36" s="228">
        <f t="shared" ref="T36:U36" si="99">SUM(T37:T40)</f>
        <v>51052929.298170201</v>
      </c>
      <c r="U36" s="228">
        <f t="shared" si="99"/>
        <v>54370564.796000004</v>
      </c>
      <c r="V36" s="228">
        <f t="shared" ref="V36" si="100">SUM(V37:V40)</f>
        <v>57309889.117514931</v>
      </c>
      <c r="W36" s="228"/>
      <c r="X36" s="395">
        <f t="shared" si="80"/>
        <v>5.4060948834049549E-2</v>
      </c>
      <c r="Y36" s="395">
        <f t="shared" si="81"/>
        <v>0.3117828336848294</v>
      </c>
    </row>
    <row r="37" spans="2:25" ht="13" customHeight="1">
      <c r="B37" s="70" t="str">
        <f>IF('Summary | Sumário'!D$6=Names!B$3,Names!Z10,Names!AA10)</f>
        <v>Amounts due from financial institutions</v>
      </c>
      <c r="C37" s="227">
        <v>256097</v>
      </c>
      <c r="D37" s="227">
        <v>502369</v>
      </c>
      <c r="E37" s="227">
        <v>2051862</v>
      </c>
      <c r="F37" s="227">
        <v>4258856</v>
      </c>
      <c r="G37" s="227">
        <v>3718505.7949100002</v>
      </c>
      <c r="H37" s="227">
        <v>578499</v>
      </c>
      <c r="I37" s="227">
        <v>646905</v>
      </c>
      <c r="J37" s="227">
        <v>1408183</v>
      </c>
      <c r="K37" s="227">
        <v>2051862</v>
      </c>
      <c r="L37" s="227">
        <v>1807258</v>
      </c>
      <c r="M37" s="227">
        <v>1825289</v>
      </c>
      <c r="N37" s="227">
        <v>3417500</v>
      </c>
      <c r="O37" s="227">
        <v>4258856</v>
      </c>
      <c r="P37" s="227">
        <v>3770074</v>
      </c>
      <c r="Q37" s="227">
        <v>2556811</v>
      </c>
      <c r="R37" s="227">
        <v>3474243.8523399998</v>
      </c>
      <c r="S37" s="227">
        <v>3718505.7949100002</v>
      </c>
      <c r="T37" s="227">
        <v>4051287.3041199995</v>
      </c>
      <c r="U37" s="227">
        <v>5280321.6449999996</v>
      </c>
      <c r="V37" s="227">
        <v>5225481.9997899998</v>
      </c>
      <c r="W37" s="228"/>
      <c r="X37" s="481">
        <f t="shared" si="80"/>
        <v>-1.0385663771434794E-2</v>
      </c>
      <c r="Y37" s="481">
        <f t="shared" si="81"/>
        <v>0.50406310606853122</v>
      </c>
    </row>
    <row r="38" spans="2:25" ht="13" customHeight="1">
      <c r="B38" s="65" t="str">
        <f>IF('Summary | Sumário'!D$6=Names!B$3,Names!Z11,Names!AA11)</f>
        <v>Securities</v>
      </c>
      <c r="C38" s="228">
        <v>1155094</v>
      </c>
      <c r="D38" s="228">
        <v>5812622</v>
      </c>
      <c r="E38" s="228">
        <v>12757687</v>
      </c>
      <c r="F38" s="228">
        <v>12448565</v>
      </c>
      <c r="G38" s="228">
        <v>16868112</v>
      </c>
      <c r="H38" s="228">
        <v>6619726</v>
      </c>
      <c r="I38" s="228">
        <v>8230481</v>
      </c>
      <c r="J38" s="228">
        <v>13241180</v>
      </c>
      <c r="K38" s="228">
        <v>12757687</v>
      </c>
      <c r="L38" s="228">
        <v>12335401</v>
      </c>
      <c r="M38" s="228">
        <v>12710051</v>
      </c>
      <c r="N38" s="228">
        <v>13373465</v>
      </c>
      <c r="O38" s="228">
        <v>12448565</v>
      </c>
      <c r="P38" s="228">
        <v>12535351</v>
      </c>
      <c r="Q38" s="228">
        <v>14169684</v>
      </c>
      <c r="R38" s="228">
        <v>14908297</v>
      </c>
      <c r="S38" s="228">
        <v>16868112</v>
      </c>
      <c r="T38" s="228">
        <v>18167251</v>
      </c>
      <c r="U38" s="228">
        <v>18276425.519000001</v>
      </c>
      <c r="V38" s="228">
        <v>20587496.485247668</v>
      </c>
      <c r="W38" s="228"/>
      <c r="X38" s="395">
        <f t="shared" si="80"/>
        <v>0.12645092793692614</v>
      </c>
      <c r="Y38" s="395">
        <f t="shared" si="81"/>
        <v>0.3809422018656905</v>
      </c>
    </row>
    <row r="39" spans="2:25" ht="13" customHeight="1">
      <c r="B39" s="70" t="str">
        <f>IF('Summary | Sumário'!D$6=Names!B$3,Names!Z12,Names!AA12)</f>
        <v>Net loans and advances to customers</v>
      </c>
      <c r="C39" s="227">
        <v>4561824</v>
      </c>
      <c r="D39" s="227">
        <v>8507703</v>
      </c>
      <c r="E39" s="227">
        <v>16535430</v>
      </c>
      <c r="F39" s="227">
        <v>21379916</v>
      </c>
      <c r="G39" s="227">
        <v>27900543</v>
      </c>
      <c r="H39" s="227">
        <v>9908120</v>
      </c>
      <c r="I39" s="227">
        <v>12040483</v>
      </c>
      <c r="J39" s="227">
        <v>14301537</v>
      </c>
      <c r="K39" s="227">
        <v>16535430</v>
      </c>
      <c r="L39" s="227">
        <v>17374632</v>
      </c>
      <c r="M39" s="227">
        <v>18510189</v>
      </c>
      <c r="N39" s="227">
        <v>19820903</v>
      </c>
      <c r="O39" s="227">
        <v>21379916</v>
      </c>
      <c r="P39" s="227">
        <v>22371167</v>
      </c>
      <c r="Q39" s="227">
        <v>23523982</v>
      </c>
      <c r="R39" s="227">
        <v>25296620</v>
      </c>
      <c r="S39" s="227">
        <v>27900543</v>
      </c>
      <c r="T39" s="227">
        <v>28826998.881090201</v>
      </c>
      <c r="U39" s="227">
        <v>30806640.206</v>
      </c>
      <c r="V39" s="227">
        <v>31478421.724357259</v>
      </c>
      <c r="W39" s="228"/>
      <c r="X39" s="481">
        <f t="shared" si="80"/>
        <v>2.1806386995308236E-2</v>
      </c>
      <c r="Y39" s="481">
        <f t="shared" si="81"/>
        <v>0.24437263651654884</v>
      </c>
    </row>
    <row r="40" spans="2:25" ht="13" customHeight="1">
      <c r="B40" s="65" t="str">
        <f>IF('Summary | Sumário'!D$6=Names!B$3,Names!Z13,Names!AA13)</f>
        <v>Derivative financial assets</v>
      </c>
      <c r="C40" s="228">
        <v>0</v>
      </c>
      <c r="D40" s="228">
        <v>27513</v>
      </c>
      <c r="E40" s="228">
        <v>86948</v>
      </c>
      <c r="F40" s="228">
        <v>0</v>
      </c>
      <c r="G40" s="228">
        <v>4238</v>
      </c>
      <c r="H40" s="228">
        <v>18603</v>
      </c>
      <c r="I40" s="228">
        <v>11684</v>
      </c>
      <c r="J40" s="228">
        <v>7643</v>
      </c>
      <c r="K40" s="228">
        <v>86948</v>
      </c>
      <c r="L40" s="228">
        <v>10410</v>
      </c>
      <c r="M40" s="228">
        <v>3212</v>
      </c>
      <c r="N40" s="228">
        <v>581</v>
      </c>
      <c r="O40" s="228">
        <v>0</v>
      </c>
      <c r="P40" s="228">
        <v>1122</v>
      </c>
      <c r="Q40" s="228">
        <v>3625</v>
      </c>
      <c r="R40" s="228">
        <v>9388.5369900000005</v>
      </c>
      <c r="S40" s="228">
        <v>4238</v>
      </c>
      <c r="T40" s="228">
        <v>7392.1129600000004</v>
      </c>
      <c r="U40" s="228">
        <v>7177.4260000000004</v>
      </c>
      <c r="V40" s="228">
        <v>18488.908119999996</v>
      </c>
      <c r="W40" s="228"/>
      <c r="X40" s="395">
        <f t="shared" si="80"/>
        <v>1.5759803194069844</v>
      </c>
      <c r="Y40" s="395">
        <f t="shared" si="81"/>
        <v>0.96930662782636556</v>
      </c>
    </row>
    <row r="41" spans="2:25" ht="13" customHeight="1">
      <c r="B41" s="354" t="str">
        <f>IF('Summary | Sumário'!D$6=Names!B$3,Names!Z35,Names!AA35)</f>
        <v>(=) Risk-Adjusted NIM 1.0 - IEP + non-interest credit card receivables (%)</v>
      </c>
      <c r="C41" s="403">
        <f t="shared" ref="C41:S41" si="101">C31/C35</f>
        <v>7.4833396534246102E-2</v>
      </c>
      <c r="D41" s="403">
        <f t="shared" si="101"/>
        <v>4.8241803807307054E-2</v>
      </c>
      <c r="E41" s="403">
        <f t="shared" si="101"/>
        <v>4.2949110600647752E-2</v>
      </c>
      <c r="F41" s="403">
        <f t="shared" si="101"/>
        <v>3.6024319302344725E-2</v>
      </c>
      <c r="G41" s="403">
        <f t="shared" si="101"/>
        <v>3.8496843011144415E-2</v>
      </c>
      <c r="H41" s="403">
        <f t="shared" si="101"/>
        <v>4.6263903333697676E-2</v>
      </c>
      <c r="I41" s="403">
        <f t="shared" si="101"/>
        <v>2.8349813547679955E-2</v>
      </c>
      <c r="J41" s="403">
        <f t="shared" si="101"/>
        <v>4.9609410629742216E-2</v>
      </c>
      <c r="K41" s="403">
        <f t="shared" si="101"/>
        <v>4.831963453836341E-2</v>
      </c>
      <c r="L41" s="403">
        <f t="shared" si="101"/>
        <v>2.9284116100558914E-2</v>
      </c>
      <c r="M41" s="403">
        <f t="shared" si="101"/>
        <v>3.9472430147204467E-2</v>
      </c>
      <c r="N41" s="403">
        <f t="shared" si="101"/>
        <v>3.3588255497788655E-2</v>
      </c>
      <c r="O41" s="403">
        <f t="shared" si="101"/>
        <v>4.3976466759891378E-2</v>
      </c>
      <c r="P41" s="403">
        <f t="shared" si="101"/>
        <v>3.7608866774543018E-2</v>
      </c>
      <c r="Q41" s="403">
        <f t="shared" si="101"/>
        <v>4.0897576713552368E-2</v>
      </c>
      <c r="R41" s="403">
        <f t="shared" si="101"/>
        <v>3.9137013848690422E-2</v>
      </c>
      <c r="S41" s="403">
        <f t="shared" si="101"/>
        <v>4.2651452420236727E-2</v>
      </c>
      <c r="T41" s="403">
        <f t="shared" ref="T41:U41" si="102">T31/T35</f>
        <v>4.4974304044865125E-2</v>
      </c>
      <c r="U41" s="403">
        <f t="shared" si="102"/>
        <v>4.6169524030878789E-2</v>
      </c>
      <c r="V41" s="403">
        <f t="shared" ref="V41" si="103">V31/V35</f>
        <v>4.7516614036234812E-2</v>
      </c>
      <c r="W41" s="428"/>
      <c r="X41" s="486">
        <f>(V41-U41)*100</f>
        <v>0.13470900053560234</v>
      </c>
      <c r="Y41" s="486">
        <f>(V41-R41)*100</f>
        <v>0.83796001875443904</v>
      </c>
    </row>
    <row r="43" spans="2:25" ht="13" customHeight="1">
      <c r="B43" s="24" t="str">
        <f>IF('Summary | Sumário'!D$6=Names!B$3,Names!Z36,Names!AA36)</f>
        <v>Risk Adjusted NIM 2.0 - IEP</v>
      </c>
      <c r="C43" s="404"/>
      <c r="D43" s="404"/>
      <c r="E43" s="404"/>
      <c r="F43" s="404"/>
      <c r="G43" s="404"/>
      <c r="H43" s="404"/>
      <c r="I43" s="404"/>
      <c r="J43" s="404"/>
      <c r="K43" s="404"/>
      <c r="L43" s="404"/>
      <c r="M43" s="404"/>
      <c r="N43" s="404"/>
      <c r="O43" s="404"/>
      <c r="P43" s="404"/>
      <c r="Q43" s="404"/>
      <c r="R43" s="404"/>
      <c r="S43" s="404"/>
      <c r="T43" s="404"/>
      <c r="U43" s="404"/>
      <c r="V43" s="404"/>
      <c r="W43" s="214"/>
      <c r="X43" s="404"/>
      <c r="Y43" s="404"/>
    </row>
    <row r="44" spans="2:25" ht="13" customHeight="1">
      <c r="B44" s="359" t="str">
        <f>IF('Summary | Sumário'!D$6=Names!B$3,Names!Z32,Names!AA32)</f>
        <v>Annualized NII after impairment losses on financial assets</v>
      </c>
      <c r="C44" s="360">
        <f>C45</f>
        <v>446981</v>
      </c>
      <c r="D44" s="360">
        <f>D45</f>
        <v>502274.89517999999</v>
      </c>
      <c r="E44" s="360">
        <f t="shared" ref="E44:G44" si="104">E45</f>
        <v>993888.24599999981</v>
      </c>
      <c r="F44" s="360">
        <f t="shared" si="104"/>
        <v>1252192.0819999995</v>
      </c>
      <c r="G44" s="360">
        <f t="shared" si="104"/>
        <v>1666504</v>
      </c>
      <c r="H44" s="360">
        <f>H45*4</f>
        <v>739647.74</v>
      </c>
      <c r="I44" s="360">
        <f t="shared" ref="I44:V44" si="105">I45*4</f>
        <v>539419.00400000019</v>
      </c>
      <c r="J44" s="360">
        <f t="shared" si="105"/>
        <v>1237459.52</v>
      </c>
      <c r="K44" s="360">
        <f t="shared" si="105"/>
        <v>1459022.7199999997</v>
      </c>
      <c r="L44" s="360">
        <f t="shared" si="105"/>
        <v>921858.52799999993</v>
      </c>
      <c r="M44" s="360">
        <f t="shared" si="105"/>
        <v>1274494.5480000004</v>
      </c>
      <c r="N44" s="360">
        <f t="shared" si="105"/>
        <v>1169898.9240000001</v>
      </c>
      <c r="O44" s="360">
        <f t="shared" si="105"/>
        <v>1642516.3279999997</v>
      </c>
      <c r="P44" s="360">
        <f t="shared" si="105"/>
        <v>1443523.2880000002</v>
      </c>
      <c r="Q44" s="360">
        <f t="shared" si="105"/>
        <v>1614060</v>
      </c>
      <c r="R44" s="360">
        <f t="shared" si="105"/>
        <v>1642632.3549600001</v>
      </c>
      <c r="S44" s="360">
        <f t="shared" si="105"/>
        <v>1965804.3370399997</v>
      </c>
      <c r="T44" s="360">
        <f t="shared" si="105"/>
        <v>2238468.4387999987</v>
      </c>
      <c r="U44" s="360">
        <f t="shared" si="105"/>
        <v>2433676.2719999999</v>
      </c>
      <c r="V44" s="360">
        <f t="shared" si="105"/>
        <v>2653338.5119999996</v>
      </c>
      <c r="W44" s="211"/>
      <c r="X44" s="455">
        <f t="shared" ref="X44:X55" si="106">V44/U44-1</f>
        <v>9.0259432828952546E-2</v>
      </c>
      <c r="Y44" s="455">
        <f t="shared" ref="Y44:Y55" si="107">V44/R44-1</f>
        <v>0.61529663286378611</v>
      </c>
    </row>
    <row r="45" spans="2:25" ht="13" customHeight="1">
      <c r="B45" s="62" t="str">
        <f>IF('Summary | Sumário'!D$6=Names!B$3,Names!Z33,Names!AA33)</f>
        <v>NII after impairment losses on financial assets</v>
      </c>
      <c r="C45" s="211">
        <f>C46+C47</f>
        <v>446981</v>
      </c>
      <c r="D45" s="211">
        <f t="shared" ref="D45" si="108">D46+D47</f>
        <v>502274.89517999999</v>
      </c>
      <c r="E45" s="211">
        <f t="shared" ref="E45" si="109">E46+E47</f>
        <v>993888.24599999981</v>
      </c>
      <c r="F45" s="219">
        <f t="shared" ref="F45" si="110">F46+F47</f>
        <v>1252192.0819999995</v>
      </c>
      <c r="G45" s="219">
        <f t="shared" ref="G45" si="111">G46+G47</f>
        <v>1666504</v>
      </c>
      <c r="H45" s="219">
        <f t="shared" ref="H45" si="112">H46+H47</f>
        <v>184911.935</v>
      </c>
      <c r="I45" s="219">
        <f t="shared" ref="I45" si="113">I46+I47</f>
        <v>134854.75100000005</v>
      </c>
      <c r="J45" s="219">
        <f t="shared" ref="J45" si="114">J46+J47</f>
        <v>309364.88</v>
      </c>
      <c r="K45" s="219">
        <f t="shared" ref="K45" si="115">K46+K47</f>
        <v>364755.67999999993</v>
      </c>
      <c r="L45" s="219">
        <f t="shared" ref="L45" si="116">L46+L47</f>
        <v>230464.63199999998</v>
      </c>
      <c r="M45" s="219">
        <f t="shared" ref="M45" si="117">M46+M47</f>
        <v>318623.6370000001</v>
      </c>
      <c r="N45" s="219">
        <f t="shared" ref="N45" si="118">N46+N47</f>
        <v>292474.73100000003</v>
      </c>
      <c r="O45" s="219">
        <f t="shared" ref="O45" si="119">O46+O47</f>
        <v>410629.08199999994</v>
      </c>
      <c r="P45" s="219">
        <f t="shared" ref="P45" si="120">P46+P47</f>
        <v>360880.82200000004</v>
      </c>
      <c r="Q45" s="219">
        <f t="shared" ref="Q45" si="121">Q46+Q47</f>
        <v>403515</v>
      </c>
      <c r="R45" s="219">
        <f t="shared" ref="R45" si="122">R46+R47</f>
        <v>410658.08874000004</v>
      </c>
      <c r="S45" s="219">
        <f t="shared" ref="S45:T45" si="123">S46+S47</f>
        <v>491451.08425999992</v>
      </c>
      <c r="T45" s="219">
        <f t="shared" si="123"/>
        <v>559617.10969999968</v>
      </c>
      <c r="U45" s="219">
        <f t="shared" ref="U45:V45" si="124">U46+U47</f>
        <v>608419.06799999997</v>
      </c>
      <c r="V45" s="219">
        <f t="shared" si="124"/>
        <v>663334.62799999991</v>
      </c>
      <c r="W45" s="211"/>
      <c r="X45" s="484">
        <f t="shared" si="106"/>
        <v>9.0259432828952546E-2</v>
      </c>
      <c r="Y45" s="484">
        <f t="shared" si="107"/>
        <v>0.61529663286378611</v>
      </c>
    </row>
    <row r="46" spans="2:25" ht="13" customHeight="1">
      <c r="B46" s="65" t="str">
        <f>IF('Summary | Sumário'!D$6=Names!B$3,Names!Z6,Names!AA6)</f>
        <v>Net interest income</v>
      </c>
      <c r="C46" s="226">
        <v>585551</v>
      </c>
      <c r="D46" s="226">
        <v>715962.89517999999</v>
      </c>
      <c r="E46" s="226">
        <v>1589469.2459999998</v>
      </c>
      <c r="F46" s="226">
        <v>2335429.0819999995</v>
      </c>
      <c r="G46" s="226">
        <v>3208088</v>
      </c>
      <c r="H46" s="226">
        <v>291580.935</v>
      </c>
      <c r="I46" s="226">
        <v>302295.75100000005</v>
      </c>
      <c r="J46" s="226">
        <v>447369.88</v>
      </c>
      <c r="K46" s="226">
        <v>548221.67999999993</v>
      </c>
      <c r="L46" s="226">
        <v>543410.63199999998</v>
      </c>
      <c r="M46" s="226">
        <v>561087.6370000001</v>
      </c>
      <c r="N46" s="226">
        <v>555587.73100000003</v>
      </c>
      <c r="O46" s="226">
        <v>675343.08199999994</v>
      </c>
      <c r="P46" s="226">
        <v>711561.82200000004</v>
      </c>
      <c r="Q46" s="226">
        <v>802075</v>
      </c>
      <c r="R46" s="226">
        <v>818557.08874000004</v>
      </c>
      <c r="S46" s="226">
        <v>875895.08425999992</v>
      </c>
      <c r="T46" s="226">
        <v>970665.10969999968</v>
      </c>
      <c r="U46" s="226">
        <v>1029666.7290000001</v>
      </c>
      <c r="V46" s="226">
        <v>1134762.2779999999</v>
      </c>
      <c r="W46" s="226"/>
      <c r="X46" s="480">
        <f t="shared" si="106"/>
        <v>0.10206753898134346</v>
      </c>
      <c r="Y46" s="480">
        <f t="shared" si="107"/>
        <v>0.38629582909938831</v>
      </c>
    </row>
    <row r="47" spans="2:25" ht="13" customHeight="1">
      <c r="B47" s="70" t="str">
        <f>IF('Summary | Sumário'!D$6=Names!B$3,Names!Z34,Names!AA34)</f>
        <v>Impairment losses on financial assets</v>
      </c>
      <c r="C47" s="226">
        <v>-138570</v>
      </c>
      <c r="D47" s="226">
        <v>-213688</v>
      </c>
      <c r="E47" s="226">
        <v>-595581</v>
      </c>
      <c r="F47" s="482">
        <v>-1083237</v>
      </c>
      <c r="G47" s="482">
        <v>-1541584</v>
      </c>
      <c r="H47" s="482">
        <v>-106669</v>
      </c>
      <c r="I47" s="482">
        <v>-167441</v>
      </c>
      <c r="J47" s="482">
        <v>-138005</v>
      </c>
      <c r="K47" s="482">
        <v>-183466</v>
      </c>
      <c r="L47" s="482">
        <v>-312946</v>
      </c>
      <c r="M47" s="482">
        <v>-242464</v>
      </c>
      <c r="N47" s="482">
        <v>-263113</v>
      </c>
      <c r="O47" s="482">
        <v>-264714</v>
      </c>
      <c r="P47" s="482">
        <v>-350681</v>
      </c>
      <c r="Q47" s="482">
        <v>-398560</v>
      </c>
      <c r="R47" s="482">
        <v>-407899</v>
      </c>
      <c r="S47" s="482">
        <v>-384444</v>
      </c>
      <c r="T47" s="482">
        <v>-411048</v>
      </c>
      <c r="U47" s="482">
        <v>-421247.66100000002</v>
      </c>
      <c r="V47" s="482">
        <v>-471427.65</v>
      </c>
      <c r="W47" s="226"/>
      <c r="X47" s="483">
        <f t="shared" si="106"/>
        <v>0.11912229703751409</v>
      </c>
      <c r="Y47" s="483">
        <f t="shared" si="107"/>
        <v>0.15574603026729661</v>
      </c>
    </row>
    <row r="48" spans="2:25" ht="13" customHeight="1">
      <c r="B48" s="66" t="str">
        <f>IF('Summary | Sumário'!D$6=Names!B$3,Names!Z21,Names!AA21)</f>
        <v>(÷) Avg of the last two periods of IEP</v>
      </c>
      <c r="C48" s="226">
        <f>C49</f>
        <v>5906176.3870000001</v>
      </c>
      <c r="D48" s="229">
        <f>(D49+C49)/2</f>
        <v>9540976.6059999987</v>
      </c>
      <c r="E48" s="229">
        <f t="shared" ref="E48" si="125">(E49+D49)/2</f>
        <v>20242695.412500001</v>
      </c>
      <c r="F48" s="229">
        <f t="shared" ref="F48" si="126">(F49+E49)/2</f>
        <v>29992576.5</v>
      </c>
      <c r="G48" s="229">
        <f t="shared" ref="G48" si="127">(G49+F49)/2</f>
        <v>36838463.595954999</v>
      </c>
      <c r="H48" s="229">
        <f>(H49+D49)/2</f>
        <v>14103254.9125</v>
      </c>
      <c r="I48" s="226">
        <f>(I49+H49)/2</f>
        <v>16655040.5</v>
      </c>
      <c r="J48" s="226">
        <f t="shared" ref="J48" si="128">(J49+I49)/2</f>
        <v>21978468</v>
      </c>
      <c r="K48" s="226">
        <f t="shared" ref="K48" si="129">(K49+J49)/2</f>
        <v>26493601</v>
      </c>
      <c r="L48" s="226">
        <f t="shared" ref="L48" si="130">(L49+K49)/2</f>
        <v>27179014.5</v>
      </c>
      <c r="M48" s="226">
        <f t="shared" ref="M48" si="131">(M49+L49)/2</f>
        <v>27600017.5</v>
      </c>
      <c r="N48" s="226">
        <f t="shared" ref="N48" si="132">(N49+M49)/2</f>
        <v>29831065</v>
      </c>
      <c r="O48" s="226">
        <f t="shared" ref="O48" si="133">(O49+N49)/2</f>
        <v>32093024.5</v>
      </c>
      <c r="P48" s="226">
        <f t="shared" ref="P48" si="134">(P49+O49)/2</f>
        <v>32836492.193913735</v>
      </c>
      <c r="Q48" s="226">
        <f t="shared" ref="Q48" si="135">(Q49+P49)/2</f>
        <v>33673793.577701032</v>
      </c>
      <c r="R48" s="226">
        <f t="shared" ref="R48" si="136">(R49+Q49)/2</f>
        <v>35635379.055952296</v>
      </c>
      <c r="S48" s="226">
        <f t="shared" ref="S48:V48" si="137">(S49+R49)/2</f>
        <v>38961002.268119998</v>
      </c>
      <c r="T48" s="226">
        <f t="shared" si="137"/>
        <v>42059618.137200102</v>
      </c>
      <c r="U48" s="226">
        <f t="shared" si="137"/>
        <v>44622222.196655095</v>
      </c>
      <c r="V48" s="226">
        <f t="shared" si="137"/>
        <v>47436807.037132457</v>
      </c>
      <c r="W48" s="226"/>
      <c r="X48" s="480">
        <f t="shared" si="106"/>
        <v>6.3075855524926006E-2</v>
      </c>
      <c r="Y48" s="480">
        <f t="shared" si="107"/>
        <v>0.33117166966711209</v>
      </c>
    </row>
    <row r="49" spans="2:25" ht="13" customHeight="1">
      <c r="B49" s="71" t="str">
        <f>IF('Summary | Sumário'!D$6=Names!B$3,Names!Z22,Names!AA22)</f>
        <v>IEP</v>
      </c>
      <c r="C49" s="225">
        <f>C50+C51+C52+C55</f>
        <v>5906176.3870000001</v>
      </c>
      <c r="D49" s="225">
        <f t="shared" ref="D49:S49" si="138">D50+D51+D52+D55</f>
        <v>13175776.824999999</v>
      </c>
      <c r="E49" s="225">
        <f t="shared" si="138"/>
        <v>27309614</v>
      </c>
      <c r="F49" s="225">
        <f t="shared" si="138"/>
        <v>32675539</v>
      </c>
      <c r="G49" s="225">
        <f t="shared" si="138"/>
        <v>41001388.191909999</v>
      </c>
      <c r="H49" s="225">
        <f t="shared" si="138"/>
        <v>15030733</v>
      </c>
      <c r="I49" s="225">
        <f t="shared" si="138"/>
        <v>18279348</v>
      </c>
      <c r="J49" s="225">
        <f t="shared" si="138"/>
        <v>25677588</v>
      </c>
      <c r="K49" s="225">
        <f t="shared" si="138"/>
        <v>27309614</v>
      </c>
      <c r="L49" s="225">
        <f t="shared" si="138"/>
        <v>27048415</v>
      </c>
      <c r="M49" s="225">
        <f t="shared" si="138"/>
        <v>28151620</v>
      </c>
      <c r="N49" s="225">
        <f t="shared" si="138"/>
        <v>31510510</v>
      </c>
      <c r="O49" s="225">
        <f t="shared" si="138"/>
        <v>32675539</v>
      </c>
      <c r="P49" s="225">
        <f t="shared" si="138"/>
        <v>32997445.387827475</v>
      </c>
      <c r="Q49" s="225">
        <f t="shared" si="138"/>
        <v>34350141.767574593</v>
      </c>
      <c r="R49" s="225">
        <f t="shared" si="138"/>
        <v>36920616.344329998</v>
      </c>
      <c r="S49" s="225">
        <f t="shared" si="138"/>
        <v>41001388.191909999</v>
      </c>
      <c r="T49" s="225">
        <f t="shared" ref="T49:U49" si="139">T50+T51+T52+T55</f>
        <v>43117848.082490198</v>
      </c>
      <c r="U49" s="225">
        <f t="shared" si="139"/>
        <v>46126596.310819998</v>
      </c>
      <c r="V49" s="225">
        <f t="shared" ref="V49" si="140">V50+V51+V52+V55</f>
        <v>48747017.763444923</v>
      </c>
      <c r="W49" s="226"/>
      <c r="X49" s="473">
        <f t="shared" si="106"/>
        <v>5.6809339127635639E-2</v>
      </c>
      <c r="Y49" s="473">
        <f t="shared" si="107"/>
        <v>0.3203197180897317</v>
      </c>
    </row>
    <row r="50" spans="2:25" ht="13" customHeight="1">
      <c r="B50" s="65" t="str">
        <f>IF('Summary | Sumário'!D$6=Names!B$3,Names!Z23,Names!AA23)</f>
        <v>Amounts due from financial institutions</v>
      </c>
      <c r="C50" s="226">
        <f t="shared" ref="C50:S50" si="141">C37</f>
        <v>256097</v>
      </c>
      <c r="D50" s="226">
        <f t="shared" si="141"/>
        <v>502369</v>
      </c>
      <c r="E50" s="226">
        <f t="shared" si="141"/>
        <v>2051862</v>
      </c>
      <c r="F50" s="226">
        <f t="shared" si="141"/>
        <v>4258856</v>
      </c>
      <c r="G50" s="226">
        <f t="shared" si="141"/>
        <v>3718505.7949100002</v>
      </c>
      <c r="H50" s="226">
        <f t="shared" si="141"/>
        <v>578499</v>
      </c>
      <c r="I50" s="226">
        <f t="shared" si="141"/>
        <v>646905</v>
      </c>
      <c r="J50" s="226">
        <f t="shared" si="141"/>
        <v>1408183</v>
      </c>
      <c r="K50" s="226">
        <f t="shared" si="141"/>
        <v>2051862</v>
      </c>
      <c r="L50" s="226">
        <f t="shared" si="141"/>
        <v>1807258</v>
      </c>
      <c r="M50" s="226">
        <f t="shared" si="141"/>
        <v>1825289</v>
      </c>
      <c r="N50" s="226">
        <f t="shared" si="141"/>
        <v>3417500</v>
      </c>
      <c r="O50" s="226">
        <f t="shared" si="141"/>
        <v>4258856</v>
      </c>
      <c r="P50" s="226">
        <f t="shared" si="141"/>
        <v>3770074</v>
      </c>
      <c r="Q50" s="226">
        <f t="shared" si="141"/>
        <v>2556811</v>
      </c>
      <c r="R50" s="226">
        <f t="shared" si="141"/>
        <v>3474243.8523399998</v>
      </c>
      <c r="S50" s="226">
        <f t="shared" si="141"/>
        <v>3718505.7949100002</v>
      </c>
      <c r="T50" s="226">
        <f t="shared" ref="T50:U50" si="142">T37</f>
        <v>4051287.3041199995</v>
      </c>
      <c r="U50" s="226">
        <f t="shared" si="142"/>
        <v>5280321.6449999996</v>
      </c>
      <c r="V50" s="226">
        <f t="shared" ref="V50" si="143">V37</f>
        <v>5225481.9997899998</v>
      </c>
      <c r="W50" s="226"/>
      <c r="X50" s="480">
        <f t="shared" si="106"/>
        <v>-1.0385663771434794E-2</v>
      </c>
      <c r="Y50" s="480">
        <f t="shared" si="107"/>
        <v>0.50406310606853122</v>
      </c>
    </row>
    <row r="51" spans="2:25" ht="13" customHeight="1">
      <c r="B51" s="70" t="str">
        <f>IF('Summary | Sumário'!D$6=Names!B$3,Names!Z24,Names!AA24)</f>
        <v>Securities</v>
      </c>
      <c r="C51" s="225">
        <f t="shared" ref="C51:F51" si="144">C38</f>
        <v>1155094</v>
      </c>
      <c r="D51" s="225">
        <f t="shared" si="144"/>
        <v>5812622</v>
      </c>
      <c r="E51" s="225">
        <f t="shared" si="144"/>
        <v>12757687</v>
      </c>
      <c r="F51" s="225">
        <f t="shared" si="144"/>
        <v>12448565</v>
      </c>
      <c r="G51" s="225">
        <f t="shared" ref="G51:S51" si="145">G38</f>
        <v>16868112</v>
      </c>
      <c r="H51" s="225">
        <f t="shared" si="145"/>
        <v>6619726</v>
      </c>
      <c r="I51" s="225">
        <f t="shared" si="145"/>
        <v>8230481</v>
      </c>
      <c r="J51" s="225">
        <f t="shared" si="145"/>
        <v>13241180</v>
      </c>
      <c r="K51" s="225">
        <f t="shared" si="145"/>
        <v>12757687</v>
      </c>
      <c r="L51" s="225">
        <f t="shared" si="145"/>
        <v>12335401</v>
      </c>
      <c r="M51" s="225">
        <f t="shared" si="145"/>
        <v>12710051</v>
      </c>
      <c r="N51" s="225">
        <f t="shared" si="145"/>
        <v>13373465</v>
      </c>
      <c r="O51" s="225">
        <f t="shared" si="145"/>
        <v>12448565</v>
      </c>
      <c r="P51" s="225">
        <f t="shared" si="145"/>
        <v>12535351</v>
      </c>
      <c r="Q51" s="225">
        <f t="shared" si="145"/>
        <v>14169684</v>
      </c>
      <c r="R51" s="225">
        <f t="shared" si="145"/>
        <v>14908297</v>
      </c>
      <c r="S51" s="225">
        <f t="shared" si="145"/>
        <v>16868112</v>
      </c>
      <c r="T51" s="225">
        <f t="shared" ref="T51:U51" si="146">T38</f>
        <v>18167251</v>
      </c>
      <c r="U51" s="225">
        <f t="shared" si="146"/>
        <v>18276425.519000001</v>
      </c>
      <c r="V51" s="225">
        <f t="shared" ref="V51" si="147">V38</f>
        <v>20587496.485247668</v>
      </c>
      <c r="W51" s="226"/>
      <c r="X51" s="473">
        <f t="shared" si="106"/>
        <v>0.12645092793692614</v>
      </c>
      <c r="Y51" s="473">
        <f t="shared" si="107"/>
        <v>0.3809422018656905</v>
      </c>
    </row>
    <row r="52" spans="2:25" ht="13" customHeight="1">
      <c r="B52" s="68" t="str">
        <f>IF('Summary | Sumário'!D$6=Names!B$3,Names!Z25,Names!AA25)</f>
        <v>Net loans and advances to customers excluding non int. CC Receivables</v>
      </c>
      <c r="C52" s="226">
        <f>SUM(C53,-C54)</f>
        <v>4494985.3870000001</v>
      </c>
      <c r="D52" s="226">
        <f t="shared" ref="D52:S52" si="148">SUM(D53,-D54)</f>
        <v>6833272.8250000002</v>
      </c>
      <c r="E52" s="226">
        <f t="shared" si="148"/>
        <v>12413117</v>
      </c>
      <c r="F52" s="226">
        <f t="shared" si="148"/>
        <v>15968118</v>
      </c>
      <c r="G52" s="226">
        <f t="shared" si="148"/>
        <v>20410532.397</v>
      </c>
      <c r="H52" s="226">
        <f t="shared" si="148"/>
        <v>7813905</v>
      </c>
      <c r="I52" s="226">
        <f t="shared" si="148"/>
        <v>9390278</v>
      </c>
      <c r="J52" s="226">
        <f t="shared" si="148"/>
        <v>11020582</v>
      </c>
      <c r="K52" s="226">
        <f t="shared" si="148"/>
        <v>12413117</v>
      </c>
      <c r="L52" s="226">
        <f t="shared" si="148"/>
        <v>12895346</v>
      </c>
      <c r="M52" s="226">
        <f t="shared" si="148"/>
        <v>13613068</v>
      </c>
      <c r="N52" s="226">
        <f t="shared" si="148"/>
        <v>14718964</v>
      </c>
      <c r="O52" s="226">
        <f t="shared" si="148"/>
        <v>15968118</v>
      </c>
      <c r="P52" s="226">
        <f t="shared" si="148"/>
        <v>16690898.387827475</v>
      </c>
      <c r="Q52" s="226">
        <f t="shared" si="148"/>
        <v>17620021.767574593</v>
      </c>
      <c r="R52" s="226">
        <f t="shared" si="148"/>
        <v>18528686.954999998</v>
      </c>
      <c r="S52" s="226">
        <f t="shared" si="148"/>
        <v>20410532.397</v>
      </c>
      <c r="T52" s="226">
        <f t="shared" ref="T52:U52" si="149">SUM(T53,-T54)</f>
        <v>20891917.665410198</v>
      </c>
      <c r="U52" s="226">
        <f t="shared" si="149"/>
        <v>22562671.720820002</v>
      </c>
      <c r="V52" s="226">
        <f t="shared" ref="V52" si="150">SUM(V53,-V54)</f>
        <v>22915550.370287258</v>
      </c>
      <c r="W52" s="226"/>
      <c r="X52" s="480">
        <f t="shared" si="106"/>
        <v>1.5639931912036387E-2</v>
      </c>
      <c r="Y52" s="480">
        <f t="shared" si="107"/>
        <v>0.23676062021780009</v>
      </c>
    </row>
    <row r="53" spans="2:25" ht="13" customHeight="1">
      <c r="B53" s="73" t="str">
        <f>IF('Summary | Sumário'!D$6=Names!B$3,Names!Z26,Names!AA26)</f>
        <v>Net loans and advances to customers</v>
      </c>
      <c r="C53" s="225">
        <f t="shared" ref="C53:S53" si="151">C39</f>
        <v>4561824</v>
      </c>
      <c r="D53" s="225">
        <f t="shared" si="151"/>
        <v>8507703</v>
      </c>
      <c r="E53" s="225">
        <f t="shared" si="151"/>
        <v>16535430</v>
      </c>
      <c r="F53" s="225">
        <f t="shared" si="151"/>
        <v>21379916</v>
      </c>
      <c r="G53" s="225">
        <f t="shared" si="151"/>
        <v>27900543</v>
      </c>
      <c r="H53" s="225">
        <f t="shared" si="151"/>
        <v>9908120</v>
      </c>
      <c r="I53" s="225">
        <f t="shared" si="151"/>
        <v>12040483</v>
      </c>
      <c r="J53" s="225">
        <f t="shared" si="151"/>
        <v>14301537</v>
      </c>
      <c r="K53" s="225">
        <f t="shared" si="151"/>
        <v>16535430</v>
      </c>
      <c r="L53" s="225">
        <f t="shared" si="151"/>
        <v>17374632</v>
      </c>
      <c r="M53" s="225">
        <f t="shared" si="151"/>
        <v>18510189</v>
      </c>
      <c r="N53" s="225">
        <f t="shared" si="151"/>
        <v>19820903</v>
      </c>
      <c r="O53" s="225">
        <f t="shared" si="151"/>
        <v>21379916</v>
      </c>
      <c r="P53" s="225">
        <f t="shared" si="151"/>
        <v>22371167</v>
      </c>
      <c r="Q53" s="225">
        <f t="shared" si="151"/>
        <v>23523982</v>
      </c>
      <c r="R53" s="225">
        <f t="shared" si="151"/>
        <v>25296620</v>
      </c>
      <c r="S53" s="225">
        <f t="shared" si="151"/>
        <v>27900543</v>
      </c>
      <c r="T53" s="225">
        <f t="shared" ref="T53:U53" si="152">T39</f>
        <v>28826998.881090201</v>
      </c>
      <c r="U53" s="225">
        <f t="shared" si="152"/>
        <v>30806640.206</v>
      </c>
      <c r="V53" s="225">
        <f t="shared" ref="V53" si="153">V39</f>
        <v>31478421.724357259</v>
      </c>
      <c r="W53" s="226"/>
      <c r="X53" s="473">
        <f t="shared" si="106"/>
        <v>2.1806386995308236E-2</v>
      </c>
      <c r="Y53" s="473">
        <f t="shared" si="107"/>
        <v>0.24437263651654884</v>
      </c>
    </row>
    <row r="54" spans="2:25" ht="13" customHeight="1">
      <c r="B54" s="69" t="str">
        <f>IF('Summary | Sumário'!D$6=Names!B$3,Names!Z27,Names!AA27)</f>
        <v>(-) Non int. CC receivables</v>
      </c>
      <c r="C54" s="226">
        <v>66838.612999999998</v>
      </c>
      <c r="D54" s="226">
        <v>1674430.175</v>
      </c>
      <c r="E54" s="226">
        <v>4122313</v>
      </c>
      <c r="F54" s="226">
        <v>5411798</v>
      </c>
      <c r="G54" s="226">
        <v>7490010.6029999992</v>
      </c>
      <c r="H54" s="226">
        <v>2094215</v>
      </c>
      <c r="I54" s="226">
        <v>2650205</v>
      </c>
      <c r="J54" s="226">
        <v>3280955</v>
      </c>
      <c r="K54" s="226">
        <v>4122313</v>
      </c>
      <c r="L54" s="226">
        <v>4479286</v>
      </c>
      <c r="M54" s="226">
        <v>4897121</v>
      </c>
      <c r="N54" s="226">
        <v>5101939</v>
      </c>
      <c r="O54" s="226">
        <v>5411798</v>
      </c>
      <c r="P54" s="226">
        <v>5680268.6121725254</v>
      </c>
      <c r="Q54" s="226">
        <v>5903960.2324254084</v>
      </c>
      <c r="R54" s="226">
        <v>6767933.0449999999</v>
      </c>
      <c r="S54" s="226">
        <v>7490010.6029999992</v>
      </c>
      <c r="T54" s="226">
        <v>7935081.2156800013</v>
      </c>
      <c r="U54" s="226">
        <v>8243968.4851799998</v>
      </c>
      <c r="V54" s="226">
        <v>8562871.3540700004</v>
      </c>
      <c r="W54" s="226"/>
      <c r="X54" s="480">
        <f t="shared" si="106"/>
        <v>3.8683174185258684E-2</v>
      </c>
      <c r="Y54" s="480">
        <f t="shared" si="107"/>
        <v>0.2652121847446558</v>
      </c>
    </row>
    <row r="55" spans="2:25" ht="13" customHeight="1">
      <c r="B55" s="70" t="str">
        <f>IF('Summary | Sumário'!D$6=Names!B$3,Names!Z28,Names!AA28)</f>
        <v>Derivative financial assets</v>
      </c>
      <c r="C55" s="225">
        <f t="shared" ref="C55:S55" si="154">C40</f>
        <v>0</v>
      </c>
      <c r="D55" s="225">
        <f t="shared" si="154"/>
        <v>27513</v>
      </c>
      <c r="E55" s="225">
        <f t="shared" si="154"/>
        <v>86948</v>
      </c>
      <c r="F55" s="225">
        <f t="shared" si="154"/>
        <v>0</v>
      </c>
      <c r="G55" s="225">
        <f t="shared" si="154"/>
        <v>4238</v>
      </c>
      <c r="H55" s="225">
        <f t="shared" si="154"/>
        <v>18603</v>
      </c>
      <c r="I55" s="225">
        <f t="shared" si="154"/>
        <v>11684</v>
      </c>
      <c r="J55" s="225">
        <f t="shared" si="154"/>
        <v>7643</v>
      </c>
      <c r="K55" s="225">
        <f t="shared" si="154"/>
        <v>86948</v>
      </c>
      <c r="L55" s="225">
        <f t="shared" si="154"/>
        <v>10410</v>
      </c>
      <c r="M55" s="225">
        <f t="shared" si="154"/>
        <v>3212</v>
      </c>
      <c r="N55" s="225">
        <f t="shared" si="154"/>
        <v>581</v>
      </c>
      <c r="O55" s="225">
        <f t="shared" si="154"/>
        <v>0</v>
      </c>
      <c r="P55" s="225">
        <f t="shared" si="154"/>
        <v>1122</v>
      </c>
      <c r="Q55" s="225">
        <f t="shared" si="154"/>
        <v>3625</v>
      </c>
      <c r="R55" s="225">
        <f t="shared" si="154"/>
        <v>9388.5369900000005</v>
      </c>
      <c r="S55" s="225">
        <f t="shared" si="154"/>
        <v>4238</v>
      </c>
      <c r="T55" s="225">
        <f t="shared" ref="T55:U55" si="155">T40</f>
        <v>7392.1129600000004</v>
      </c>
      <c r="U55" s="225">
        <f t="shared" si="155"/>
        <v>7177.4260000000004</v>
      </c>
      <c r="V55" s="225">
        <f t="shared" ref="V55" si="156">V40</f>
        <v>18488.908119999996</v>
      </c>
      <c r="W55" s="226"/>
      <c r="X55" s="473">
        <f t="shared" si="106"/>
        <v>1.5759803194069844</v>
      </c>
      <c r="Y55" s="473">
        <f t="shared" si="107"/>
        <v>0.96930662782636556</v>
      </c>
    </row>
    <row r="56" spans="2:25" ht="13" customHeight="1">
      <c r="B56" s="355" t="str">
        <f>IF('Summary | Sumário'!D$6=Names!B$3,Names!Z37,Names!AA37)</f>
        <v>(=) Risk-adjusted NIM 2.0 - IEP (%)</v>
      </c>
      <c r="C56" s="371">
        <f t="shared" ref="C56:F56" si="157">C44/C48</f>
        <v>7.5680265998124177E-2</v>
      </c>
      <c r="D56" s="371">
        <f t="shared" si="157"/>
        <v>5.2643970939425237E-2</v>
      </c>
      <c r="E56" s="371">
        <f t="shared" si="157"/>
        <v>4.9098611906508612E-2</v>
      </c>
      <c r="F56" s="371">
        <f t="shared" si="157"/>
        <v>4.1750067120775683E-2</v>
      </c>
      <c r="G56" s="371">
        <f>G44/G48</f>
        <v>4.5238151576522001E-2</v>
      </c>
      <c r="H56" s="371">
        <f t="shared" ref="H56:S56" si="158">H44/H48</f>
        <v>5.2445179824725088E-2</v>
      </c>
      <c r="I56" s="371">
        <f t="shared" si="158"/>
        <v>3.2387732950874555E-2</v>
      </c>
      <c r="J56" s="371">
        <f t="shared" si="158"/>
        <v>5.6303265541529104E-2</v>
      </c>
      <c r="K56" s="371">
        <f t="shared" si="158"/>
        <v>5.5070759161806648E-2</v>
      </c>
      <c r="L56" s="371">
        <f t="shared" si="158"/>
        <v>3.3918026277222083E-2</v>
      </c>
      <c r="M56" s="371">
        <f t="shared" si="158"/>
        <v>4.617730941656107E-2</v>
      </c>
      <c r="N56" s="371">
        <f t="shared" si="158"/>
        <v>3.9217470914967335E-2</v>
      </c>
      <c r="O56" s="371">
        <f t="shared" si="158"/>
        <v>5.1179854612954906E-2</v>
      </c>
      <c r="P56" s="371">
        <f t="shared" si="158"/>
        <v>4.3960946847652567E-2</v>
      </c>
      <c r="Q56" s="371">
        <f t="shared" si="158"/>
        <v>4.7932229443517146E-2</v>
      </c>
      <c r="R56" s="371">
        <f t="shared" si="158"/>
        <v>4.6095548819078042E-2</v>
      </c>
      <c r="S56" s="371">
        <f t="shared" si="158"/>
        <v>5.0455692169103339E-2</v>
      </c>
      <c r="T56" s="371">
        <f t="shared" ref="T56:U56" si="159">T44/T48</f>
        <v>5.322132101860811E-2</v>
      </c>
      <c r="U56" s="371">
        <f t="shared" si="159"/>
        <v>5.4539557919695662E-2</v>
      </c>
      <c r="V56" s="371">
        <f t="shared" ref="V56" si="160">V44/V48</f>
        <v>5.5934171748174923E-2</v>
      </c>
      <c r="W56" s="428"/>
      <c r="X56" s="485">
        <f>(V56-U56)*100</f>
        <v>0.13946138284792603</v>
      </c>
      <c r="Y56" s="485">
        <f>(V56-R56)*100</f>
        <v>0.98386229290968807</v>
      </c>
    </row>
  </sheetData>
  <sheetProtection algorithmName="SHA-512" hashValue="1MK1P2/upkD80akg8U7diJdiRtMSGjnLAR3gCaQOVe99YPU0oiRvuF9hMIFYoEjsgodNvxxBcH00sU0NrqKfew==" saltValue="/LhOvzwD7OWjTB46G/AGIw=="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ignoredErrors>
    <ignoredError sqref="Q2:Y6 B16:B17 B18:B29 B2:B15 B30:B56 Q14:Y25 W10:Y10 W11:Y11 W12:Y12 W13:Y13 Q41:Y45 W37:Y37 W38:Y38 W39:Y39 W40:Y40 Q8:Y9 W7:Y7 Q35:Y36 W33:Y33 W34:Y34 Q48:Y53 W46:Y46 W47:Y47 Q27:Y32 W26:Y26 Q55:Y56 W54:Y54" unlockedFormula="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22FF-BABF-5346-86FD-35375D07C9C5}">
  <sheetPr>
    <tabColor theme="5" tint="0.59999389629810485"/>
  </sheetPr>
  <dimension ref="A1:AD40"/>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6" customWidth="1"/>
    <col min="23" max="23" width="5.83203125" style="136" customWidth="1"/>
    <col min="24" max="25" width="10.83203125" style="136" customWidth="1"/>
    <col min="26" max="16384" width="10.83203125" style="135"/>
  </cols>
  <sheetData>
    <row r="1" spans="2:29" ht="13" customHeight="1">
      <c r="Z1" s="136"/>
    </row>
    <row r="2" spans="2:29" s="10" customFormat="1" ht="13" customHeight="1">
      <c r="B2" s="319" t="str">
        <f>IF('Summary | Sumário'!D$6=Names!B$3,Names!AV1,Names!AW1)</f>
        <v> Efficiency Ratio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422"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2:29" ht="13" customHeight="1">
      <c r="B3" s="49"/>
      <c r="C3" s="178"/>
      <c r="D3" s="178"/>
      <c r="E3" s="178"/>
      <c r="F3" s="178"/>
      <c r="G3" s="178"/>
      <c r="H3" s="178"/>
      <c r="I3" s="178"/>
      <c r="J3" s="178"/>
      <c r="K3" s="178"/>
      <c r="L3" s="178"/>
      <c r="M3" s="178"/>
      <c r="N3" s="178"/>
      <c r="O3" s="178"/>
      <c r="P3" s="178"/>
      <c r="Q3" s="178"/>
      <c r="R3" s="178"/>
      <c r="S3" s="178"/>
      <c r="T3" s="178"/>
      <c r="U3" s="178"/>
      <c r="V3" s="178"/>
      <c r="W3" s="178"/>
      <c r="X3" s="178"/>
      <c r="Y3" s="178"/>
      <c r="Z3" s="147"/>
    </row>
    <row r="4" spans="2:29" ht="13" customHeight="1">
      <c r="B4" s="3" t="str">
        <f>IF('Summary | Sumário'!D$6=Names!B$3,Names!AV3,Names!AW3)</f>
        <v>Efficiency ratio </v>
      </c>
      <c r="C4" s="214"/>
      <c r="D4" s="214"/>
      <c r="E4" s="214"/>
      <c r="F4" s="214"/>
      <c r="G4" s="214"/>
      <c r="H4" s="214"/>
      <c r="I4" s="214"/>
      <c r="J4" s="214"/>
      <c r="K4" s="214"/>
      <c r="L4" s="214"/>
      <c r="M4" s="214"/>
      <c r="N4" s="214"/>
      <c r="O4" s="214"/>
      <c r="P4" s="214"/>
      <c r="Q4" s="214"/>
      <c r="R4" s="214"/>
      <c r="S4" s="214"/>
      <c r="T4" s="214"/>
      <c r="U4" s="214"/>
      <c r="V4" s="214"/>
      <c r="W4" s="214"/>
      <c r="X4" s="214"/>
      <c r="Y4" s="214"/>
    </row>
    <row r="5" spans="2:29" ht="13" customHeight="1">
      <c r="B5" s="356" t="str">
        <f>IF('Summary | Sumário'!D$6=Names!B$3,Names!AV4,Names!AW4)</f>
        <v>Total operational expenses</v>
      </c>
      <c r="C5" s="357">
        <f>SUM(C6:C8)</f>
        <v>572970</v>
      </c>
      <c r="D5" s="357">
        <f t="shared" ref="D5:P5" si="0">SUM(D6:D8)</f>
        <v>914082</v>
      </c>
      <c r="E5" s="357">
        <f t="shared" si="0"/>
        <v>1701818.2949999999</v>
      </c>
      <c r="F5" s="357">
        <f t="shared" si="0"/>
        <v>2392061</v>
      </c>
      <c r="G5" s="357">
        <f>SUM(G6:G8)</f>
        <v>2412527</v>
      </c>
      <c r="H5" s="357">
        <f t="shared" si="0"/>
        <v>320122.31299999997</v>
      </c>
      <c r="I5" s="357">
        <f t="shared" si="0"/>
        <v>391145</v>
      </c>
      <c r="J5" s="357">
        <f t="shared" si="0"/>
        <v>387488.18799999997</v>
      </c>
      <c r="K5" s="357">
        <f t="shared" si="0"/>
        <v>603062.79399999999</v>
      </c>
      <c r="L5" s="357">
        <f t="shared" si="0"/>
        <v>558404</v>
      </c>
      <c r="M5" s="357">
        <f t="shared" si="0"/>
        <v>556595</v>
      </c>
      <c r="N5" s="357">
        <f t="shared" si="0"/>
        <v>591798</v>
      </c>
      <c r="O5" s="357">
        <f t="shared" si="0"/>
        <v>685264</v>
      </c>
      <c r="P5" s="357">
        <f t="shared" si="0"/>
        <v>595604</v>
      </c>
      <c r="Q5" s="357">
        <f t="shared" ref="Q5:R5" si="1">SUM(Q6:Q8)</f>
        <v>575247</v>
      </c>
      <c r="R5" s="357">
        <f t="shared" si="1"/>
        <v>614129</v>
      </c>
      <c r="S5" s="357">
        <f t="shared" ref="S5:T5" si="2">SUM(S6:S8)</f>
        <v>627547</v>
      </c>
      <c r="T5" s="357">
        <f t="shared" si="2"/>
        <v>627607</v>
      </c>
      <c r="U5" s="357">
        <f t="shared" ref="U5:V5" si="3">SUM(U6:U8)</f>
        <v>660068.69851999998</v>
      </c>
      <c r="V5" s="357">
        <f t="shared" si="3"/>
        <v>787131.07247999997</v>
      </c>
      <c r="W5" s="211"/>
      <c r="X5" s="455">
        <f>V5/U5-1</f>
        <v>0.19249871149002828</v>
      </c>
      <c r="Y5" s="455">
        <f>V5/R5-1</f>
        <v>0.2817031478402745</v>
      </c>
    </row>
    <row r="6" spans="2:29" ht="13" customHeight="1">
      <c r="B6" s="65" t="str">
        <f>IF('Summary | Sumário'!D$6=Names!B$3,Names!AV5,Names!AW5)</f>
        <v>Personnel expenses</v>
      </c>
      <c r="C6" s="211">
        <v>169198</v>
      </c>
      <c r="D6" s="211">
        <v>229096</v>
      </c>
      <c r="E6" s="211">
        <v>443328</v>
      </c>
      <c r="F6" s="211">
        <v>733605</v>
      </c>
      <c r="G6" s="211">
        <v>790739</v>
      </c>
      <c r="H6" s="211">
        <v>81861</v>
      </c>
      <c r="I6" s="211">
        <v>93046</v>
      </c>
      <c r="J6" s="211">
        <v>121250</v>
      </c>
      <c r="K6" s="211">
        <v>147171</v>
      </c>
      <c r="L6" s="211">
        <v>145120</v>
      </c>
      <c r="M6" s="211">
        <v>172466</v>
      </c>
      <c r="N6" s="211">
        <v>176232</v>
      </c>
      <c r="O6" s="211">
        <v>239787</v>
      </c>
      <c r="P6" s="211">
        <v>172412</v>
      </c>
      <c r="Q6" s="211">
        <v>186249</v>
      </c>
      <c r="R6" s="211">
        <v>210661</v>
      </c>
      <c r="S6" s="211">
        <v>221417</v>
      </c>
      <c r="T6" s="211">
        <v>190463</v>
      </c>
      <c r="U6" s="211">
        <v>204206.56551999997</v>
      </c>
      <c r="V6" s="211">
        <v>258955.60448000001</v>
      </c>
      <c r="W6" s="211"/>
      <c r="X6" s="456">
        <f t="shared" ref="X6:X13" si="4">V6/U6-1</f>
        <v>0.2681061640725646</v>
      </c>
      <c r="Y6" s="456">
        <f t="shared" ref="Y6:Y13" si="5">V6/R6-1</f>
        <v>0.22925270686078592</v>
      </c>
    </row>
    <row r="7" spans="2:29" ht="13" customHeight="1">
      <c r="B7" s="70" t="str">
        <f>IF('Summary | Sumário'!D$6=Names!B$3,Names!AV6,Names!AW6)</f>
        <v>Administrative expenses</v>
      </c>
      <c r="C7" s="206">
        <v>386309</v>
      </c>
      <c r="D7" s="206">
        <v>641327</v>
      </c>
      <c r="E7" s="206">
        <v>1164239.7749999999</v>
      </c>
      <c r="F7" s="206">
        <v>1494484</v>
      </c>
      <c r="G7" s="206">
        <v>1461348</v>
      </c>
      <c r="H7" s="206">
        <v>219095.31299999999</v>
      </c>
      <c r="I7" s="206">
        <v>272761</v>
      </c>
      <c r="J7" s="206">
        <v>235355.18799999999</v>
      </c>
      <c r="K7" s="206">
        <v>437028.27399999998</v>
      </c>
      <c r="L7" s="206">
        <v>376806</v>
      </c>
      <c r="M7" s="206">
        <v>348618</v>
      </c>
      <c r="N7" s="206">
        <v>379946</v>
      </c>
      <c r="O7" s="206">
        <v>389114</v>
      </c>
      <c r="P7" s="206">
        <v>385615</v>
      </c>
      <c r="Q7" s="206">
        <v>347868</v>
      </c>
      <c r="R7" s="206">
        <v>362877</v>
      </c>
      <c r="S7" s="206">
        <v>364988</v>
      </c>
      <c r="T7" s="206">
        <v>395244</v>
      </c>
      <c r="U7" s="206">
        <v>402827.25400000002</v>
      </c>
      <c r="V7" s="206">
        <v>474826.42099999997</v>
      </c>
      <c r="W7" s="211"/>
      <c r="X7" s="457">
        <f t="shared" si="4"/>
        <v>0.17873459723755425</v>
      </c>
      <c r="Y7" s="457">
        <f t="shared" si="5"/>
        <v>0.30850514361615633</v>
      </c>
    </row>
    <row r="8" spans="2:29" ht="13" customHeight="1">
      <c r="B8" s="65" t="str">
        <f>IF('Summary | Sumário'!D$6=Names!B$3,Names!AV7,Names!AW7)</f>
        <v>Depreciation and amortization</v>
      </c>
      <c r="C8" s="211">
        <v>17463</v>
      </c>
      <c r="D8" s="211">
        <v>43659</v>
      </c>
      <c r="E8" s="211">
        <v>94250.52</v>
      </c>
      <c r="F8" s="211">
        <v>163972</v>
      </c>
      <c r="G8" s="211">
        <v>160440</v>
      </c>
      <c r="H8" s="211">
        <v>19166</v>
      </c>
      <c r="I8" s="211">
        <v>25338</v>
      </c>
      <c r="J8" s="211">
        <v>30883</v>
      </c>
      <c r="K8" s="211">
        <v>18863.520000000004</v>
      </c>
      <c r="L8" s="211">
        <v>36478</v>
      </c>
      <c r="M8" s="211">
        <v>35511</v>
      </c>
      <c r="N8" s="211">
        <v>35620</v>
      </c>
      <c r="O8" s="211">
        <v>56363</v>
      </c>
      <c r="P8" s="211">
        <v>37577</v>
      </c>
      <c r="Q8" s="211">
        <v>41130</v>
      </c>
      <c r="R8" s="211">
        <v>40591</v>
      </c>
      <c r="S8" s="211">
        <v>41142</v>
      </c>
      <c r="T8" s="211">
        <v>41900</v>
      </c>
      <c r="U8" s="211">
        <v>53034.879000000001</v>
      </c>
      <c r="V8" s="211">
        <v>53349.046999999999</v>
      </c>
      <c r="W8" s="211"/>
      <c r="X8" s="456">
        <f t="shared" si="4"/>
        <v>5.9237996941596816E-3</v>
      </c>
      <c r="Y8" s="456">
        <f t="shared" si="5"/>
        <v>0.31430728486610326</v>
      </c>
    </row>
    <row r="9" spans="2:29" ht="13" customHeight="1">
      <c r="B9" s="55" t="str">
        <f>IF('Summary | Sumário'!D$6=Names!B$3,Names!AV8,Names!AW8)</f>
        <v>(÷) Total net revenues excluding tax expenses</v>
      </c>
      <c r="C9" s="206">
        <f t="shared" ref="C9:Q9" si="6">SUM(C10:C13)</f>
        <v>712223.66099999996</v>
      </c>
      <c r="D9" s="206">
        <f t="shared" si="6"/>
        <v>1011378.89518</v>
      </c>
      <c r="E9" s="206">
        <f t="shared" si="6"/>
        <v>2075102.0209999997</v>
      </c>
      <c r="F9" s="206">
        <f t="shared" si="6"/>
        <v>3314109.0819999995</v>
      </c>
      <c r="G9" s="206">
        <f t="shared" ref="G9" si="7">SUM(G10:G13)</f>
        <v>4425992</v>
      </c>
      <c r="H9" s="206">
        <f t="shared" si="6"/>
        <v>389231.24800000002</v>
      </c>
      <c r="I9" s="206">
        <f t="shared" si="6"/>
        <v>437040.75100000005</v>
      </c>
      <c r="J9" s="206">
        <f t="shared" si="6"/>
        <v>565864.06799999997</v>
      </c>
      <c r="K9" s="206">
        <f t="shared" si="6"/>
        <v>682964.95399999991</v>
      </c>
      <c r="L9" s="206">
        <f t="shared" si="6"/>
        <v>776827.63199999998</v>
      </c>
      <c r="M9" s="206">
        <f t="shared" si="6"/>
        <v>815420.6370000001</v>
      </c>
      <c r="N9" s="206">
        <f t="shared" si="6"/>
        <v>788759.73100000003</v>
      </c>
      <c r="O9" s="206">
        <f t="shared" si="6"/>
        <v>933101.08199999994</v>
      </c>
      <c r="P9" s="206">
        <f t="shared" si="6"/>
        <v>955242.82200000004</v>
      </c>
      <c r="Q9" s="206">
        <f t="shared" si="6"/>
        <v>1077571</v>
      </c>
      <c r="R9" s="206">
        <f t="shared" ref="R9:S9" si="8">SUM(R10:R13)</f>
        <v>1171423.5890200001</v>
      </c>
      <c r="S9" s="206">
        <f t="shared" si="8"/>
        <v>1221756.18398</v>
      </c>
      <c r="T9" s="206">
        <f t="shared" ref="T9:U9" si="9">SUM(T10:T13)</f>
        <v>1314608.504551532</v>
      </c>
      <c r="U9" s="206">
        <f t="shared" si="9"/>
        <v>1379179.0079276199</v>
      </c>
      <c r="V9" s="206">
        <f t="shared" ref="V9" si="10">SUM(V10:V13)</f>
        <v>1552504.6574887065</v>
      </c>
      <c r="W9" s="211"/>
      <c r="X9" s="457">
        <f t="shared" si="4"/>
        <v>0.1256730624268485</v>
      </c>
      <c r="Y9" s="457">
        <f t="shared" si="5"/>
        <v>0.32531449088157305</v>
      </c>
    </row>
    <row r="10" spans="2:29" ht="13" customHeight="1">
      <c r="B10" s="57" t="str">
        <f>IF('Summary | Sumário'!D$6=Names!B$3,Names!AV9,Names!AW9)</f>
        <v>Net interest income</v>
      </c>
      <c r="C10" s="211">
        <v>585551</v>
      </c>
      <c r="D10" s="211">
        <v>715962.89517999999</v>
      </c>
      <c r="E10" s="211">
        <v>1589469.2459999998</v>
      </c>
      <c r="F10" s="211">
        <v>2335429.0819999995</v>
      </c>
      <c r="G10" s="211">
        <v>3208088</v>
      </c>
      <c r="H10" s="211">
        <v>291580.935</v>
      </c>
      <c r="I10" s="211">
        <v>302295.75100000005</v>
      </c>
      <c r="J10" s="211">
        <v>447369.88</v>
      </c>
      <c r="K10" s="211">
        <v>548221.67999999993</v>
      </c>
      <c r="L10" s="211">
        <v>543410.63199999998</v>
      </c>
      <c r="M10" s="211">
        <v>561087.6370000001</v>
      </c>
      <c r="N10" s="211">
        <v>555587.73100000003</v>
      </c>
      <c r="O10" s="211">
        <v>675343.08199999994</v>
      </c>
      <c r="P10" s="211">
        <v>711561.82200000004</v>
      </c>
      <c r="Q10" s="211">
        <v>802075</v>
      </c>
      <c r="R10" s="211">
        <v>818557.08874000004</v>
      </c>
      <c r="S10" s="211">
        <v>875895.08425999992</v>
      </c>
      <c r="T10" s="211">
        <v>970665.10969999968</v>
      </c>
      <c r="U10" s="211">
        <v>1029666.7290000001</v>
      </c>
      <c r="V10" s="211">
        <v>1134762.2779999999</v>
      </c>
      <c r="W10" s="211"/>
      <c r="X10" s="456">
        <f t="shared" si="4"/>
        <v>0.10206753898134346</v>
      </c>
      <c r="Y10" s="456">
        <f t="shared" si="5"/>
        <v>0.38629582909938831</v>
      </c>
    </row>
    <row r="11" spans="2:29" ht="13" customHeight="1">
      <c r="B11" s="71" t="str">
        <f>IF('Summary | Sumário'!D$6=Names!B$3,Names!AV10,Names!AW10)</f>
        <v>Net result from services and commissions</v>
      </c>
      <c r="C11" s="206">
        <v>73829.660999999993</v>
      </c>
      <c r="D11" s="206">
        <v>185534</v>
      </c>
      <c r="E11" s="206">
        <v>442272</v>
      </c>
      <c r="F11" s="206">
        <v>838806</v>
      </c>
      <c r="G11" s="206">
        <v>1168800</v>
      </c>
      <c r="H11" s="206">
        <v>77686</v>
      </c>
      <c r="I11" s="206">
        <v>89070</v>
      </c>
      <c r="J11" s="206">
        <v>122853</v>
      </c>
      <c r="K11" s="206">
        <v>152663</v>
      </c>
      <c r="L11" s="206">
        <v>177703</v>
      </c>
      <c r="M11" s="206">
        <v>204561</v>
      </c>
      <c r="N11" s="206">
        <v>217029</v>
      </c>
      <c r="O11" s="206">
        <v>239513</v>
      </c>
      <c r="P11" s="206">
        <v>246675</v>
      </c>
      <c r="Q11" s="206">
        <v>266801</v>
      </c>
      <c r="R11" s="206">
        <v>315509</v>
      </c>
      <c r="S11" s="206">
        <v>339815.6</v>
      </c>
      <c r="T11" s="206">
        <v>340317.39485153224</v>
      </c>
      <c r="U11" s="206">
        <v>364200.86699999997</v>
      </c>
      <c r="V11" s="206">
        <v>429988.97899999999</v>
      </c>
      <c r="W11" s="211"/>
      <c r="X11" s="457">
        <f t="shared" si="4"/>
        <v>0.18063689013678275</v>
      </c>
      <c r="Y11" s="457">
        <f t="shared" si="5"/>
        <v>0.3628421978453864</v>
      </c>
    </row>
    <row r="12" spans="2:29" ht="13" customHeight="1">
      <c r="B12" s="67" t="str">
        <f>IF('Summary | Sumário'!D$6=Names!B$3,Names!AV12,Names!AW12)</f>
        <v>Other revenues</v>
      </c>
      <c r="C12" s="211">
        <v>52843</v>
      </c>
      <c r="D12" s="211">
        <v>109882</v>
      </c>
      <c r="E12" s="211">
        <v>190082</v>
      </c>
      <c r="F12" s="211">
        <v>388462</v>
      </c>
      <c r="G12" s="211">
        <v>375688</v>
      </c>
      <c r="H12" s="211">
        <v>47499</v>
      </c>
      <c r="I12" s="211">
        <v>76048</v>
      </c>
      <c r="J12" s="211">
        <v>36287</v>
      </c>
      <c r="K12" s="211">
        <v>30248</v>
      </c>
      <c r="L12" s="211">
        <v>112407</v>
      </c>
      <c r="M12" s="211">
        <v>111372</v>
      </c>
      <c r="N12" s="211">
        <v>77687</v>
      </c>
      <c r="O12" s="211">
        <v>86996</v>
      </c>
      <c r="P12" s="211">
        <v>65877</v>
      </c>
      <c r="Q12" s="211">
        <v>81158</v>
      </c>
      <c r="R12" s="211">
        <v>131429.50028000001</v>
      </c>
      <c r="S12" s="211">
        <v>97223.499719999993</v>
      </c>
      <c r="T12" s="211">
        <v>89957</v>
      </c>
      <c r="U12" s="211">
        <v>84728.682927619986</v>
      </c>
      <c r="V12" s="211">
        <v>111387.30948870655</v>
      </c>
      <c r="W12" s="211"/>
      <c r="X12" s="456">
        <f t="shared" si="4"/>
        <v>0.31463520545763557</v>
      </c>
      <c r="Y12" s="456">
        <f t="shared" si="5"/>
        <v>-0.15249385220665967</v>
      </c>
    </row>
    <row r="13" spans="2:29" ht="13" customHeight="1">
      <c r="B13" s="71" t="str">
        <f>IF('Summary | Sumário'!D$6=Names!B$3,Names!AV13,Names!AW13)</f>
        <v>Tax expenses</v>
      </c>
      <c r="C13" s="206">
        <v>0</v>
      </c>
      <c r="D13" s="206">
        <v>0</v>
      </c>
      <c r="E13" s="206">
        <v>-146721.22500000001</v>
      </c>
      <c r="F13" s="206">
        <v>-248588</v>
      </c>
      <c r="G13" s="206">
        <v>-326584</v>
      </c>
      <c r="H13" s="206">
        <v>-27534.687000000002</v>
      </c>
      <c r="I13" s="206">
        <v>-30373</v>
      </c>
      <c r="J13" s="206">
        <v>-40645.811999999998</v>
      </c>
      <c r="K13" s="206">
        <v>-48167.726000000002</v>
      </c>
      <c r="L13" s="206">
        <v>-56693</v>
      </c>
      <c r="M13" s="206">
        <v>-61600</v>
      </c>
      <c r="N13" s="206">
        <v>-61544</v>
      </c>
      <c r="O13" s="206">
        <v>-68751</v>
      </c>
      <c r="P13" s="206">
        <v>-68871</v>
      </c>
      <c r="Q13" s="206">
        <v>-72463</v>
      </c>
      <c r="R13" s="206">
        <v>-94072</v>
      </c>
      <c r="S13" s="206">
        <v>-91178</v>
      </c>
      <c r="T13" s="206">
        <v>-86331</v>
      </c>
      <c r="U13" s="206">
        <v>-99417.270999999993</v>
      </c>
      <c r="V13" s="206">
        <v>-123633.909</v>
      </c>
      <c r="W13" s="211"/>
      <c r="X13" s="457">
        <f t="shared" si="4"/>
        <v>0.24358582524358385</v>
      </c>
      <c r="Y13" s="457">
        <f t="shared" si="5"/>
        <v>0.31424769325622925</v>
      </c>
    </row>
    <row r="14" spans="2:29" ht="13" customHeight="1">
      <c r="B14" s="355" t="str">
        <f>IF('Summary | Sumário'!D$6=Names!B$3,Names!AV14,Names!AW14)</f>
        <v> (=) Efficiency ratio (%)</v>
      </c>
      <c r="C14" s="371">
        <f>C5/C9</f>
        <v>0.80448043413149117</v>
      </c>
      <c r="D14" s="371">
        <f t="shared" ref="D14:P14" si="11">D5/D9</f>
        <v>0.90379777979974207</v>
      </c>
      <c r="E14" s="371">
        <f t="shared" si="11"/>
        <v>0.82011307288876678</v>
      </c>
      <c r="F14" s="371">
        <f t="shared" si="11"/>
        <v>0.72178100986236648</v>
      </c>
      <c r="G14" s="371">
        <f>G5/G9</f>
        <v>0.54508164497360145</v>
      </c>
      <c r="H14" s="371">
        <f t="shared" si="11"/>
        <v>0.82244761859407534</v>
      </c>
      <c r="I14" s="371">
        <f t="shared" si="11"/>
        <v>0.89498519098050877</v>
      </c>
      <c r="J14" s="371">
        <f t="shared" si="11"/>
        <v>0.68477256272790943</v>
      </c>
      <c r="K14" s="371">
        <f t="shared" si="11"/>
        <v>0.88300693976751266</v>
      </c>
      <c r="L14" s="371">
        <f t="shared" si="11"/>
        <v>0.71882612950101654</v>
      </c>
      <c r="M14" s="371">
        <f t="shared" si="11"/>
        <v>0.68258635450748339</v>
      </c>
      <c r="N14" s="371">
        <f t="shared" si="11"/>
        <v>0.75028931719132097</v>
      </c>
      <c r="O14" s="371">
        <f t="shared" si="11"/>
        <v>0.73439417574268773</v>
      </c>
      <c r="P14" s="371">
        <f t="shared" si="11"/>
        <v>0.62351057373347107</v>
      </c>
      <c r="Q14" s="371">
        <f t="shared" ref="Q14:R14" si="12">Q5/Q9</f>
        <v>0.53383674950420901</v>
      </c>
      <c r="R14" s="371">
        <f t="shared" si="12"/>
        <v>0.52425869323134722</v>
      </c>
      <c r="S14" s="371">
        <f t="shared" ref="S14:T14" si="13">S5/S9</f>
        <v>0.51364339974584727</v>
      </c>
      <c r="T14" s="371">
        <f t="shared" si="13"/>
        <v>0.47740981275189837</v>
      </c>
      <c r="U14" s="371">
        <f t="shared" ref="U14:V14" si="14">U5/U9</f>
        <v>0.47859537792112389</v>
      </c>
      <c r="V14" s="371">
        <f t="shared" si="14"/>
        <v>0.50700722132018838</v>
      </c>
      <c r="W14" s="428"/>
      <c r="X14" s="485">
        <f>(V14-U14)*100</f>
        <v>2.8411843399064498</v>
      </c>
      <c r="Y14" s="485">
        <f>(V14-R14)*100</f>
        <v>-1.7251471911158833</v>
      </c>
      <c r="AA14" s="217"/>
      <c r="AB14" s="217"/>
    </row>
    <row r="15" spans="2:29" ht="13" customHeight="1">
      <c r="B15" s="114"/>
      <c r="C15" s="218"/>
      <c r="D15" s="218"/>
      <c r="E15" s="218"/>
      <c r="F15" s="218"/>
      <c r="G15" s="218"/>
      <c r="H15" s="218"/>
      <c r="I15" s="218"/>
      <c r="J15" s="218"/>
      <c r="K15" s="218"/>
      <c r="L15" s="218"/>
      <c r="M15" s="218"/>
      <c r="N15" s="218"/>
      <c r="O15" s="218"/>
      <c r="P15" s="218"/>
      <c r="Q15" s="218"/>
      <c r="R15" s="218"/>
      <c r="S15" s="218"/>
      <c r="T15" s="218"/>
      <c r="U15" s="218"/>
      <c r="V15" s="218"/>
      <c r="X15" s="218"/>
      <c r="Y15" s="218"/>
    </row>
    <row r="16" spans="2:29" ht="13" customHeight="1">
      <c r="B16" s="3" t="str">
        <f>IF('Summary | Sumário'!D$6=Names!B$3,Names!AV17,Names!AW17)</f>
        <v>Personnel efficiency ratio </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row>
    <row r="17" spans="1:30" ht="13" customHeight="1">
      <c r="B17" s="373" t="str">
        <f>IF('Summary | Sumário'!D$6=Names!B$3,Names!AV18,Names!AW18)</f>
        <v>Personnel expenses</v>
      </c>
      <c r="C17" s="374">
        <f>C6</f>
        <v>169198</v>
      </c>
      <c r="D17" s="374">
        <f t="shared" ref="D17:Q17" si="15">D6</f>
        <v>229096</v>
      </c>
      <c r="E17" s="374">
        <f t="shared" si="15"/>
        <v>443328</v>
      </c>
      <c r="F17" s="374">
        <f t="shared" si="15"/>
        <v>733605</v>
      </c>
      <c r="G17" s="374">
        <f t="shared" ref="G17" si="16">G6</f>
        <v>790739</v>
      </c>
      <c r="H17" s="374">
        <f t="shared" si="15"/>
        <v>81861</v>
      </c>
      <c r="I17" s="374">
        <f t="shared" si="15"/>
        <v>93046</v>
      </c>
      <c r="J17" s="374">
        <f t="shared" si="15"/>
        <v>121250</v>
      </c>
      <c r="K17" s="374">
        <f t="shared" si="15"/>
        <v>147171</v>
      </c>
      <c r="L17" s="374">
        <f t="shared" si="15"/>
        <v>145120</v>
      </c>
      <c r="M17" s="374">
        <f t="shared" si="15"/>
        <v>172466</v>
      </c>
      <c r="N17" s="374">
        <f t="shared" si="15"/>
        <v>176232</v>
      </c>
      <c r="O17" s="374">
        <f t="shared" si="15"/>
        <v>239787</v>
      </c>
      <c r="P17" s="374">
        <f t="shared" si="15"/>
        <v>172412</v>
      </c>
      <c r="Q17" s="374">
        <f t="shared" si="15"/>
        <v>186249</v>
      </c>
      <c r="R17" s="374">
        <f t="shared" ref="R17:S17" si="17">R6</f>
        <v>210661</v>
      </c>
      <c r="S17" s="374">
        <f t="shared" si="17"/>
        <v>221417</v>
      </c>
      <c r="T17" s="374">
        <f t="shared" ref="T17:U17" si="18">T6</f>
        <v>190463</v>
      </c>
      <c r="U17" s="374">
        <f t="shared" si="18"/>
        <v>204206.56551999997</v>
      </c>
      <c r="V17" s="374">
        <f t="shared" ref="V17" si="19">V6</f>
        <v>258955.60448000001</v>
      </c>
      <c r="W17" s="211"/>
      <c r="X17" s="487">
        <f t="shared" ref="X17:X22" si="20">V17/U17-1</f>
        <v>0.2681061640725646</v>
      </c>
      <c r="Y17" s="487">
        <f t="shared" ref="Y17:Y22" si="21">V17/R17-1</f>
        <v>0.22925270686078592</v>
      </c>
    </row>
    <row r="18" spans="1:30" ht="13" customHeight="1">
      <c r="B18" s="66" t="str">
        <f>IF('Summary | Sumário'!D$6=Names!B$3,Names!AV19,Names!AW19)</f>
        <v>(÷) Total net revenues excluding tax expenses</v>
      </c>
      <c r="C18" s="211">
        <f>C9</f>
        <v>712223.66099999996</v>
      </c>
      <c r="D18" s="211">
        <f t="shared" ref="D18:Q18" si="22">D9</f>
        <v>1011378.89518</v>
      </c>
      <c r="E18" s="211">
        <f t="shared" si="22"/>
        <v>2075102.0209999997</v>
      </c>
      <c r="F18" s="211">
        <f t="shared" si="22"/>
        <v>3314109.0819999995</v>
      </c>
      <c r="G18" s="211">
        <f t="shared" ref="G18" si="23">G9</f>
        <v>4425992</v>
      </c>
      <c r="H18" s="211">
        <f t="shared" si="22"/>
        <v>389231.24800000002</v>
      </c>
      <c r="I18" s="211">
        <f t="shared" si="22"/>
        <v>437040.75100000005</v>
      </c>
      <c r="J18" s="211">
        <f t="shared" si="22"/>
        <v>565864.06799999997</v>
      </c>
      <c r="K18" s="211">
        <f t="shared" si="22"/>
        <v>682964.95399999991</v>
      </c>
      <c r="L18" s="211">
        <f t="shared" si="22"/>
        <v>776827.63199999998</v>
      </c>
      <c r="M18" s="211">
        <f t="shared" si="22"/>
        <v>815420.6370000001</v>
      </c>
      <c r="N18" s="211">
        <f t="shared" si="22"/>
        <v>788759.73100000003</v>
      </c>
      <c r="O18" s="211">
        <f t="shared" si="22"/>
        <v>933101.08199999994</v>
      </c>
      <c r="P18" s="211">
        <f t="shared" si="22"/>
        <v>955242.82200000004</v>
      </c>
      <c r="Q18" s="211">
        <f t="shared" si="22"/>
        <v>1077571</v>
      </c>
      <c r="R18" s="211">
        <f t="shared" ref="R18:S18" si="24">R9</f>
        <v>1171423.5890200001</v>
      </c>
      <c r="S18" s="211">
        <f t="shared" si="24"/>
        <v>1221756.18398</v>
      </c>
      <c r="T18" s="211">
        <f t="shared" ref="T18:U18" si="25">T9</f>
        <v>1314608.504551532</v>
      </c>
      <c r="U18" s="211">
        <f t="shared" si="25"/>
        <v>1379179.0079276199</v>
      </c>
      <c r="V18" s="211">
        <f t="shared" ref="V18" si="26">V9</f>
        <v>1552504.6574887065</v>
      </c>
      <c r="W18" s="211"/>
      <c r="X18" s="456">
        <f t="shared" si="20"/>
        <v>0.1256730624268485</v>
      </c>
      <c r="Y18" s="456">
        <f t="shared" si="21"/>
        <v>0.32531449088157305</v>
      </c>
    </row>
    <row r="19" spans="1:30" ht="13" customHeight="1">
      <c r="B19" s="115" t="str">
        <f>IF('Summary | Sumário'!D$6=Names!B$3,Names!AV20,Names!AW20)</f>
        <v>Net interest income</v>
      </c>
      <c r="C19" s="219">
        <f t="shared" ref="C19:Q22" si="27">C10</f>
        <v>585551</v>
      </c>
      <c r="D19" s="219">
        <f t="shared" si="27"/>
        <v>715962.89517999999</v>
      </c>
      <c r="E19" s="219">
        <f t="shared" si="27"/>
        <v>1589469.2459999998</v>
      </c>
      <c r="F19" s="219">
        <f t="shared" si="27"/>
        <v>2335429.0819999995</v>
      </c>
      <c r="G19" s="219">
        <f t="shared" ref="G19" si="28">G10</f>
        <v>3208088</v>
      </c>
      <c r="H19" s="219">
        <f t="shared" si="27"/>
        <v>291580.935</v>
      </c>
      <c r="I19" s="219">
        <f t="shared" si="27"/>
        <v>302295.75100000005</v>
      </c>
      <c r="J19" s="219">
        <f t="shared" si="27"/>
        <v>447369.88</v>
      </c>
      <c r="K19" s="219">
        <f t="shared" si="27"/>
        <v>548221.67999999993</v>
      </c>
      <c r="L19" s="219">
        <f t="shared" si="27"/>
        <v>543410.63199999998</v>
      </c>
      <c r="M19" s="219">
        <f t="shared" si="27"/>
        <v>561087.6370000001</v>
      </c>
      <c r="N19" s="219">
        <f t="shared" si="27"/>
        <v>555587.73100000003</v>
      </c>
      <c r="O19" s="219">
        <f t="shared" si="27"/>
        <v>675343.08199999994</v>
      </c>
      <c r="P19" s="219">
        <f t="shared" si="27"/>
        <v>711561.82200000004</v>
      </c>
      <c r="Q19" s="219">
        <f t="shared" si="27"/>
        <v>802075</v>
      </c>
      <c r="R19" s="219">
        <f t="shared" ref="R19:S19" si="29">R10</f>
        <v>818557.08874000004</v>
      </c>
      <c r="S19" s="219">
        <f t="shared" si="29"/>
        <v>875895.08425999992</v>
      </c>
      <c r="T19" s="219">
        <f t="shared" ref="T19:U19" si="30">T10</f>
        <v>970665.10969999968</v>
      </c>
      <c r="U19" s="219">
        <f t="shared" si="30"/>
        <v>1029666.7290000001</v>
      </c>
      <c r="V19" s="219">
        <f t="shared" ref="V19" si="31">V10</f>
        <v>1134762.2779999999</v>
      </c>
      <c r="W19" s="211"/>
      <c r="X19" s="484">
        <f t="shared" si="20"/>
        <v>0.10206753898134346</v>
      </c>
      <c r="Y19" s="484">
        <f t="shared" si="21"/>
        <v>0.38629582909938831</v>
      </c>
    </row>
    <row r="20" spans="1:30" ht="13" customHeight="1">
      <c r="B20" s="67" t="str">
        <f>IF('Summary | Sumário'!D$6=Names!B$3,Names!AV21,Names!AW21)</f>
        <v>Net result from services and commissions</v>
      </c>
      <c r="C20" s="211">
        <f t="shared" si="27"/>
        <v>73829.660999999993</v>
      </c>
      <c r="D20" s="211">
        <f t="shared" si="27"/>
        <v>185534</v>
      </c>
      <c r="E20" s="211">
        <f t="shared" si="27"/>
        <v>442272</v>
      </c>
      <c r="F20" s="211">
        <f t="shared" si="27"/>
        <v>838806</v>
      </c>
      <c r="G20" s="211">
        <f t="shared" ref="G20" si="32">G11</f>
        <v>1168800</v>
      </c>
      <c r="H20" s="211">
        <f t="shared" si="27"/>
        <v>77686</v>
      </c>
      <c r="I20" s="211">
        <f t="shared" si="27"/>
        <v>89070</v>
      </c>
      <c r="J20" s="211">
        <f t="shared" si="27"/>
        <v>122853</v>
      </c>
      <c r="K20" s="211">
        <f t="shared" si="27"/>
        <v>152663</v>
      </c>
      <c r="L20" s="211">
        <f t="shared" si="27"/>
        <v>177703</v>
      </c>
      <c r="M20" s="211">
        <f t="shared" si="27"/>
        <v>204561</v>
      </c>
      <c r="N20" s="211">
        <f t="shared" si="27"/>
        <v>217029</v>
      </c>
      <c r="O20" s="211">
        <f t="shared" si="27"/>
        <v>239513</v>
      </c>
      <c r="P20" s="211">
        <f t="shared" si="27"/>
        <v>246675</v>
      </c>
      <c r="Q20" s="211">
        <f t="shared" si="27"/>
        <v>266801</v>
      </c>
      <c r="R20" s="211">
        <f t="shared" ref="R20:S20" si="33">R11</f>
        <v>315509</v>
      </c>
      <c r="S20" s="211">
        <f t="shared" si="33"/>
        <v>339815.6</v>
      </c>
      <c r="T20" s="211">
        <f t="shared" ref="T20:U20" si="34">T11</f>
        <v>340317.39485153224</v>
      </c>
      <c r="U20" s="211">
        <f t="shared" si="34"/>
        <v>364200.86699999997</v>
      </c>
      <c r="V20" s="211">
        <f t="shared" ref="V20" si="35">V11</f>
        <v>429988.97899999999</v>
      </c>
      <c r="W20" s="211"/>
      <c r="X20" s="456">
        <f t="shared" si="20"/>
        <v>0.18063689013678275</v>
      </c>
      <c r="Y20" s="456">
        <f t="shared" si="21"/>
        <v>0.3628421978453864</v>
      </c>
    </row>
    <row r="21" spans="1:30" ht="13" customHeight="1">
      <c r="B21" s="115" t="str">
        <f>IF('Summary | Sumário'!D$6=Names!B$3,Names!AV23,Names!AW23)</f>
        <v>Other revenues</v>
      </c>
      <c r="C21" s="219">
        <f t="shared" si="27"/>
        <v>52843</v>
      </c>
      <c r="D21" s="219">
        <f t="shared" si="27"/>
        <v>109882</v>
      </c>
      <c r="E21" s="219">
        <f t="shared" si="27"/>
        <v>190082</v>
      </c>
      <c r="F21" s="219">
        <f t="shared" si="27"/>
        <v>388462</v>
      </c>
      <c r="G21" s="219">
        <f t="shared" ref="G21" si="36">G12</f>
        <v>375688</v>
      </c>
      <c r="H21" s="219">
        <f t="shared" si="27"/>
        <v>47499</v>
      </c>
      <c r="I21" s="219">
        <f t="shared" si="27"/>
        <v>76048</v>
      </c>
      <c r="J21" s="219">
        <f t="shared" si="27"/>
        <v>36287</v>
      </c>
      <c r="K21" s="219">
        <f t="shared" si="27"/>
        <v>30248</v>
      </c>
      <c r="L21" s="219">
        <f t="shared" si="27"/>
        <v>112407</v>
      </c>
      <c r="M21" s="219">
        <f t="shared" si="27"/>
        <v>111372</v>
      </c>
      <c r="N21" s="219">
        <f t="shared" si="27"/>
        <v>77687</v>
      </c>
      <c r="O21" s="219">
        <f t="shared" si="27"/>
        <v>86996</v>
      </c>
      <c r="P21" s="219">
        <f t="shared" si="27"/>
        <v>65877</v>
      </c>
      <c r="Q21" s="219">
        <f t="shared" si="27"/>
        <v>81158</v>
      </c>
      <c r="R21" s="219">
        <f t="shared" ref="R21:S21" si="37">R12</f>
        <v>131429.50028000001</v>
      </c>
      <c r="S21" s="219">
        <f t="shared" si="37"/>
        <v>97223.499719999993</v>
      </c>
      <c r="T21" s="219">
        <f t="shared" ref="T21:U21" si="38">T12</f>
        <v>89957</v>
      </c>
      <c r="U21" s="219">
        <f t="shared" si="38"/>
        <v>84728.682927619986</v>
      </c>
      <c r="V21" s="219">
        <f t="shared" ref="V21" si="39">V12</f>
        <v>111387.30948870655</v>
      </c>
      <c r="W21" s="211"/>
      <c r="X21" s="484">
        <f t="shared" si="20"/>
        <v>0.31463520545763557</v>
      </c>
      <c r="Y21" s="484">
        <f t="shared" si="21"/>
        <v>-0.15249385220665967</v>
      </c>
    </row>
    <row r="22" spans="1:30" ht="13" customHeight="1">
      <c r="B22" s="67" t="str">
        <f>IF('Summary | Sumário'!D$6=Names!B$3,Names!AV24,Names!AW24)</f>
        <v>Tax expenses</v>
      </c>
      <c r="C22" s="211">
        <f t="shared" si="27"/>
        <v>0</v>
      </c>
      <c r="D22" s="211">
        <f t="shared" si="27"/>
        <v>0</v>
      </c>
      <c r="E22" s="211">
        <f t="shared" si="27"/>
        <v>-146721.22500000001</v>
      </c>
      <c r="F22" s="211">
        <f t="shared" si="27"/>
        <v>-248588</v>
      </c>
      <c r="G22" s="211">
        <f t="shared" ref="G22" si="40">G13</f>
        <v>-326584</v>
      </c>
      <c r="H22" s="211">
        <f t="shared" si="27"/>
        <v>-27534.687000000002</v>
      </c>
      <c r="I22" s="211">
        <f t="shared" si="27"/>
        <v>-30373</v>
      </c>
      <c r="J22" s="211">
        <f t="shared" si="27"/>
        <v>-40645.811999999998</v>
      </c>
      <c r="K22" s="211">
        <f t="shared" si="27"/>
        <v>-48167.726000000002</v>
      </c>
      <c r="L22" s="211">
        <f t="shared" si="27"/>
        <v>-56693</v>
      </c>
      <c r="M22" s="211">
        <f t="shared" si="27"/>
        <v>-61600</v>
      </c>
      <c r="N22" s="211">
        <f t="shared" si="27"/>
        <v>-61544</v>
      </c>
      <c r="O22" s="211">
        <f t="shared" si="27"/>
        <v>-68751</v>
      </c>
      <c r="P22" s="211">
        <f t="shared" si="27"/>
        <v>-68871</v>
      </c>
      <c r="Q22" s="211">
        <f t="shared" si="27"/>
        <v>-72463</v>
      </c>
      <c r="R22" s="211">
        <f t="shared" ref="R22:S22" si="41">R13</f>
        <v>-94072</v>
      </c>
      <c r="S22" s="211">
        <f t="shared" si="41"/>
        <v>-91178</v>
      </c>
      <c r="T22" s="211">
        <f t="shared" ref="T22:U22" si="42">T13</f>
        <v>-86331</v>
      </c>
      <c r="U22" s="211">
        <f t="shared" si="42"/>
        <v>-99417.270999999993</v>
      </c>
      <c r="V22" s="211">
        <f t="shared" ref="V22" si="43">V13</f>
        <v>-123633.909</v>
      </c>
      <c r="W22" s="211"/>
      <c r="X22" s="456">
        <f t="shared" si="20"/>
        <v>0.24358582524358385</v>
      </c>
      <c r="Y22" s="456">
        <f t="shared" si="21"/>
        <v>0.31424769325622925</v>
      </c>
    </row>
    <row r="23" spans="1:30" ht="13" customHeight="1">
      <c r="B23" s="375" t="str">
        <f>IF('Summary | Sumário'!D$6=Names!B$3,Names!AV25,Names!AW25)</f>
        <v> (=) Personnel efficiency ratio (%)</v>
      </c>
      <c r="C23" s="376">
        <f t="shared" ref="C23:P23" si="44">C17/C18</f>
        <v>0.23756301463284299</v>
      </c>
      <c r="D23" s="376">
        <f t="shared" si="44"/>
        <v>0.22651847007270867</v>
      </c>
      <c r="E23" s="376">
        <f t="shared" si="44"/>
        <v>0.21364154413302461</v>
      </c>
      <c r="F23" s="376">
        <f t="shared" si="44"/>
        <v>0.22135813331686832</v>
      </c>
      <c r="G23" s="376">
        <f t="shared" ref="G23" si="45">G17/G18</f>
        <v>0.17865802739815165</v>
      </c>
      <c r="H23" s="376">
        <f t="shared" si="44"/>
        <v>0.21031456343916149</v>
      </c>
      <c r="I23" s="376">
        <f t="shared" si="44"/>
        <v>0.21290005517128538</v>
      </c>
      <c r="J23" s="376">
        <f t="shared" si="44"/>
        <v>0.21427407544809862</v>
      </c>
      <c r="K23" s="376">
        <f t="shared" si="44"/>
        <v>0.215488363111528</v>
      </c>
      <c r="L23" s="376">
        <f t="shared" si="44"/>
        <v>0.18681106853315435</v>
      </c>
      <c r="M23" s="376">
        <f t="shared" si="44"/>
        <v>0.21150556188339389</v>
      </c>
      <c r="N23" s="376">
        <f t="shared" si="44"/>
        <v>0.22342925617737958</v>
      </c>
      <c r="O23" s="376">
        <f t="shared" si="44"/>
        <v>0.25697858959293329</v>
      </c>
      <c r="P23" s="376">
        <f t="shared" si="44"/>
        <v>0.18049023350839688</v>
      </c>
      <c r="Q23" s="376">
        <f t="shared" ref="Q23:V23" si="46">Q17/Q18</f>
        <v>0.17284151113940521</v>
      </c>
      <c r="R23" s="376">
        <f t="shared" si="46"/>
        <v>0.17983332585630843</v>
      </c>
      <c r="S23" s="376">
        <f t="shared" si="46"/>
        <v>0.18122846677862575</v>
      </c>
      <c r="T23" s="376">
        <f t="shared" si="46"/>
        <v>0.14488191681444729</v>
      </c>
      <c r="U23" s="376">
        <f t="shared" si="46"/>
        <v>0.14806385853192805</v>
      </c>
      <c r="V23" s="376">
        <f t="shared" si="46"/>
        <v>0.16679860071974292</v>
      </c>
      <c r="W23" s="428"/>
      <c r="X23" s="490">
        <f>(V23-U23)*100</f>
        <v>1.8734742187814875</v>
      </c>
      <c r="Y23" s="490">
        <f>(V23-R23)*100</f>
        <v>-1.3034725136565506</v>
      </c>
    </row>
    <row r="24" spans="1:30" ht="13" customHeight="1">
      <c r="B24" s="74"/>
      <c r="C24" s="135"/>
      <c r="D24" s="135"/>
      <c r="E24" s="135"/>
      <c r="F24" s="135"/>
      <c r="G24" s="135"/>
      <c r="H24" s="135"/>
      <c r="I24" s="135"/>
      <c r="J24" s="135"/>
      <c r="K24" s="135"/>
      <c r="L24" s="135"/>
      <c r="M24" s="135"/>
      <c r="N24" s="135"/>
      <c r="O24" s="135"/>
      <c r="P24" s="135"/>
      <c r="Q24" s="135"/>
      <c r="R24" s="135"/>
      <c r="S24" s="135"/>
      <c r="T24" s="135"/>
      <c r="U24" s="135"/>
      <c r="V24" s="135"/>
      <c r="W24" s="135"/>
      <c r="X24" s="135"/>
      <c r="Y24" s="135"/>
    </row>
    <row r="25" spans="1:30" ht="13" customHeight="1">
      <c r="B25" s="372" t="str">
        <f>IF('Summary | Sumário'!D$6=Names!B$3,Names!AV27,Names!AW27)</f>
        <v>Administrative efficiency ratio </v>
      </c>
      <c r="C25" s="316"/>
      <c r="D25" s="316"/>
      <c r="E25" s="316"/>
      <c r="F25" s="316"/>
      <c r="G25" s="316"/>
      <c r="H25" s="316"/>
      <c r="I25" s="316"/>
      <c r="J25" s="316"/>
      <c r="K25" s="316"/>
      <c r="L25" s="316"/>
      <c r="M25" s="316"/>
      <c r="N25" s="316"/>
      <c r="O25" s="316"/>
      <c r="P25" s="316"/>
      <c r="Q25" s="316"/>
      <c r="R25" s="316"/>
      <c r="S25" s="316"/>
      <c r="T25" s="316"/>
      <c r="U25" s="316"/>
      <c r="V25" s="316"/>
      <c r="W25" s="214"/>
      <c r="X25" s="316"/>
      <c r="Y25" s="316"/>
    </row>
    <row r="26" spans="1:30" ht="13" customHeight="1">
      <c r="B26" s="377" t="str">
        <f>IF('Summary | Sumário'!D$6=Names!B$3,Names!AV37,Names!AW37)</f>
        <v>Administrative expenses + D&amp;A</v>
      </c>
      <c r="C26" s="360">
        <f t="shared" ref="C26:Q26" si="47">SUM(C27:C28)</f>
        <v>403772</v>
      </c>
      <c r="D26" s="360">
        <f t="shared" si="47"/>
        <v>684986</v>
      </c>
      <c r="E26" s="360">
        <f t="shared" si="47"/>
        <v>1258490.2949999999</v>
      </c>
      <c r="F26" s="360">
        <f t="shared" si="47"/>
        <v>1658456</v>
      </c>
      <c r="G26" s="360">
        <f t="shared" ref="G26" si="48">SUM(G27:G28)</f>
        <v>1621788</v>
      </c>
      <c r="H26" s="360">
        <f t="shared" si="47"/>
        <v>238261.31299999999</v>
      </c>
      <c r="I26" s="360">
        <f t="shared" si="47"/>
        <v>298099</v>
      </c>
      <c r="J26" s="360">
        <f t="shared" si="47"/>
        <v>266238.18799999997</v>
      </c>
      <c r="K26" s="360">
        <f t="shared" si="47"/>
        <v>455891.79399999999</v>
      </c>
      <c r="L26" s="360">
        <f t="shared" si="47"/>
        <v>413284</v>
      </c>
      <c r="M26" s="360">
        <f t="shared" si="47"/>
        <v>384129</v>
      </c>
      <c r="N26" s="360">
        <f t="shared" si="47"/>
        <v>415566</v>
      </c>
      <c r="O26" s="360">
        <f t="shared" si="47"/>
        <v>445477</v>
      </c>
      <c r="P26" s="360">
        <f t="shared" si="47"/>
        <v>423192</v>
      </c>
      <c r="Q26" s="360">
        <f t="shared" si="47"/>
        <v>388998</v>
      </c>
      <c r="R26" s="360">
        <f t="shared" ref="R26:S26" si="49">SUM(R27:R28)</f>
        <v>403468</v>
      </c>
      <c r="S26" s="360">
        <f t="shared" si="49"/>
        <v>406130</v>
      </c>
      <c r="T26" s="360">
        <f t="shared" ref="T26:U26" si="50">SUM(T27:T28)</f>
        <v>437144</v>
      </c>
      <c r="U26" s="360">
        <f t="shared" si="50"/>
        <v>455862.13300000003</v>
      </c>
      <c r="V26" s="360">
        <f t="shared" ref="V26" si="51">SUM(V27:V28)</f>
        <v>528175.46799999999</v>
      </c>
      <c r="W26" s="211"/>
      <c r="X26" s="459">
        <f t="shared" ref="X26:X33" si="52">V26/U26-1</f>
        <v>0.15862983513043827</v>
      </c>
      <c r="Y26" s="459">
        <f t="shared" ref="Y26:Y33" si="53">V26/R26-1</f>
        <v>0.30908886950142267</v>
      </c>
    </row>
    <row r="27" spans="1:30" ht="13" customHeight="1">
      <c r="B27" s="125" t="str">
        <f>IF('Summary | Sumário'!D$6=Names!B$3,Names!AV28,Names!AW28)</f>
        <v>Administrative expenses</v>
      </c>
      <c r="C27" s="221">
        <f t="shared" ref="C27:Q27" si="54">C7</f>
        <v>386309</v>
      </c>
      <c r="D27" s="221">
        <f t="shared" si="54"/>
        <v>641327</v>
      </c>
      <c r="E27" s="221">
        <f t="shared" si="54"/>
        <v>1164239.7749999999</v>
      </c>
      <c r="F27" s="221">
        <f t="shared" si="54"/>
        <v>1494484</v>
      </c>
      <c r="G27" s="221">
        <f t="shared" ref="G27" si="55">G7</f>
        <v>1461348</v>
      </c>
      <c r="H27" s="221">
        <f t="shared" si="54"/>
        <v>219095.31299999999</v>
      </c>
      <c r="I27" s="221">
        <f t="shared" si="54"/>
        <v>272761</v>
      </c>
      <c r="J27" s="221">
        <f t="shared" si="54"/>
        <v>235355.18799999999</v>
      </c>
      <c r="K27" s="221">
        <f t="shared" si="54"/>
        <v>437028.27399999998</v>
      </c>
      <c r="L27" s="221">
        <f t="shared" si="54"/>
        <v>376806</v>
      </c>
      <c r="M27" s="221">
        <f t="shared" si="54"/>
        <v>348618</v>
      </c>
      <c r="N27" s="221">
        <f t="shared" si="54"/>
        <v>379946</v>
      </c>
      <c r="O27" s="221">
        <f t="shared" si="54"/>
        <v>389114</v>
      </c>
      <c r="P27" s="221">
        <f t="shared" si="54"/>
        <v>385615</v>
      </c>
      <c r="Q27" s="221">
        <f t="shared" si="54"/>
        <v>347868</v>
      </c>
      <c r="R27" s="221">
        <f t="shared" ref="R27:S27" si="56">R7</f>
        <v>362877</v>
      </c>
      <c r="S27" s="221">
        <f t="shared" si="56"/>
        <v>364988</v>
      </c>
      <c r="T27" s="221">
        <f t="shared" ref="T27:U27" si="57">T7</f>
        <v>395244</v>
      </c>
      <c r="U27" s="221">
        <f t="shared" si="57"/>
        <v>402827.25400000002</v>
      </c>
      <c r="V27" s="221">
        <f t="shared" ref="V27" si="58">V7</f>
        <v>474826.42099999997</v>
      </c>
      <c r="W27" s="220"/>
      <c r="X27" s="488">
        <f t="shared" si="52"/>
        <v>0.17873459723755425</v>
      </c>
      <c r="Y27" s="488">
        <f t="shared" si="53"/>
        <v>0.30850514361615633</v>
      </c>
    </row>
    <row r="28" spans="1:30" ht="13" customHeight="1">
      <c r="B28" s="67" t="str">
        <f>IF('Summary | Sumário'!D$6=Names!B$3,Names!AV7,Names!AW7)</f>
        <v>Depreciation and amortization</v>
      </c>
      <c r="C28" s="222">
        <f t="shared" ref="C28:Q28" si="59">C8</f>
        <v>17463</v>
      </c>
      <c r="D28" s="222">
        <f t="shared" si="59"/>
        <v>43659</v>
      </c>
      <c r="E28" s="222">
        <f t="shared" si="59"/>
        <v>94250.52</v>
      </c>
      <c r="F28" s="222">
        <f t="shared" si="59"/>
        <v>163972</v>
      </c>
      <c r="G28" s="222">
        <f t="shared" ref="G28" si="60">G8</f>
        <v>160440</v>
      </c>
      <c r="H28" s="222">
        <f t="shared" si="59"/>
        <v>19166</v>
      </c>
      <c r="I28" s="222">
        <f t="shared" si="59"/>
        <v>25338</v>
      </c>
      <c r="J28" s="222">
        <f t="shared" si="59"/>
        <v>30883</v>
      </c>
      <c r="K28" s="222">
        <f t="shared" si="59"/>
        <v>18863.520000000004</v>
      </c>
      <c r="L28" s="222">
        <f t="shared" si="59"/>
        <v>36478</v>
      </c>
      <c r="M28" s="222">
        <f t="shared" si="59"/>
        <v>35511</v>
      </c>
      <c r="N28" s="222">
        <f t="shared" si="59"/>
        <v>35620</v>
      </c>
      <c r="O28" s="222">
        <f t="shared" si="59"/>
        <v>56363</v>
      </c>
      <c r="P28" s="222">
        <f t="shared" si="59"/>
        <v>37577</v>
      </c>
      <c r="Q28" s="222">
        <f t="shared" si="59"/>
        <v>41130</v>
      </c>
      <c r="R28" s="222">
        <f t="shared" ref="R28:S28" si="61">R8</f>
        <v>40591</v>
      </c>
      <c r="S28" s="222">
        <f t="shared" si="61"/>
        <v>41142</v>
      </c>
      <c r="T28" s="222">
        <f t="shared" ref="T28:U28" si="62">T8</f>
        <v>41900</v>
      </c>
      <c r="U28" s="222">
        <f t="shared" si="62"/>
        <v>53034.879000000001</v>
      </c>
      <c r="V28" s="222">
        <f t="shared" ref="V28" si="63">V8</f>
        <v>53349.046999999999</v>
      </c>
      <c r="W28" s="222"/>
      <c r="X28" s="217">
        <f t="shared" si="52"/>
        <v>5.9237996941596816E-3</v>
      </c>
      <c r="Y28" s="217">
        <f t="shared" si="53"/>
        <v>0.31430728486610326</v>
      </c>
    </row>
    <row r="29" spans="1:30" ht="13" customHeight="1">
      <c r="B29" s="114" t="str">
        <f>IF('Summary | Sumário'!D$6=Names!B$3,Names!AV29,Names!AW29)</f>
        <v>(÷) Total net revenues excluding tax expenses</v>
      </c>
      <c r="C29" s="223">
        <f>C9</f>
        <v>712223.66099999996</v>
      </c>
      <c r="D29" s="223">
        <f t="shared" ref="D29:Q29" si="64">D9</f>
        <v>1011378.89518</v>
      </c>
      <c r="E29" s="223">
        <f t="shared" si="64"/>
        <v>2075102.0209999997</v>
      </c>
      <c r="F29" s="223">
        <f t="shared" si="64"/>
        <v>3314109.0819999995</v>
      </c>
      <c r="G29" s="223">
        <f t="shared" ref="G29" si="65">G9</f>
        <v>4425992</v>
      </c>
      <c r="H29" s="223">
        <f t="shared" si="64"/>
        <v>389231.24800000002</v>
      </c>
      <c r="I29" s="223">
        <f t="shared" si="64"/>
        <v>437040.75100000005</v>
      </c>
      <c r="J29" s="223">
        <f t="shared" si="64"/>
        <v>565864.06799999997</v>
      </c>
      <c r="K29" s="223">
        <f t="shared" si="64"/>
        <v>682964.95399999991</v>
      </c>
      <c r="L29" s="223">
        <f t="shared" si="64"/>
        <v>776827.63199999998</v>
      </c>
      <c r="M29" s="223">
        <f t="shared" si="64"/>
        <v>815420.6370000001</v>
      </c>
      <c r="N29" s="223">
        <f t="shared" si="64"/>
        <v>788759.73100000003</v>
      </c>
      <c r="O29" s="223">
        <f t="shared" si="64"/>
        <v>933101.08199999994</v>
      </c>
      <c r="P29" s="223">
        <f t="shared" si="64"/>
        <v>955242.82200000004</v>
      </c>
      <c r="Q29" s="223">
        <f t="shared" si="64"/>
        <v>1077571</v>
      </c>
      <c r="R29" s="223">
        <f t="shared" ref="R29:S29" si="66">R9</f>
        <v>1171423.5890200001</v>
      </c>
      <c r="S29" s="223">
        <f t="shared" si="66"/>
        <v>1221756.18398</v>
      </c>
      <c r="T29" s="223">
        <f t="shared" ref="T29:U29" si="67">T9</f>
        <v>1314608.504551532</v>
      </c>
      <c r="U29" s="223">
        <f t="shared" si="67"/>
        <v>1379179.0079276199</v>
      </c>
      <c r="V29" s="223">
        <f t="shared" ref="V29" si="68">V9</f>
        <v>1552504.6574887065</v>
      </c>
      <c r="W29" s="222"/>
      <c r="X29" s="489">
        <f t="shared" si="52"/>
        <v>0.1256730624268485</v>
      </c>
      <c r="Y29" s="489">
        <f t="shared" si="53"/>
        <v>0.32531449088157305</v>
      </c>
    </row>
    <row r="30" spans="1:30" ht="13" customHeight="1">
      <c r="B30" s="67" t="str">
        <f>IF('Summary | Sumário'!D$6=Names!B$3,Names!AV30,Names!AW30)</f>
        <v>Net interest income</v>
      </c>
      <c r="C30" s="222">
        <f>C10</f>
        <v>585551</v>
      </c>
      <c r="D30" s="222">
        <f t="shared" ref="D30:Q30" si="69">D10</f>
        <v>715962.89517999999</v>
      </c>
      <c r="E30" s="222">
        <f t="shared" si="69"/>
        <v>1589469.2459999998</v>
      </c>
      <c r="F30" s="222">
        <f t="shared" si="69"/>
        <v>2335429.0819999995</v>
      </c>
      <c r="G30" s="222">
        <f t="shared" ref="G30" si="70">G10</f>
        <v>3208088</v>
      </c>
      <c r="H30" s="222">
        <f t="shared" si="69"/>
        <v>291580.935</v>
      </c>
      <c r="I30" s="222">
        <f t="shared" si="69"/>
        <v>302295.75100000005</v>
      </c>
      <c r="J30" s="222">
        <f t="shared" si="69"/>
        <v>447369.88</v>
      </c>
      <c r="K30" s="222">
        <f t="shared" si="69"/>
        <v>548221.67999999993</v>
      </c>
      <c r="L30" s="222">
        <f t="shared" si="69"/>
        <v>543410.63199999998</v>
      </c>
      <c r="M30" s="222">
        <f t="shared" si="69"/>
        <v>561087.6370000001</v>
      </c>
      <c r="N30" s="222">
        <f t="shared" si="69"/>
        <v>555587.73100000003</v>
      </c>
      <c r="O30" s="222">
        <f t="shared" si="69"/>
        <v>675343.08199999994</v>
      </c>
      <c r="P30" s="222">
        <f t="shared" si="69"/>
        <v>711561.82200000004</v>
      </c>
      <c r="Q30" s="222">
        <f t="shared" si="69"/>
        <v>802075</v>
      </c>
      <c r="R30" s="222">
        <f t="shared" ref="R30:S30" si="71">R10</f>
        <v>818557.08874000004</v>
      </c>
      <c r="S30" s="222">
        <f t="shared" si="71"/>
        <v>875895.08425999992</v>
      </c>
      <c r="T30" s="222">
        <f t="shared" ref="T30:U30" si="72">T10</f>
        <v>970665.10969999968</v>
      </c>
      <c r="U30" s="222">
        <f t="shared" si="72"/>
        <v>1029666.7290000001</v>
      </c>
      <c r="V30" s="222">
        <f t="shared" ref="V30" si="73">V10</f>
        <v>1134762.2779999999</v>
      </c>
      <c r="W30" s="222"/>
      <c r="X30" s="217">
        <f t="shared" si="52"/>
        <v>0.10206753898134346</v>
      </c>
      <c r="Y30" s="217">
        <f t="shared" si="53"/>
        <v>0.38629582909938831</v>
      </c>
    </row>
    <row r="31" spans="1:30" ht="13" customHeight="1">
      <c r="B31" s="115" t="str">
        <f>IF('Summary | Sumário'!D$6=Names!B$3,Names!AV31,Names!AW31)</f>
        <v>Net result from services and commissions</v>
      </c>
      <c r="C31" s="223">
        <f>C11</f>
        <v>73829.660999999993</v>
      </c>
      <c r="D31" s="223">
        <f t="shared" ref="D31:Q31" si="74">D11</f>
        <v>185534</v>
      </c>
      <c r="E31" s="223">
        <f t="shared" si="74"/>
        <v>442272</v>
      </c>
      <c r="F31" s="223">
        <f t="shared" si="74"/>
        <v>838806</v>
      </c>
      <c r="G31" s="223">
        <f t="shared" ref="G31" si="75">G11</f>
        <v>1168800</v>
      </c>
      <c r="H31" s="223">
        <f t="shared" si="74"/>
        <v>77686</v>
      </c>
      <c r="I31" s="223">
        <f t="shared" si="74"/>
        <v>89070</v>
      </c>
      <c r="J31" s="223">
        <f t="shared" si="74"/>
        <v>122853</v>
      </c>
      <c r="K31" s="223">
        <f t="shared" si="74"/>
        <v>152663</v>
      </c>
      <c r="L31" s="223">
        <f t="shared" si="74"/>
        <v>177703</v>
      </c>
      <c r="M31" s="223">
        <f t="shared" si="74"/>
        <v>204561</v>
      </c>
      <c r="N31" s="223">
        <f t="shared" si="74"/>
        <v>217029</v>
      </c>
      <c r="O31" s="223">
        <f t="shared" si="74"/>
        <v>239513</v>
      </c>
      <c r="P31" s="223">
        <f t="shared" si="74"/>
        <v>246675</v>
      </c>
      <c r="Q31" s="223">
        <f t="shared" si="74"/>
        <v>266801</v>
      </c>
      <c r="R31" s="223">
        <f t="shared" ref="R31:S31" si="76">R11</f>
        <v>315509</v>
      </c>
      <c r="S31" s="223">
        <f t="shared" si="76"/>
        <v>339815.6</v>
      </c>
      <c r="T31" s="223">
        <f t="shared" ref="T31:U31" si="77">T11</f>
        <v>340317.39485153224</v>
      </c>
      <c r="U31" s="223">
        <f t="shared" si="77"/>
        <v>364200.86699999997</v>
      </c>
      <c r="V31" s="223">
        <f t="shared" ref="V31" si="78">V11</f>
        <v>429988.97899999999</v>
      </c>
      <c r="W31" s="222"/>
      <c r="X31" s="489">
        <f t="shared" si="52"/>
        <v>0.18063689013678275</v>
      </c>
      <c r="Y31" s="489">
        <f t="shared" si="53"/>
        <v>0.3628421978453864</v>
      </c>
    </row>
    <row r="32" spans="1:30" s="136" customFormat="1" ht="13" customHeight="1">
      <c r="A32" s="135"/>
      <c r="B32" s="67" t="str">
        <f>IF('Summary | Sumário'!D$6=Names!B$3,Names!AV33,Names!AW33)</f>
        <v>Other revenues</v>
      </c>
      <c r="C32" s="222">
        <f>C12</f>
        <v>52843</v>
      </c>
      <c r="D32" s="222">
        <f t="shared" ref="D32:Q32" si="79">D12</f>
        <v>109882</v>
      </c>
      <c r="E32" s="222">
        <f t="shared" si="79"/>
        <v>190082</v>
      </c>
      <c r="F32" s="222">
        <f t="shared" si="79"/>
        <v>388462</v>
      </c>
      <c r="G32" s="222">
        <f t="shared" ref="G32" si="80">G12</f>
        <v>375688</v>
      </c>
      <c r="H32" s="222">
        <f t="shared" si="79"/>
        <v>47499</v>
      </c>
      <c r="I32" s="222">
        <f t="shared" si="79"/>
        <v>76048</v>
      </c>
      <c r="J32" s="222">
        <f t="shared" si="79"/>
        <v>36287</v>
      </c>
      <c r="K32" s="222">
        <f t="shared" si="79"/>
        <v>30248</v>
      </c>
      <c r="L32" s="222">
        <f t="shared" si="79"/>
        <v>112407</v>
      </c>
      <c r="M32" s="222">
        <f t="shared" si="79"/>
        <v>111372</v>
      </c>
      <c r="N32" s="222">
        <f t="shared" si="79"/>
        <v>77687</v>
      </c>
      <c r="O32" s="222">
        <f t="shared" si="79"/>
        <v>86996</v>
      </c>
      <c r="P32" s="222">
        <f t="shared" si="79"/>
        <v>65877</v>
      </c>
      <c r="Q32" s="222">
        <f t="shared" si="79"/>
        <v>81158</v>
      </c>
      <c r="R32" s="222">
        <f t="shared" ref="R32:S32" si="81">R12</f>
        <v>131429.50028000001</v>
      </c>
      <c r="S32" s="222">
        <f t="shared" si="81"/>
        <v>97223.499719999993</v>
      </c>
      <c r="T32" s="222">
        <f t="shared" ref="T32:U32" si="82">T12</f>
        <v>89957</v>
      </c>
      <c r="U32" s="222">
        <f t="shared" si="82"/>
        <v>84728.682927619986</v>
      </c>
      <c r="V32" s="222">
        <f t="shared" ref="V32" si="83">V12</f>
        <v>111387.30948870655</v>
      </c>
      <c r="W32" s="222"/>
      <c r="X32" s="217">
        <f t="shared" si="52"/>
        <v>0.31463520545763557</v>
      </c>
      <c r="Y32" s="217">
        <f t="shared" si="53"/>
        <v>-0.15249385220665967</v>
      </c>
      <c r="Z32" s="135"/>
      <c r="AA32" s="135"/>
      <c r="AB32" s="135"/>
      <c r="AC32" s="135"/>
      <c r="AD32" s="135"/>
    </row>
    <row r="33" spans="2:25" ht="13" customHeight="1">
      <c r="B33" s="115" t="str">
        <f>IF('Summary | Sumário'!D$6=Names!B$3,Names!AV34,Names!AW34)</f>
        <v>Tax expenses</v>
      </c>
      <c r="C33" s="223">
        <f>C13</f>
        <v>0</v>
      </c>
      <c r="D33" s="223">
        <f t="shared" ref="D33:Q33" si="84">D13</f>
        <v>0</v>
      </c>
      <c r="E33" s="223">
        <f t="shared" si="84"/>
        <v>-146721.22500000001</v>
      </c>
      <c r="F33" s="223">
        <f t="shared" si="84"/>
        <v>-248588</v>
      </c>
      <c r="G33" s="223">
        <f t="shared" ref="G33" si="85">G13</f>
        <v>-326584</v>
      </c>
      <c r="H33" s="223">
        <f t="shared" si="84"/>
        <v>-27534.687000000002</v>
      </c>
      <c r="I33" s="223">
        <f t="shared" si="84"/>
        <v>-30373</v>
      </c>
      <c r="J33" s="223">
        <f t="shared" si="84"/>
        <v>-40645.811999999998</v>
      </c>
      <c r="K33" s="223">
        <f t="shared" si="84"/>
        <v>-48167.726000000002</v>
      </c>
      <c r="L33" s="223">
        <f t="shared" si="84"/>
        <v>-56693</v>
      </c>
      <c r="M33" s="223">
        <f t="shared" si="84"/>
        <v>-61600</v>
      </c>
      <c r="N33" s="223">
        <f t="shared" si="84"/>
        <v>-61544</v>
      </c>
      <c r="O33" s="223">
        <f t="shared" si="84"/>
        <v>-68751</v>
      </c>
      <c r="P33" s="223">
        <f t="shared" si="84"/>
        <v>-68871</v>
      </c>
      <c r="Q33" s="223">
        <f t="shared" si="84"/>
        <v>-72463</v>
      </c>
      <c r="R33" s="223">
        <f t="shared" ref="R33:S33" si="86">R13</f>
        <v>-94072</v>
      </c>
      <c r="S33" s="223">
        <f t="shared" si="86"/>
        <v>-91178</v>
      </c>
      <c r="T33" s="223">
        <f t="shared" ref="T33:U33" si="87">T13</f>
        <v>-86331</v>
      </c>
      <c r="U33" s="223">
        <f t="shared" si="87"/>
        <v>-99417.270999999993</v>
      </c>
      <c r="V33" s="223">
        <f t="shared" ref="V33" si="88">V13</f>
        <v>-123633.909</v>
      </c>
      <c r="W33" s="222"/>
      <c r="X33" s="489">
        <f t="shared" si="52"/>
        <v>0.24358582524358385</v>
      </c>
      <c r="Y33" s="489">
        <f t="shared" si="53"/>
        <v>0.31424769325622925</v>
      </c>
    </row>
    <row r="34" spans="2:25" ht="13" customHeight="1">
      <c r="B34" s="355" t="str">
        <f>IF('Summary | Sumário'!D$6=Names!B$3,Names!AV35,Names!AW35)</f>
        <v> (=) Administrative efficiency ratio (%)</v>
      </c>
      <c r="C34" s="371">
        <f t="shared" ref="C34:Q34" si="89">C26/C29</f>
        <v>0.56691741949864827</v>
      </c>
      <c r="D34" s="371">
        <f t="shared" si="89"/>
        <v>0.67727930972703332</v>
      </c>
      <c r="E34" s="371">
        <f t="shared" si="89"/>
        <v>0.60647152875574217</v>
      </c>
      <c r="F34" s="371">
        <f t="shared" si="89"/>
        <v>0.50042287654549822</v>
      </c>
      <c r="G34" s="371">
        <f t="shared" ref="G34" si="90">G26/G29</f>
        <v>0.36642361757544978</v>
      </c>
      <c r="H34" s="371">
        <f t="shared" si="89"/>
        <v>0.6121330551549139</v>
      </c>
      <c r="I34" s="371">
        <f t="shared" si="89"/>
        <v>0.68208513580922336</v>
      </c>
      <c r="J34" s="371">
        <f t="shared" si="89"/>
        <v>0.47049848727981075</v>
      </c>
      <c r="K34" s="371">
        <f t="shared" si="89"/>
        <v>0.66751857665598469</v>
      </c>
      <c r="L34" s="371">
        <f t="shared" si="89"/>
        <v>0.53201506096786222</v>
      </c>
      <c r="M34" s="371">
        <f t="shared" si="89"/>
        <v>0.47108079262408947</v>
      </c>
      <c r="N34" s="371">
        <f t="shared" si="89"/>
        <v>0.52686006101394134</v>
      </c>
      <c r="O34" s="371">
        <f t="shared" si="89"/>
        <v>0.47741558614975438</v>
      </c>
      <c r="P34" s="371">
        <f t="shared" si="89"/>
        <v>0.44302034022507419</v>
      </c>
      <c r="Q34" s="371">
        <f t="shared" si="89"/>
        <v>0.36099523836480379</v>
      </c>
      <c r="R34" s="371">
        <f t="shared" ref="R34:S34" si="91">R26/R29</f>
        <v>0.34442536737503882</v>
      </c>
      <c r="S34" s="371">
        <f t="shared" si="91"/>
        <v>0.33241493296722147</v>
      </c>
      <c r="T34" s="371">
        <f t="shared" ref="T34:U34" si="92">T26/T29</f>
        <v>0.33252789593745108</v>
      </c>
      <c r="U34" s="371">
        <f t="shared" si="92"/>
        <v>0.33053151938919589</v>
      </c>
      <c r="V34" s="371">
        <f t="shared" ref="V34" si="93">V26/V29</f>
        <v>0.34020862060044554</v>
      </c>
      <c r="W34" s="428"/>
      <c r="X34" s="485">
        <f>(V34-U34)*100</f>
        <v>0.96771012112496502</v>
      </c>
      <c r="Y34" s="485">
        <f>(V34-R34)*100</f>
        <v>-0.42167467745932719</v>
      </c>
    </row>
    <row r="35" spans="2:25" ht="13" customHeight="1">
      <c r="B35" s="74"/>
    </row>
    <row r="36" spans="2:25" ht="13" customHeight="1">
      <c r="B36" s="26"/>
    </row>
    <row r="37" spans="2:25" ht="13" customHeight="1">
      <c r="G37" s="397"/>
    </row>
    <row r="38" spans="2:25" ht="13" customHeight="1">
      <c r="B38" s="26"/>
      <c r="G38" s="396"/>
    </row>
    <row r="39" spans="2:25" ht="13" customHeight="1">
      <c r="D39" s="224"/>
    </row>
    <row r="40" spans="2:25" ht="13" customHeight="1">
      <c r="V40" s="395"/>
      <c r="W40" s="395"/>
      <c r="X40" s="395"/>
      <c r="Y40" s="395"/>
    </row>
  </sheetData>
  <sheetProtection algorithmName="SHA-512" hashValue="bL+phNM2VbCj5bKOJ93IxHEXQv/nbS41MP0/YogB7yzf0F/pvrG0OcgObVXHnYzh3EaXX2SIQxCUArsaf2NhpA==" saltValue="bB/GkdY7vVc2AT3Fnrpm3Q=="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04061-A401-1843-A502-21FD0465969E}">
  <sheetPr>
    <tabColor theme="5" tint="0.59999389629810485"/>
  </sheetPr>
  <dimension ref="A1:AD32"/>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6" width="10.83203125" style="136" customWidth="1"/>
    <col min="7" max="7" width="10.83203125" style="135"/>
    <col min="8" max="16" width="10.83203125" style="136" customWidth="1"/>
    <col min="17" max="21" width="10.83203125" style="136"/>
    <col min="22" max="22" width="10.83203125" style="135"/>
    <col min="23" max="23" width="5.83203125" style="135" customWidth="1"/>
    <col min="24" max="16384" width="10.83203125" style="135"/>
  </cols>
  <sheetData>
    <row r="1" spans="2:29" ht="13" customHeight="1">
      <c r="G1" s="136"/>
      <c r="V1" s="136"/>
      <c r="W1" s="136"/>
      <c r="X1" s="136"/>
      <c r="Y1" s="136"/>
      <c r="Z1" s="136"/>
    </row>
    <row r="2" spans="2:29" s="10" customFormat="1" ht="13" customHeight="1">
      <c r="B2" s="319" t="str">
        <f>IF('Summary | Sumário'!D$6=Names!B$3,Names!AF1,Names!AG1)</f>
        <v>Monthly Cost-to-serve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2:29" ht="13" customHeight="1">
      <c r="B3" s="49"/>
      <c r="C3" s="178"/>
      <c r="D3" s="178"/>
      <c r="E3" s="178"/>
      <c r="F3" s="178"/>
      <c r="G3" s="147"/>
      <c r="H3" s="178"/>
      <c r="I3" s="178"/>
      <c r="J3" s="178"/>
      <c r="K3" s="178"/>
      <c r="L3" s="178"/>
      <c r="M3" s="178"/>
      <c r="N3" s="178"/>
      <c r="O3" s="178"/>
      <c r="P3" s="178"/>
      <c r="Q3" s="178"/>
      <c r="R3" s="178"/>
      <c r="S3" s="178"/>
      <c r="T3" s="178"/>
      <c r="U3" s="178"/>
      <c r="V3" s="147"/>
      <c r="W3" s="147"/>
      <c r="X3" s="147"/>
      <c r="Y3" s="147"/>
      <c r="Z3" s="147"/>
    </row>
    <row r="4" spans="2:29" ht="13" customHeight="1">
      <c r="B4" s="3" t="str">
        <f>IF('Summary | Sumário'!D$6=Names!B$3,Names!AF3,Names!AG3)</f>
        <v>Cost-to-serve</v>
      </c>
      <c r="C4" s="214"/>
      <c r="D4" s="214"/>
      <c r="E4" s="214"/>
      <c r="F4" s="214"/>
      <c r="G4" s="214"/>
      <c r="H4" s="214"/>
      <c r="I4" s="214"/>
      <c r="J4" s="214"/>
      <c r="K4" s="214"/>
      <c r="L4" s="214"/>
      <c r="M4" s="214"/>
      <c r="N4" s="214"/>
      <c r="O4" s="214"/>
      <c r="P4" s="214"/>
      <c r="Q4" s="214"/>
      <c r="R4" s="214"/>
      <c r="S4" s="214"/>
      <c r="T4" s="214"/>
      <c r="U4" s="214"/>
      <c r="V4" s="214"/>
      <c r="W4" s="214"/>
      <c r="X4" s="214"/>
      <c r="Y4" s="214"/>
    </row>
    <row r="5" spans="2:29" ht="13" customHeight="1">
      <c r="B5" s="356" t="str">
        <f>IF('Summary | Sumário'!D$6=Names!B$3,Names!AF4,Names!AG4)</f>
        <v>Monthly average of cost-to-serve</v>
      </c>
      <c r="C5" s="357">
        <f>C6/12</f>
        <v>42794.025094127275</v>
      </c>
      <c r="D5" s="357">
        <f t="shared" ref="D5:G5" si="0">D6/12</f>
        <v>67177.754286566269</v>
      </c>
      <c r="E5" s="357">
        <f t="shared" si="0"/>
        <v>122553.85398560927</v>
      </c>
      <c r="F5" s="357">
        <f t="shared" si="0"/>
        <v>177431.74372495562</v>
      </c>
      <c r="G5" s="357">
        <f t="shared" si="0"/>
        <v>186292.69927320103</v>
      </c>
      <c r="H5" s="357">
        <f>H6/3</f>
        <v>90358.620573333334</v>
      </c>
      <c r="I5" s="357">
        <f t="shared" ref="I5:V5" si="1">I6/3</f>
        <v>113372.35140666667</v>
      </c>
      <c r="J5" s="357">
        <f t="shared" si="1"/>
        <v>108504.75255999999</v>
      </c>
      <c r="K5" s="357">
        <f t="shared" si="1"/>
        <v>177979.69140243714</v>
      </c>
      <c r="L5" s="357">
        <f t="shared" si="1"/>
        <v>163822.55539315593</v>
      </c>
      <c r="M5" s="357">
        <f t="shared" si="1"/>
        <v>161347.50881999999</v>
      </c>
      <c r="N5" s="357">
        <f t="shared" si="1"/>
        <v>176821.34316666666</v>
      </c>
      <c r="O5" s="357">
        <f t="shared" si="1"/>
        <v>207735.56752000001</v>
      </c>
      <c r="P5" s="357">
        <f t="shared" si="1"/>
        <v>180808.90153333335</v>
      </c>
      <c r="Q5" s="357">
        <f t="shared" si="1"/>
        <v>175584.57369999998</v>
      </c>
      <c r="R5" s="357">
        <f t="shared" si="1"/>
        <v>189620.87386666666</v>
      </c>
      <c r="S5" s="357">
        <f t="shared" si="1"/>
        <v>199156.44799280408</v>
      </c>
      <c r="T5" s="357">
        <f t="shared" si="1"/>
        <v>197441.74533333335</v>
      </c>
      <c r="U5" s="357">
        <f t="shared" si="1"/>
        <v>199245.96325666667</v>
      </c>
      <c r="V5" s="357">
        <f t="shared" si="1"/>
        <v>239201.46846</v>
      </c>
      <c r="W5" s="211"/>
      <c r="X5" s="455">
        <f>V5/U5-1</f>
        <v>0.20053357443364139</v>
      </c>
      <c r="Y5" s="455">
        <f>V5/R5-1</f>
        <v>0.2614722397503364</v>
      </c>
    </row>
    <row r="6" spans="2:29" ht="13" customHeight="1">
      <c r="B6" s="56" t="str">
        <f>IF('Summary | Sumário'!D$6=Names!B$3,Names!AF5,Names!AG5)</f>
        <v>Total cost-to-serve</v>
      </c>
      <c r="C6" s="211">
        <f>SUM(C7:C10)</f>
        <v>513528.30112952727</v>
      </c>
      <c r="D6" s="211">
        <f t="shared" ref="D6:P6" si="2">SUM(D7:D10)</f>
        <v>806133.05143879517</v>
      </c>
      <c r="E6" s="211">
        <f t="shared" si="2"/>
        <v>1470646.2478273113</v>
      </c>
      <c r="F6" s="211">
        <f t="shared" si="2"/>
        <v>2129180.9246994676</v>
      </c>
      <c r="G6" s="211">
        <f t="shared" ref="G6" si="3">SUM(G7:G10)</f>
        <v>2235512.3912784122</v>
      </c>
      <c r="H6" s="211">
        <f t="shared" si="2"/>
        <v>271075.86171999999</v>
      </c>
      <c r="I6" s="211">
        <f t="shared" si="2"/>
        <v>340117.05421999999</v>
      </c>
      <c r="J6" s="211">
        <f t="shared" si="2"/>
        <v>325514.25767999998</v>
      </c>
      <c r="K6" s="211">
        <f t="shared" si="2"/>
        <v>533939.07420731138</v>
      </c>
      <c r="L6" s="211">
        <f t="shared" si="2"/>
        <v>491467.66617946781</v>
      </c>
      <c r="M6" s="211">
        <f t="shared" si="2"/>
        <v>484042.52645999996</v>
      </c>
      <c r="N6" s="211">
        <f t="shared" si="2"/>
        <v>530464.02949999995</v>
      </c>
      <c r="O6" s="211">
        <f t="shared" si="2"/>
        <v>623206.70256000001</v>
      </c>
      <c r="P6" s="211">
        <f t="shared" si="2"/>
        <v>542426.70460000006</v>
      </c>
      <c r="Q6" s="211">
        <f t="shared" ref="Q6:R6" si="4">SUM(Q7:Q10)</f>
        <v>526753.72109999997</v>
      </c>
      <c r="R6" s="211">
        <f t="shared" si="4"/>
        <v>568862.62159999995</v>
      </c>
      <c r="S6" s="211">
        <f t="shared" ref="S6:T6" si="5">SUM(S7:S10)</f>
        <v>597469.34397841222</v>
      </c>
      <c r="T6" s="211">
        <f t="shared" si="5"/>
        <v>592325.23600000003</v>
      </c>
      <c r="U6" s="211">
        <f t="shared" ref="U6:V6" si="6">SUM(U7:U10)</f>
        <v>597737.88977000001</v>
      </c>
      <c r="V6" s="211">
        <f t="shared" si="6"/>
        <v>717604.40538000001</v>
      </c>
      <c r="W6" s="211"/>
      <c r="X6" s="456">
        <f t="shared" ref="X6:X14" si="7">V6/U6-1</f>
        <v>0.20053357443364139</v>
      </c>
      <c r="Y6" s="456">
        <f t="shared" ref="Y6:Y14" si="8">V6/R6-1</f>
        <v>0.2614722397503364</v>
      </c>
    </row>
    <row r="7" spans="2:29" ht="13" customHeight="1">
      <c r="B7" s="70" t="str">
        <f>IF('Summary | Sumário'!D$6=Names!B$3,Names!AF6,Names!AG6)</f>
        <v>Personnel expenses</v>
      </c>
      <c r="C7" s="206">
        <v>169198</v>
      </c>
      <c r="D7" s="206">
        <v>229096</v>
      </c>
      <c r="E7" s="206">
        <v>443328</v>
      </c>
      <c r="F7" s="206">
        <v>733605</v>
      </c>
      <c r="G7" s="206">
        <v>790739</v>
      </c>
      <c r="H7" s="206">
        <v>81861</v>
      </c>
      <c r="I7" s="206">
        <v>93046</v>
      </c>
      <c r="J7" s="206">
        <v>121250</v>
      </c>
      <c r="K7" s="206">
        <v>147171</v>
      </c>
      <c r="L7" s="206">
        <v>145120</v>
      </c>
      <c r="M7" s="206">
        <v>172466</v>
      </c>
      <c r="N7" s="206">
        <v>176232</v>
      </c>
      <c r="O7" s="206">
        <v>239787</v>
      </c>
      <c r="P7" s="206">
        <v>172412</v>
      </c>
      <c r="Q7" s="206">
        <v>186249</v>
      </c>
      <c r="R7" s="206">
        <v>210661</v>
      </c>
      <c r="S7" s="206">
        <v>221417</v>
      </c>
      <c r="T7" s="206">
        <v>190463</v>
      </c>
      <c r="U7" s="206">
        <v>204206.56551999997</v>
      </c>
      <c r="V7" s="206">
        <v>258955.60448000001</v>
      </c>
      <c r="W7" s="211"/>
      <c r="X7" s="457">
        <f t="shared" si="7"/>
        <v>0.2681061640725646</v>
      </c>
      <c r="Y7" s="457">
        <f t="shared" si="8"/>
        <v>0.22925270686078592</v>
      </c>
    </row>
    <row r="8" spans="2:29" ht="13" customHeight="1">
      <c r="B8" s="65" t="str">
        <f>IF('Summary | Sumário'!D$6=Names!B$3,Names!AF7,Names!AG7)</f>
        <v>Administrative expenses</v>
      </c>
      <c r="C8" s="211">
        <v>386309</v>
      </c>
      <c r="D8" s="211">
        <v>641327</v>
      </c>
      <c r="E8" s="211">
        <v>1164239.7749999999</v>
      </c>
      <c r="F8" s="211">
        <v>1494484</v>
      </c>
      <c r="G8" s="211">
        <v>1461348</v>
      </c>
      <c r="H8" s="211">
        <v>219095.31299999999</v>
      </c>
      <c r="I8" s="211">
        <v>272761</v>
      </c>
      <c r="J8" s="211">
        <v>235355.18799999999</v>
      </c>
      <c r="K8" s="211">
        <v>437028.27399999998</v>
      </c>
      <c r="L8" s="211">
        <v>376806</v>
      </c>
      <c r="M8" s="211">
        <v>348618</v>
      </c>
      <c r="N8" s="211">
        <v>379946</v>
      </c>
      <c r="O8" s="211">
        <v>389114</v>
      </c>
      <c r="P8" s="211">
        <v>385615</v>
      </c>
      <c r="Q8" s="211">
        <v>347868</v>
      </c>
      <c r="R8" s="211">
        <v>362877</v>
      </c>
      <c r="S8" s="211">
        <v>364988</v>
      </c>
      <c r="T8" s="211">
        <v>395244</v>
      </c>
      <c r="U8" s="211">
        <v>402827.25400000002</v>
      </c>
      <c r="V8" s="211">
        <v>474826.42099999997</v>
      </c>
      <c r="W8" s="211"/>
      <c r="X8" s="456">
        <f t="shared" si="7"/>
        <v>0.17873459723755425</v>
      </c>
      <c r="Y8" s="456">
        <f t="shared" si="8"/>
        <v>0.30850514361615633</v>
      </c>
    </row>
    <row r="9" spans="2:29" ht="13" customHeight="1">
      <c r="B9" s="70" t="str">
        <f>IF('Summary | Sumário'!D$6=Names!B$3,Names!AF8,Names!AG8)</f>
        <v>Depreciation and amortization</v>
      </c>
      <c r="C9" s="206">
        <v>17463</v>
      </c>
      <c r="D9" s="206">
        <v>43659</v>
      </c>
      <c r="E9" s="206">
        <v>94250.52</v>
      </c>
      <c r="F9" s="206">
        <v>163972</v>
      </c>
      <c r="G9" s="206">
        <v>160440</v>
      </c>
      <c r="H9" s="206">
        <v>19166</v>
      </c>
      <c r="I9" s="206">
        <v>25338</v>
      </c>
      <c r="J9" s="206">
        <v>30883</v>
      </c>
      <c r="K9" s="206">
        <v>18863.520000000004</v>
      </c>
      <c r="L9" s="206">
        <v>36478</v>
      </c>
      <c r="M9" s="206">
        <v>35511</v>
      </c>
      <c r="N9" s="206">
        <v>35620</v>
      </c>
      <c r="O9" s="206">
        <v>56363</v>
      </c>
      <c r="P9" s="206">
        <v>37577</v>
      </c>
      <c r="Q9" s="206">
        <v>41130</v>
      </c>
      <c r="R9" s="206">
        <v>40591</v>
      </c>
      <c r="S9" s="206">
        <v>41142</v>
      </c>
      <c r="T9" s="206">
        <v>41900</v>
      </c>
      <c r="U9" s="206">
        <v>53034.879000000001</v>
      </c>
      <c r="V9" s="206">
        <v>53349.046999999999</v>
      </c>
      <c r="W9" s="211"/>
      <c r="X9" s="457">
        <f t="shared" si="7"/>
        <v>5.9237996941596816E-3</v>
      </c>
      <c r="Y9" s="457">
        <f t="shared" si="8"/>
        <v>0.31430728486610326</v>
      </c>
    </row>
    <row r="10" spans="2:29" ht="13" customHeight="1">
      <c r="B10" s="65" t="str">
        <f>IF('Summary | Sumário'!D$6=Names!B$3,Names!AF9,Names!AG9)</f>
        <v>CAC expenses</v>
      </c>
      <c r="C10" s="211">
        <v>-59441.698870472712</v>
      </c>
      <c r="D10" s="211">
        <v>-107948.94856120487</v>
      </c>
      <c r="E10" s="211">
        <v>-231172.04717268862</v>
      </c>
      <c r="F10" s="211">
        <v>-262880.07530053222</v>
      </c>
      <c r="G10" s="211">
        <f>SUM(P10:S10)</f>
        <v>-177014.60872158778</v>
      </c>
      <c r="H10" s="211">
        <v>-49046.451279999994</v>
      </c>
      <c r="I10" s="211">
        <v>-51027.945780000002</v>
      </c>
      <c r="J10" s="211">
        <v>-61973.930319999999</v>
      </c>
      <c r="K10" s="211">
        <v>-69123.719792688615</v>
      </c>
      <c r="L10" s="211">
        <v>-66936.333820532222</v>
      </c>
      <c r="M10" s="211">
        <v>-72552.473540000006</v>
      </c>
      <c r="N10" s="211">
        <v>-61333.970500000003</v>
      </c>
      <c r="O10" s="211">
        <v>-62057.297440000002</v>
      </c>
      <c r="P10" s="211">
        <v>-53177.295399999995</v>
      </c>
      <c r="Q10" s="211">
        <v>-48493.278899999998</v>
      </c>
      <c r="R10" s="211">
        <v>-45266.378400000001</v>
      </c>
      <c r="S10" s="211">
        <v>-30077.656021587791</v>
      </c>
      <c r="T10" s="211">
        <v>-35281.764000000003</v>
      </c>
      <c r="U10" s="211">
        <v>-62330.808749999989</v>
      </c>
      <c r="V10" s="211">
        <v>-69526.667100000006</v>
      </c>
      <c r="W10" s="211"/>
      <c r="X10" s="456">
        <f t="shared" si="7"/>
        <v>0.11544625353509508</v>
      </c>
      <c r="Y10" s="456">
        <f t="shared" si="8"/>
        <v>0.53594498958193659</v>
      </c>
    </row>
    <row r="11" spans="2:29" ht="13" customHeight="1">
      <c r="B11" s="55" t="str">
        <f>IF('Summary | Sumário'!D$6=Names!B$3,Names!AF10,Names!AG10)</f>
        <v>(÷) Average active clients</v>
      </c>
      <c r="C11" s="206">
        <f>C12</f>
        <v>2282.6979999999999</v>
      </c>
      <c r="D11" s="206">
        <f>AVERAGE(C12:D12)</f>
        <v>3767.4889999999996</v>
      </c>
      <c r="E11" s="206">
        <f t="shared" ref="E11:G11" si="9">AVERAGE(D12:E12)</f>
        <v>7039.3045000000002</v>
      </c>
      <c r="F11" s="206">
        <f t="shared" si="9"/>
        <v>10705.3665</v>
      </c>
      <c r="G11" s="206">
        <f t="shared" si="9"/>
        <v>14494.899000000001</v>
      </c>
      <c r="H11" s="206">
        <f>AVERAGE(H12,D12)</f>
        <v>5692.4650000000001</v>
      </c>
      <c r="I11" s="206">
        <f>AVERAGE(H12:I12)</f>
        <v>6597.8119999999999</v>
      </c>
      <c r="J11" s="206">
        <f t="shared" ref="J11:V11" si="10">AVERAGE(I12:J12)</f>
        <v>7514.7129999999997</v>
      </c>
      <c r="K11" s="206">
        <f t="shared" si="10"/>
        <v>8396.3904999999995</v>
      </c>
      <c r="L11" s="206">
        <f t="shared" si="10"/>
        <v>9358.8734999999997</v>
      </c>
      <c r="M11" s="206">
        <f t="shared" si="10"/>
        <v>10303.8135</v>
      </c>
      <c r="N11" s="206">
        <f t="shared" si="10"/>
        <v>11182.7415</v>
      </c>
      <c r="O11" s="206">
        <f t="shared" si="10"/>
        <v>12116.839</v>
      </c>
      <c r="P11" s="206">
        <f t="shared" si="10"/>
        <v>13062.486000000001</v>
      </c>
      <c r="Q11" s="206">
        <f t="shared" si="10"/>
        <v>14017.737499999999</v>
      </c>
      <c r="R11" s="206">
        <f t="shared" si="10"/>
        <v>14984.0635</v>
      </c>
      <c r="S11" s="206">
        <f t="shared" si="10"/>
        <v>15939.307000000001</v>
      </c>
      <c r="T11" s="206">
        <f t="shared" si="10"/>
        <v>16909.548000000003</v>
      </c>
      <c r="U11" s="206">
        <f t="shared" si="10"/>
        <v>17907.845500000003</v>
      </c>
      <c r="V11" s="206">
        <f t="shared" si="10"/>
        <v>18970.246500000001</v>
      </c>
      <c r="W11" s="211"/>
      <c r="X11" s="457">
        <f t="shared" si="7"/>
        <v>5.9326008815521636E-2</v>
      </c>
      <c r="Y11" s="457">
        <f t="shared" si="8"/>
        <v>0.26602817052930949</v>
      </c>
    </row>
    <row r="12" spans="2:29" ht="13" customHeight="1">
      <c r="B12" s="57" t="str">
        <f>IF('Summary | Sumário'!D$6=Names!B$3,Names!AF11,Names!AG11)</f>
        <v>Active clients</v>
      </c>
      <c r="C12" s="211">
        <v>2282.6979999999999</v>
      </c>
      <c r="D12" s="211">
        <v>5252.28</v>
      </c>
      <c r="E12" s="211">
        <v>8826.3289999999997</v>
      </c>
      <c r="F12" s="211">
        <v>12584.404</v>
      </c>
      <c r="G12" s="211">
        <f>S12</f>
        <v>16405.394</v>
      </c>
      <c r="H12" s="211">
        <v>6132.65</v>
      </c>
      <c r="I12" s="211">
        <v>7062.9740000000002</v>
      </c>
      <c r="J12" s="211">
        <v>7966.4520000000002</v>
      </c>
      <c r="K12" s="211">
        <v>8826.3289999999997</v>
      </c>
      <c r="L12" s="211">
        <v>9891.4179999999997</v>
      </c>
      <c r="M12" s="211">
        <v>10716.209000000001</v>
      </c>
      <c r="N12" s="211">
        <v>11649.273999999999</v>
      </c>
      <c r="O12" s="211">
        <v>12584.404</v>
      </c>
      <c r="P12" s="211">
        <v>13540.567999999999</v>
      </c>
      <c r="Q12" s="211">
        <v>14494.906999999999</v>
      </c>
      <c r="R12" s="211">
        <v>15473.22</v>
      </c>
      <c r="S12" s="211">
        <v>16405.394</v>
      </c>
      <c r="T12" s="211">
        <v>17413.702000000001</v>
      </c>
      <c r="U12" s="211">
        <v>18401.989000000001</v>
      </c>
      <c r="V12" s="211">
        <v>19538.504000000001</v>
      </c>
      <c r="W12" s="211"/>
      <c r="X12" s="456">
        <f t="shared" si="7"/>
        <v>6.1760443395548092E-2</v>
      </c>
      <c r="Y12" s="456">
        <f t="shared" si="8"/>
        <v>0.26273031728366836</v>
      </c>
    </row>
    <row r="13" spans="2:29" ht="13" customHeight="1">
      <c r="B13" s="85" t="str">
        <f>IF('Summary | Sumário'!D$6=Names!B$3,Names!AF12,Names!AG12)</f>
        <v>Active clients in the previous period</v>
      </c>
      <c r="C13" s="206">
        <f>C12</f>
        <v>2282.6979999999999</v>
      </c>
      <c r="D13" s="206">
        <f>C13</f>
        <v>2282.6979999999999</v>
      </c>
      <c r="E13" s="206">
        <f>D12</f>
        <v>5252.28</v>
      </c>
      <c r="F13" s="206">
        <f t="shared" ref="F13:V13" si="11">E12</f>
        <v>8826.3289999999997</v>
      </c>
      <c r="G13" s="206">
        <f t="shared" si="11"/>
        <v>12584.404</v>
      </c>
      <c r="H13" s="206">
        <f>D12</f>
        <v>5252.28</v>
      </c>
      <c r="I13" s="206">
        <f t="shared" si="11"/>
        <v>6132.65</v>
      </c>
      <c r="J13" s="206">
        <f t="shared" si="11"/>
        <v>7062.9740000000002</v>
      </c>
      <c r="K13" s="206">
        <f t="shared" si="11"/>
        <v>7966.4520000000002</v>
      </c>
      <c r="L13" s="206">
        <f t="shared" si="11"/>
        <v>8826.3289999999997</v>
      </c>
      <c r="M13" s="206">
        <f t="shared" si="11"/>
        <v>9891.4179999999997</v>
      </c>
      <c r="N13" s="206">
        <f t="shared" si="11"/>
        <v>10716.209000000001</v>
      </c>
      <c r="O13" s="206">
        <f t="shared" si="11"/>
        <v>11649.273999999999</v>
      </c>
      <c r="P13" s="206">
        <f t="shared" si="11"/>
        <v>12584.404</v>
      </c>
      <c r="Q13" s="206">
        <f t="shared" si="11"/>
        <v>13540.567999999999</v>
      </c>
      <c r="R13" s="206">
        <f t="shared" si="11"/>
        <v>14494.906999999999</v>
      </c>
      <c r="S13" s="206">
        <f t="shared" si="11"/>
        <v>15473.22</v>
      </c>
      <c r="T13" s="206">
        <f t="shared" si="11"/>
        <v>16405.394</v>
      </c>
      <c r="U13" s="206">
        <f t="shared" si="11"/>
        <v>17413.702000000001</v>
      </c>
      <c r="V13" s="206">
        <f t="shared" si="11"/>
        <v>18401.989000000001</v>
      </c>
      <c r="W13" s="211"/>
      <c r="X13" s="457">
        <f t="shared" si="7"/>
        <v>5.6753411767354267E-2</v>
      </c>
      <c r="Y13" s="457">
        <f t="shared" si="8"/>
        <v>0.26954860765922839</v>
      </c>
    </row>
    <row r="14" spans="2:29" ht="13" customHeight="1">
      <c r="B14" s="355" t="str">
        <f>IF('Summary | Sumário'!D$6=Names!B$3,Names!AF13,Names!AG13)</f>
        <v>(=) Cost-to-serve (R$)</v>
      </c>
      <c r="C14" s="378">
        <f>C5/C11</f>
        <v>18.74712515371165</v>
      </c>
      <c r="D14" s="378">
        <f t="shared" ref="D14:P14" si="12">D5/D11</f>
        <v>17.830909204132055</v>
      </c>
      <c r="E14" s="378">
        <f t="shared" si="12"/>
        <v>17.409937868948454</v>
      </c>
      <c r="F14" s="378">
        <f t="shared" si="12"/>
        <v>16.574093350746622</v>
      </c>
      <c r="G14" s="378">
        <f t="shared" ref="G14" si="13">G5/G11</f>
        <v>12.852293711960394</v>
      </c>
      <c r="H14" s="378">
        <f t="shared" si="12"/>
        <v>15.873373059532792</v>
      </c>
      <c r="I14" s="378">
        <f t="shared" si="12"/>
        <v>17.183325533777968</v>
      </c>
      <c r="J14" s="378">
        <f t="shared" si="12"/>
        <v>14.438974922927862</v>
      </c>
      <c r="K14" s="378">
        <f t="shared" si="12"/>
        <v>21.197166973408056</v>
      </c>
      <c r="L14" s="378">
        <f t="shared" si="12"/>
        <v>17.504516477667522</v>
      </c>
      <c r="M14" s="378">
        <f t="shared" si="12"/>
        <v>15.659009047475479</v>
      </c>
      <c r="N14" s="378">
        <f t="shared" si="12"/>
        <v>15.811985206549455</v>
      </c>
      <c r="O14" s="378">
        <f t="shared" si="12"/>
        <v>17.144369708964526</v>
      </c>
      <c r="P14" s="378">
        <f t="shared" si="12"/>
        <v>13.841844617734584</v>
      </c>
      <c r="Q14" s="378">
        <f t="shared" ref="Q14:R14" si="14">Q5/Q11</f>
        <v>12.525885414818189</v>
      </c>
      <c r="R14" s="378">
        <f t="shared" si="14"/>
        <v>12.654836511248545</v>
      </c>
      <c r="S14" s="378">
        <f t="shared" ref="S14:T14" si="15">S5/S11</f>
        <v>12.494674203389399</v>
      </c>
      <c r="T14" s="378">
        <f t="shared" si="15"/>
        <v>11.676346720405142</v>
      </c>
      <c r="U14" s="378">
        <f t="shared" ref="U14:V14" si="16">U5/U11</f>
        <v>11.126182837386365</v>
      </c>
      <c r="V14" s="378">
        <f t="shared" si="16"/>
        <v>12.609296798541864</v>
      </c>
      <c r="W14" s="429"/>
      <c r="X14" s="371">
        <f t="shared" si="7"/>
        <v>0.13329944176109687</v>
      </c>
      <c r="Y14" s="371">
        <f t="shared" si="8"/>
        <v>-3.5986014253287513E-3</v>
      </c>
    </row>
    <row r="15" spans="2:29" ht="13" customHeight="1">
      <c r="B15" s="66"/>
    </row>
    <row r="16" spans="2:29" ht="13" customHeight="1">
      <c r="B16" s="74"/>
      <c r="C16" s="214"/>
      <c r="D16" s="214"/>
      <c r="E16" s="214"/>
      <c r="F16" s="214"/>
      <c r="H16" s="214"/>
      <c r="I16" s="214"/>
      <c r="J16" s="214"/>
      <c r="K16" s="214"/>
      <c r="L16" s="214"/>
      <c r="M16" s="214"/>
      <c r="N16" s="214"/>
      <c r="O16" s="214"/>
      <c r="P16" s="214"/>
      <c r="Q16" s="214"/>
      <c r="R16" s="214"/>
      <c r="S16" s="214"/>
      <c r="T16" s="214"/>
      <c r="U16" s="214"/>
    </row>
    <row r="17" spans="1:30" ht="13" customHeight="1">
      <c r="B17" s="75"/>
      <c r="C17" s="215"/>
      <c r="D17" s="215"/>
      <c r="E17" s="215"/>
      <c r="F17" s="215"/>
      <c r="H17" s="215"/>
      <c r="I17" s="215"/>
      <c r="J17" s="215"/>
      <c r="K17" s="215"/>
      <c r="L17" s="215"/>
      <c r="M17" s="215"/>
      <c r="N17" s="215"/>
      <c r="O17" s="215"/>
      <c r="P17" s="215"/>
      <c r="Q17" s="215"/>
      <c r="R17" s="215"/>
      <c r="S17" s="215"/>
      <c r="T17" s="215"/>
      <c r="U17" s="215"/>
    </row>
    <row r="18" spans="1:30" ht="13" customHeight="1">
      <c r="B18" s="76"/>
      <c r="C18" s="211"/>
      <c r="D18" s="211"/>
      <c r="E18" s="211"/>
      <c r="F18" s="211"/>
      <c r="H18" s="211"/>
      <c r="I18" s="211"/>
      <c r="J18" s="211"/>
      <c r="K18" s="211"/>
      <c r="L18" s="211"/>
      <c r="M18" s="211"/>
      <c r="N18" s="211"/>
      <c r="O18" s="211"/>
      <c r="P18" s="211"/>
      <c r="Q18" s="211"/>
      <c r="R18" s="211"/>
      <c r="S18" s="211"/>
      <c r="T18" s="211"/>
      <c r="U18" s="211"/>
    </row>
    <row r="19" spans="1:30" ht="13" customHeight="1">
      <c r="B19" s="65"/>
      <c r="C19" s="207"/>
      <c r="D19" s="207"/>
      <c r="E19" s="207"/>
      <c r="F19" s="207"/>
      <c r="H19" s="207"/>
      <c r="I19" s="207"/>
      <c r="J19" s="207"/>
      <c r="K19" s="207"/>
      <c r="L19" s="207"/>
      <c r="M19" s="207"/>
      <c r="N19" s="207"/>
      <c r="O19" s="207"/>
      <c r="P19" s="207"/>
      <c r="Q19" s="207"/>
      <c r="R19" s="207"/>
      <c r="S19" s="207"/>
      <c r="T19" s="207"/>
      <c r="U19" s="207"/>
    </row>
    <row r="20" spans="1:30" ht="13" customHeight="1">
      <c r="B20" s="65"/>
      <c r="C20" s="207"/>
      <c r="D20" s="207"/>
      <c r="E20" s="207"/>
      <c r="F20" s="207"/>
      <c r="H20" s="207"/>
      <c r="I20" s="207"/>
      <c r="J20" s="207"/>
      <c r="K20" s="207"/>
      <c r="L20" s="207"/>
      <c r="M20" s="207"/>
      <c r="N20" s="207"/>
      <c r="O20" s="207"/>
      <c r="P20" s="207"/>
      <c r="Q20" s="207"/>
      <c r="R20" s="207"/>
      <c r="S20" s="207"/>
      <c r="T20" s="207"/>
      <c r="U20" s="207"/>
    </row>
    <row r="21" spans="1:30" ht="13" customHeight="1">
      <c r="B21" s="65"/>
      <c r="C21" s="207"/>
      <c r="D21" s="207"/>
      <c r="E21" s="207"/>
      <c r="F21" s="207"/>
      <c r="H21" s="207"/>
      <c r="I21" s="207"/>
      <c r="J21" s="207"/>
      <c r="K21" s="207"/>
      <c r="L21" s="207"/>
      <c r="M21" s="207"/>
      <c r="N21" s="207"/>
      <c r="O21" s="207"/>
      <c r="P21" s="207"/>
      <c r="Q21" s="207"/>
      <c r="R21" s="207"/>
      <c r="S21" s="207"/>
      <c r="T21" s="207"/>
      <c r="U21" s="207"/>
    </row>
    <row r="22" spans="1:30" ht="13" customHeight="1">
      <c r="B22" s="77"/>
      <c r="C22" s="216"/>
      <c r="D22" s="216"/>
      <c r="E22" s="216"/>
      <c r="F22" s="216"/>
      <c r="H22" s="216"/>
      <c r="I22" s="216"/>
      <c r="J22" s="216"/>
      <c r="K22" s="216"/>
      <c r="L22" s="216"/>
      <c r="M22" s="216"/>
      <c r="N22" s="216"/>
      <c r="O22" s="216"/>
      <c r="P22" s="216"/>
      <c r="Q22" s="216"/>
      <c r="R22" s="216"/>
      <c r="S22" s="216"/>
      <c r="T22" s="216"/>
      <c r="U22" s="216"/>
    </row>
    <row r="23" spans="1:30" ht="13" customHeight="1">
      <c r="B23" s="67"/>
      <c r="C23" s="207"/>
      <c r="D23" s="207"/>
      <c r="E23" s="207"/>
      <c r="F23" s="207"/>
      <c r="H23" s="207"/>
      <c r="I23" s="207"/>
      <c r="J23" s="207"/>
      <c r="K23" s="207"/>
      <c r="L23" s="207"/>
      <c r="M23" s="207"/>
      <c r="N23" s="207"/>
      <c r="O23" s="207"/>
      <c r="P23" s="207"/>
      <c r="Q23" s="207"/>
      <c r="R23" s="207"/>
      <c r="S23" s="207"/>
      <c r="T23" s="207"/>
      <c r="U23" s="207"/>
    </row>
    <row r="24" spans="1:30" ht="13" customHeight="1">
      <c r="B24" s="65"/>
      <c r="C24" s="207"/>
      <c r="D24" s="207"/>
      <c r="E24" s="207"/>
      <c r="F24" s="207"/>
      <c r="H24" s="207"/>
      <c r="I24" s="207"/>
      <c r="J24" s="207"/>
      <c r="K24" s="207"/>
      <c r="L24" s="207"/>
      <c r="M24" s="207"/>
      <c r="N24" s="207"/>
      <c r="O24" s="207"/>
      <c r="P24" s="207"/>
      <c r="Q24" s="207"/>
      <c r="R24" s="207"/>
      <c r="S24" s="207"/>
      <c r="T24" s="207"/>
      <c r="U24" s="207"/>
    </row>
    <row r="25" spans="1:30" ht="13" customHeight="1">
      <c r="B25" s="65"/>
      <c r="C25" s="207"/>
      <c r="D25" s="207"/>
      <c r="E25" s="207"/>
      <c r="F25" s="207"/>
      <c r="H25" s="207"/>
      <c r="I25" s="207"/>
      <c r="J25" s="207"/>
      <c r="K25" s="207"/>
      <c r="L25" s="207"/>
      <c r="M25" s="207"/>
      <c r="N25" s="207"/>
      <c r="O25" s="207"/>
      <c r="P25" s="207"/>
      <c r="Q25" s="207"/>
      <c r="R25" s="207"/>
      <c r="S25" s="207"/>
      <c r="T25" s="207"/>
      <c r="U25" s="207"/>
    </row>
    <row r="26" spans="1:30" ht="13" customHeight="1">
      <c r="B26" s="68"/>
      <c r="C26" s="207"/>
      <c r="D26" s="207"/>
      <c r="E26" s="207"/>
      <c r="F26" s="207"/>
      <c r="H26" s="207"/>
      <c r="I26" s="207"/>
      <c r="J26" s="207"/>
      <c r="K26" s="207"/>
      <c r="L26" s="207"/>
      <c r="M26" s="207"/>
      <c r="N26" s="207"/>
      <c r="O26" s="207"/>
      <c r="P26" s="207"/>
      <c r="Q26" s="207"/>
      <c r="R26" s="207"/>
      <c r="S26" s="207"/>
      <c r="T26" s="207"/>
      <c r="U26" s="207"/>
    </row>
    <row r="27" spans="1:30" ht="13" customHeight="1">
      <c r="B27" s="69"/>
      <c r="C27" s="207"/>
      <c r="D27" s="207"/>
      <c r="E27" s="207"/>
      <c r="F27" s="207"/>
      <c r="H27" s="207"/>
      <c r="I27" s="207"/>
      <c r="J27" s="207"/>
      <c r="K27" s="207"/>
      <c r="L27" s="207"/>
      <c r="M27" s="207"/>
      <c r="N27" s="207"/>
      <c r="O27" s="207"/>
      <c r="P27" s="207"/>
      <c r="Q27" s="207"/>
      <c r="R27" s="207"/>
      <c r="S27" s="207"/>
      <c r="T27" s="207"/>
      <c r="U27" s="207"/>
    </row>
    <row r="28" spans="1:30" ht="13" customHeight="1">
      <c r="B28" s="69"/>
      <c r="C28" s="207"/>
      <c r="D28" s="207"/>
      <c r="E28" s="207"/>
      <c r="F28" s="207"/>
      <c r="H28" s="207"/>
      <c r="I28" s="207"/>
      <c r="J28" s="207"/>
      <c r="K28" s="207"/>
      <c r="L28" s="207"/>
      <c r="M28" s="207"/>
      <c r="N28" s="207"/>
      <c r="O28" s="207"/>
      <c r="P28" s="207"/>
      <c r="Q28" s="207"/>
      <c r="R28" s="207"/>
      <c r="S28" s="207"/>
      <c r="T28" s="207"/>
      <c r="U28" s="207"/>
    </row>
    <row r="29" spans="1:30" ht="13" customHeight="1">
      <c r="B29" s="67"/>
      <c r="C29" s="207"/>
      <c r="D29" s="207"/>
      <c r="E29" s="207"/>
      <c r="F29" s="207"/>
      <c r="H29" s="207"/>
      <c r="I29" s="207"/>
      <c r="J29" s="207"/>
      <c r="K29" s="207"/>
      <c r="L29" s="207"/>
      <c r="M29" s="207"/>
      <c r="N29" s="207"/>
      <c r="O29" s="207"/>
      <c r="P29" s="207"/>
      <c r="Q29" s="207"/>
      <c r="R29" s="207"/>
      <c r="S29" s="207"/>
      <c r="T29" s="207"/>
      <c r="U29" s="207"/>
    </row>
    <row r="30" spans="1:30" ht="13" customHeight="1">
      <c r="B30" s="15"/>
    </row>
    <row r="32" spans="1:30" s="136" customFormat="1" ht="13" customHeight="1">
      <c r="A32" s="135"/>
      <c r="B32" s="4"/>
      <c r="G32" s="135"/>
      <c r="V32" s="135"/>
      <c r="W32" s="135"/>
      <c r="X32" s="135"/>
      <c r="Y32" s="135"/>
      <c r="Z32" s="135"/>
      <c r="AA32" s="135"/>
      <c r="AB32" s="135"/>
      <c r="AC32" s="135"/>
      <c r="AD32" s="135"/>
    </row>
  </sheetData>
  <sheetProtection algorithmName="SHA-512" hashValue="ftrZmSm2dJMZ1zysrcGCVesJ2aq4MhUw0LN5tQQpym8vPepsJLwo2rb+yLeQYDttGJJRwj82ZIiGUqoz6FA4wQ==" saltValue="gxSFPhqSLLaIiYPNOfPA6Q=="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ignoredErrors>
    <ignoredError sqref="H11:P11 H13 C11:F11" formula="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1B5F-B07D-9545-B96E-2FDDC6A4331C}">
  <sheetPr>
    <tabColor theme="5" tint="0.59999389629810485"/>
  </sheetPr>
  <dimension ref="A1:AD58"/>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6" customWidth="1"/>
    <col min="23" max="23" width="5.83203125" style="136" customWidth="1"/>
    <col min="24" max="25" width="10.83203125" style="136" customWidth="1"/>
    <col min="26" max="27" width="10.83203125" style="135"/>
    <col min="28" max="28" width="21.1640625" style="135" bestFit="1" customWidth="1"/>
    <col min="29" max="16384" width="10.83203125" style="135"/>
  </cols>
  <sheetData>
    <row r="1" spans="2:29" ht="13" customHeight="1">
      <c r="Z1" s="136"/>
    </row>
    <row r="2" spans="2:29" s="10" customFormat="1" ht="13" customHeight="1">
      <c r="B2" s="319" t="str">
        <f>IF('Summary | Sumário'!D$6=Names!B$3,Names!AH1,Names!AI1)</f>
        <v>Monthly ARPAC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2:29" ht="13" customHeight="1">
      <c r="B3" s="49"/>
      <c r="C3" s="178"/>
      <c r="D3" s="178"/>
      <c r="E3" s="178"/>
      <c r="F3" s="178"/>
      <c r="G3" s="178"/>
      <c r="H3" s="178"/>
      <c r="I3" s="178"/>
      <c r="J3" s="178"/>
      <c r="K3" s="178"/>
      <c r="L3" s="178"/>
      <c r="M3" s="178"/>
      <c r="N3" s="178"/>
      <c r="O3" s="178"/>
      <c r="P3" s="178"/>
      <c r="Q3" s="178"/>
      <c r="R3" s="178"/>
      <c r="S3" s="178"/>
      <c r="T3" s="178"/>
      <c r="U3" s="178"/>
      <c r="V3" s="178"/>
      <c r="W3" s="178"/>
      <c r="X3" s="178"/>
      <c r="Y3" s="178"/>
      <c r="Z3" s="147"/>
    </row>
    <row r="4" spans="2:29" ht="13" customHeight="1">
      <c r="B4" s="5" t="str">
        <f>IF('Summary | Sumário'!D$6=Names!B$3,Names!AH3,Names!AI3)</f>
        <v>ARPAC (gross of cost of funding)</v>
      </c>
      <c r="C4" s="205"/>
      <c r="D4" s="205"/>
      <c r="E4" s="205"/>
      <c r="F4" s="205"/>
      <c r="G4" s="205"/>
      <c r="H4" s="205"/>
      <c r="I4" s="205"/>
      <c r="J4" s="205"/>
      <c r="K4" s="205"/>
      <c r="L4" s="205"/>
      <c r="M4" s="205"/>
      <c r="N4" s="205"/>
      <c r="O4" s="205"/>
      <c r="P4" s="205"/>
      <c r="Q4" s="205"/>
      <c r="R4" s="205"/>
      <c r="S4" s="205"/>
      <c r="T4" s="205"/>
      <c r="U4" s="205"/>
      <c r="V4" s="205"/>
      <c r="W4" s="214"/>
      <c r="X4" s="205"/>
      <c r="Y4" s="205"/>
    </row>
    <row r="5" spans="2:29" ht="13" customHeight="1">
      <c r="B5" s="78" t="str">
        <f>IF('Summary | Sumário'!D$6=Names!B$3,Names!AH4,Names!AI4)</f>
        <v>Monthly average of total gross revenues</v>
      </c>
      <c r="C5" s="206">
        <f>C6/12</f>
        <v>85464</v>
      </c>
      <c r="D5" s="206">
        <f t="shared" ref="D5:E5" si="0">D6/12</f>
        <v>110608.40793166666</v>
      </c>
      <c r="E5" s="206">
        <f t="shared" si="0"/>
        <v>259727.10383333333</v>
      </c>
      <c r="F5" s="206">
        <f>F6/12</f>
        <v>498851.50683333329</v>
      </c>
      <c r="G5" s="206">
        <f>G6/12</f>
        <v>667684.5</v>
      </c>
      <c r="H5" s="206">
        <f>H6/3</f>
        <v>181362.19833333333</v>
      </c>
      <c r="I5" s="206">
        <f t="shared" ref="I5:V5" si="1">I6/3</f>
        <v>211899.91700000002</v>
      </c>
      <c r="J5" s="206">
        <f t="shared" si="1"/>
        <v>279111.62666666665</v>
      </c>
      <c r="K5" s="206">
        <f t="shared" si="1"/>
        <v>366534.34</v>
      </c>
      <c r="L5" s="206">
        <f t="shared" si="1"/>
        <v>427116.54399999999</v>
      </c>
      <c r="M5" s="206">
        <f t="shared" si="1"/>
        <v>487088.5456666667</v>
      </c>
      <c r="N5" s="206">
        <f t="shared" si="1"/>
        <v>513268.57700000005</v>
      </c>
      <c r="O5" s="206">
        <f t="shared" si="1"/>
        <v>567932.36066666665</v>
      </c>
      <c r="P5" s="206">
        <f t="shared" si="1"/>
        <v>599943.60733333335</v>
      </c>
      <c r="Q5" s="206">
        <f t="shared" si="1"/>
        <v>646180.66666666663</v>
      </c>
      <c r="R5" s="206">
        <f t="shared" si="1"/>
        <v>714488.52967333328</v>
      </c>
      <c r="S5" s="206">
        <f t="shared" si="1"/>
        <v>732315.3963266667</v>
      </c>
      <c r="T5" s="206">
        <f t="shared" si="1"/>
        <v>763558.74630672485</v>
      </c>
      <c r="U5" s="206">
        <f t="shared" si="1"/>
        <v>801285.82146920683</v>
      </c>
      <c r="V5" s="206">
        <f t="shared" si="1"/>
        <v>894724.22237290209</v>
      </c>
      <c r="W5" s="211"/>
      <c r="X5" s="457">
        <f>V5/U5-1</f>
        <v>0.1166105756524809</v>
      </c>
      <c r="Y5" s="457">
        <f>V5/R5-1</f>
        <v>0.25225834315628992</v>
      </c>
    </row>
    <row r="6" spans="2:29" ht="13" customHeight="1">
      <c r="B6" s="56" t="str">
        <f>IF('Summary | Sumário'!D$6=Names!B$3,Names!AH5,Names!AI5)</f>
        <v>Total gross revenues</v>
      </c>
      <c r="C6" s="211">
        <f t="shared" ref="C6:P6" si="2">SUM(C7:C11)</f>
        <v>1025568</v>
      </c>
      <c r="D6" s="211">
        <f t="shared" si="2"/>
        <v>1327300.89518</v>
      </c>
      <c r="E6" s="211">
        <f t="shared" si="2"/>
        <v>3116725.2459999998</v>
      </c>
      <c r="F6" s="211">
        <f t="shared" si="2"/>
        <v>5986218.0819999995</v>
      </c>
      <c r="G6" s="211">
        <f t="shared" ref="G6" si="3">SUM(G7:G11)</f>
        <v>8012214</v>
      </c>
      <c r="H6" s="211">
        <f t="shared" si="2"/>
        <v>544086.59499999997</v>
      </c>
      <c r="I6" s="211">
        <f t="shared" si="2"/>
        <v>635699.75100000005</v>
      </c>
      <c r="J6" s="211">
        <f t="shared" si="2"/>
        <v>837334.88</v>
      </c>
      <c r="K6" s="211">
        <f t="shared" si="2"/>
        <v>1099603.02</v>
      </c>
      <c r="L6" s="211">
        <f t="shared" si="2"/>
        <v>1281349.632</v>
      </c>
      <c r="M6" s="211">
        <f t="shared" si="2"/>
        <v>1461265.6370000001</v>
      </c>
      <c r="N6" s="211">
        <f t="shared" si="2"/>
        <v>1539805.7310000001</v>
      </c>
      <c r="O6" s="211">
        <f t="shared" si="2"/>
        <v>1703797.0819999999</v>
      </c>
      <c r="P6" s="211">
        <f t="shared" si="2"/>
        <v>1799830.8220000002</v>
      </c>
      <c r="Q6" s="211">
        <f t="shared" ref="Q6:V6" si="4">SUM(Q7:Q12)</f>
        <v>1938542</v>
      </c>
      <c r="R6" s="211">
        <f t="shared" si="4"/>
        <v>2143465.5890199998</v>
      </c>
      <c r="S6" s="211">
        <f t="shared" si="4"/>
        <v>2196946.1889800001</v>
      </c>
      <c r="T6" s="211">
        <f t="shared" si="4"/>
        <v>2290676.2389201745</v>
      </c>
      <c r="U6" s="211">
        <f t="shared" si="4"/>
        <v>2403857.4644076205</v>
      </c>
      <c r="V6" s="211">
        <f t="shared" si="4"/>
        <v>2684172.6671187063</v>
      </c>
      <c r="W6" s="211"/>
      <c r="X6" s="456">
        <f t="shared" ref="X6:X16" si="5">V6/U6-1</f>
        <v>0.1166105756524809</v>
      </c>
      <c r="Y6" s="456">
        <f t="shared" ref="Y6:Y16" si="6">V6/R6-1</f>
        <v>0.25225834315628992</v>
      </c>
    </row>
    <row r="7" spans="2:29" ht="13" customHeight="1">
      <c r="B7" s="70" t="str">
        <f>IF('Summary | Sumário'!D$6=Names!B$3,Names!AH6,Names!AI6)</f>
        <v>Interest income</v>
      </c>
      <c r="C7" s="206">
        <v>775515</v>
      </c>
      <c r="D7" s="206">
        <v>942655.89517999999</v>
      </c>
      <c r="E7" s="206">
        <v>1435428.2459999998</v>
      </c>
      <c r="F7" s="206">
        <v>2802658.0819999995</v>
      </c>
      <c r="G7" s="206">
        <v>4549827</v>
      </c>
      <c r="H7" s="206">
        <v>289003.935</v>
      </c>
      <c r="I7" s="206">
        <v>305659.75100000005</v>
      </c>
      <c r="J7" s="206">
        <v>367405.88</v>
      </c>
      <c r="K7" s="206">
        <v>473357.68</v>
      </c>
      <c r="L7" s="206">
        <v>521159.63199999993</v>
      </c>
      <c r="M7" s="206">
        <v>622312.6370000001</v>
      </c>
      <c r="N7" s="206">
        <v>788342.73100000003</v>
      </c>
      <c r="O7" s="206">
        <v>870843.08199999994</v>
      </c>
      <c r="P7" s="206">
        <v>1012926.822</v>
      </c>
      <c r="Q7" s="206">
        <v>1151105</v>
      </c>
      <c r="R7" s="206">
        <v>1106935.08874</v>
      </c>
      <c r="S7" s="206">
        <v>1278860.08926</v>
      </c>
      <c r="T7" s="206">
        <v>1217530.9999999998</v>
      </c>
      <c r="U7" s="206">
        <v>1172414.1410000001</v>
      </c>
      <c r="V7" s="206">
        <v>1412223.0789999999</v>
      </c>
      <c r="W7" s="211"/>
      <c r="X7" s="457">
        <f t="shared" si="5"/>
        <v>0.20454285701079744</v>
      </c>
      <c r="Y7" s="457">
        <f t="shared" si="6"/>
        <v>0.27579574752436709</v>
      </c>
    </row>
    <row r="8" spans="2:29" ht="13" customHeight="1">
      <c r="B8" s="65" t="str">
        <f>IF('Summary | Sumário'!D$6=Names!B$3,Names!AH7,Names!AI7)</f>
        <v>Income from securities and derivatives</v>
      </c>
      <c r="C8" s="207">
        <v>66753</v>
      </c>
      <c r="D8" s="207">
        <v>-42358</v>
      </c>
      <c r="E8" s="207">
        <v>697283</v>
      </c>
      <c r="F8" s="207">
        <v>1505621</v>
      </c>
      <c r="G8" s="207">
        <v>1545835</v>
      </c>
      <c r="H8" s="207">
        <v>68136</v>
      </c>
      <c r="I8" s="207">
        <v>82897</v>
      </c>
      <c r="J8" s="207">
        <v>218551</v>
      </c>
      <c r="K8" s="207">
        <v>327699</v>
      </c>
      <c r="L8" s="207">
        <v>359022</v>
      </c>
      <c r="M8" s="207">
        <v>403816</v>
      </c>
      <c r="N8" s="207">
        <v>346923</v>
      </c>
      <c r="O8" s="207">
        <v>395860</v>
      </c>
      <c r="P8" s="207">
        <v>371406</v>
      </c>
      <c r="Q8" s="207">
        <v>343176</v>
      </c>
      <c r="R8" s="207">
        <v>482020</v>
      </c>
      <c r="S8" s="207">
        <v>349233</v>
      </c>
      <c r="T8" s="207">
        <v>515381</v>
      </c>
      <c r="U8" s="207">
        <v>629895.19700000004</v>
      </c>
      <c r="V8" s="207">
        <v>558156.91700000002</v>
      </c>
      <c r="W8" s="207"/>
      <c r="X8" s="496">
        <f t="shared" si="5"/>
        <v>-0.11388923163991049</v>
      </c>
      <c r="Y8" s="496">
        <f t="shared" si="6"/>
        <v>0.15795385461184197</v>
      </c>
    </row>
    <row r="9" spans="2:29" ht="13" customHeight="1">
      <c r="B9" s="70" t="str">
        <f>IF('Summary | Sumário'!D$6=Names!B$3,Names!AH8,Names!AI8)</f>
        <v xml:space="preserve">Revenues from services and commissions </v>
      </c>
      <c r="C9" s="208">
        <v>130457</v>
      </c>
      <c r="D9" s="208">
        <v>257145</v>
      </c>
      <c r="E9" s="208">
        <v>542569</v>
      </c>
      <c r="F9" s="208">
        <v>968039</v>
      </c>
      <c r="G9" s="208">
        <v>1304382</v>
      </c>
      <c r="H9" s="208">
        <v>100965</v>
      </c>
      <c r="I9" s="208">
        <v>110911</v>
      </c>
      <c r="J9" s="208">
        <v>149283</v>
      </c>
      <c r="K9" s="208">
        <v>181410</v>
      </c>
      <c r="L9" s="208">
        <v>206219</v>
      </c>
      <c r="M9" s="208">
        <v>238515</v>
      </c>
      <c r="N9" s="208">
        <v>250433</v>
      </c>
      <c r="O9" s="208">
        <v>272872</v>
      </c>
      <c r="P9" s="208">
        <v>282353</v>
      </c>
      <c r="Q9" s="208">
        <v>298524</v>
      </c>
      <c r="R9" s="208">
        <v>347780</v>
      </c>
      <c r="S9" s="208">
        <v>375724.6</v>
      </c>
      <c r="T9" s="208">
        <v>374339.16833017452</v>
      </c>
      <c r="U9" s="208">
        <v>397142.87599999999</v>
      </c>
      <c r="V9" s="208">
        <v>467666.772</v>
      </c>
      <c r="W9" s="207"/>
      <c r="X9" s="497">
        <f t="shared" si="5"/>
        <v>0.17757814696391527</v>
      </c>
      <c r="Y9" s="497">
        <f t="shared" si="6"/>
        <v>0.34472014491920189</v>
      </c>
    </row>
    <row r="10" spans="2:29" ht="13" customHeight="1">
      <c r="B10" s="65" t="str">
        <f>IF('Summary | Sumário'!D$6=Names!B$3,Names!AH10,Names!AI10)</f>
        <v>Other revenues</v>
      </c>
      <c r="C10" s="207">
        <v>52843</v>
      </c>
      <c r="D10" s="207">
        <v>109882</v>
      </c>
      <c r="E10" s="207">
        <v>190082</v>
      </c>
      <c r="F10" s="207">
        <v>388462</v>
      </c>
      <c r="G10" s="207">
        <v>375688</v>
      </c>
      <c r="H10" s="207">
        <v>47499</v>
      </c>
      <c r="I10" s="207">
        <v>76048</v>
      </c>
      <c r="J10" s="207">
        <v>36287</v>
      </c>
      <c r="K10" s="207">
        <v>30248</v>
      </c>
      <c r="L10" s="207">
        <v>112407</v>
      </c>
      <c r="M10" s="207">
        <v>111372</v>
      </c>
      <c r="N10" s="207">
        <v>77687</v>
      </c>
      <c r="O10" s="207">
        <v>86996</v>
      </c>
      <c r="P10" s="207">
        <v>65877</v>
      </c>
      <c r="Q10" s="207">
        <v>81158</v>
      </c>
      <c r="R10" s="207">
        <v>131429.50028000001</v>
      </c>
      <c r="S10" s="207">
        <v>97223.499719999993</v>
      </c>
      <c r="T10" s="207">
        <v>89957</v>
      </c>
      <c r="U10" s="207">
        <v>84728.682927619986</v>
      </c>
      <c r="V10" s="207">
        <v>111387.30948870655</v>
      </c>
      <c r="W10" s="207"/>
      <c r="X10" s="496">
        <f t="shared" si="5"/>
        <v>0.31463520545763557</v>
      </c>
      <c r="Y10" s="496">
        <f t="shared" si="6"/>
        <v>-0.15249385220665967</v>
      </c>
    </row>
    <row r="11" spans="2:29" ht="13" customHeight="1">
      <c r="B11" s="70" t="str">
        <f>IF('Summary | Sumário'!D$6=Names!B$3,Names!AH11,Names!AI11)</f>
        <v>(+) Cashback expenses</v>
      </c>
      <c r="C11" s="208">
        <v>0</v>
      </c>
      <c r="D11" s="208">
        <v>59976</v>
      </c>
      <c r="E11" s="208">
        <v>251363</v>
      </c>
      <c r="F11" s="208">
        <v>321438</v>
      </c>
      <c r="G11" s="208">
        <v>236482</v>
      </c>
      <c r="H11" s="208">
        <v>38482.660000000003</v>
      </c>
      <c r="I11" s="208">
        <v>60184</v>
      </c>
      <c r="J11" s="208">
        <v>65808</v>
      </c>
      <c r="K11" s="208">
        <v>86888.34</v>
      </c>
      <c r="L11" s="208">
        <v>82542</v>
      </c>
      <c r="M11" s="208">
        <v>85250</v>
      </c>
      <c r="N11" s="208">
        <v>76420</v>
      </c>
      <c r="O11" s="208">
        <v>77226</v>
      </c>
      <c r="P11" s="208">
        <v>67268</v>
      </c>
      <c r="Q11" s="208">
        <v>58005</v>
      </c>
      <c r="R11" s="208">
        <v>48391</v>
      </c>
      <c r="S11" s="208">
        <v>62818</v>
      </c>
      <c r="T11" s="208">
        <v>63381.686999999998</v>
      </c>
      <c r="U11" s="208">
        <v>91044.550029999999</v>
      </c>
      <c r="V11" s="208">
        <v>104280.08586999998</v>
      </c>
      <c r="W11" s="207"/>
      <c r="X11" s="497">
        <f t="shared" si="5"/>
        <v>0.1453742792472339</v>
      </c>
      <c r="Y11" s="497">
        <f t="shared" si="6"/>
        <v>1.1549479421793305</v>
      </c>
    </row>
    <row r="12" spans="2:29" ht="13" customHeight="1">
      <c r="B12" s="65" t="str">
        <f>IF('Summary | Sumário'!D$6=Names!B$3,Names!AH32,Names!AI32)</f>
        <v>(+) Inter rewards</v>
      </c>
      <c r="C12" s="207">
        <v>0</v>
      </c>
      <c r="D12" s="207">
        <v>0</v>
      </c>
      <c r="E12" s="207">
        <v>0</v>
      </c>
      <c r="F12" s="207">
        <v>0</v>
      </c>
      <c r="G12" s="207">
        <v>66571</v>
      </c>
      <c r="H12" s="207">
        <v>0</v>
      </c>
      <c r="I12" s="207">
        <v>0</v>
      </c>
      <c r="J12" s="207">
        <v>0</v>
      </c>
      <c r="K12" s="207">
        <v>0</v>
      </c>
      <c r="L12" s="207">
        <v>0</v>
      </c>
      <c r="M12" s="207">
        <v>0</v>
      </c>
      <c r="N12" s="207">
        <v>0</v>
      </c>
      <c r="O12" s="207">
        <v>0</v>
      </c>
      <c r="P12" s="207">
        <v>0</v>
      </c>
      <c r="Q12" s="207">
        <v>6574</v>
      </c>
      <c r="R12" s="207">
        <v>26910</v>
      </c>
      <c r="S12" s="207">
        <v>33087</v>
      </c>
      <c r="T12" s="207">
        <v>30086.383590000005</v>
      </c>
      <c r="U12" s="207">
        <v>28632.017450000003</v>
      </c>
      <c r="V12" s="207">
        <v>30458.503759999989</v>
      </c>
      <c r="W12" s="207"/>
      <c r="X12" s="496">
        <f t="shared" si="5"/>
        <v>6.3791743393198708E-2</v>
      </c>
      <c r="Y12" s="496">
        <f t="shared" si="6"/>
        <v>0.13186561724266022</v>
      </c>
    </row>
    <row r="13" spans="2:29" ht="13" customHeight="1">
      <c r="B13" s="55" t="str">
        <f>IF('Summary | Sumário'!D$6=Names!B$3,Names!AH12,Names!AI12)</f>
        <v>(÷) Average of active clients</v>
      </c>
      <c r="C13" s="206">
        <f>C14</f>
        <v>2282.6979999999999</v>
      </c>
      <c r="D13" s="206">
        <f>AVERAGE(C14:D14)</f>
        <v>3767.4889999999996</v>
      </c>
      <c r="E13" s="206">
        <f t="shared" ref="E13:G13" si="7">AVERAGE(D14:E14)</f>
        <v>7039.3045000000002</v>
      </c>
      <c r="F13" s="206">
        <f t="shared" si="7"/>
        <v>10705.3665</v>
      </c>
      <c r="G13" s="206">
        <f t="shared" si="7"/>
        <v>14494.899000000001</v>
      </c>
      <c r="H13" s="206">
        <f>AVERAGE(H14,D14)</f>
        <v>5692.4650000000001</v>
      </c>
      <c r="I13" s="206">
        <f>AVERAGE(H14:I14)</f>
        <v>6597.8119999999999</v>
      </c>
      <c r="J13" s="206">
        <f t="shared" ref="J13:P13" si="8">AVERAGE(I14:J14)</f>
        <v>7514.7129999999997</v>
      </c>
      <c r="K13" s="206">
        <f t="shared" si="8"/>
        <v>8396.3904999999995</v>
      </c>
      <c r="L13" s="206">
        <f t="shared" si="8"/>
        <v>9358.8734999999997</v>
      </c>
      <c r="M13" s="206">
        <f t="shared" si="8"/>
        <v>10303.8135</v>
      </c>
      <c r="N13" s="206">
        <f t="shared" si="8"/>
        <v>11182.7415</v>
      </c>
      <c r="O13" s="206">
        <f t="shared" si="8"/>
        <v>12116.839</v>
      </c>
      <c r="P13" s="206">
        <f t="shared" si="8"/>
        <v>13062.486000000001</v>
      </c>
      <c r="Q13" s="206">
        <f t="shared" ref="Q13:V13" si="9">AVERAGE(P14:Q14)</f>
        <v>14017.737499999999</v>
      </c>
      <c r="R13" s="206">
        <f t="shared" si="9"/>
        <v>14984.0635</v>
      </c>
      <c r="S13" s="206">
        <f t="shared" si="9"/>
        <v>15939.307000000001</v>
      </c>
      <c r="T13" s="206">
        <f t="shared" si="9"/>
        <v>16909.548000000003</v>
      </c>
      <c r="U13" s="206">
        <f t="shared" si="9"/>
        <v>17907.845500000003</v>
      </c>
      <c r="V13" s="206">
        <f t="shared" si="9"/>
        <v>18970.246500000001</v>
      </c>
      <c r="W13" s="211"/>
      <c r="X13" s="457">
        <f t="shared" si="5"/>
        <v>5.9326008815521636E-2</v>
      </c>
      <c r="Y13" s="457">
        <f t="shared" si="6"/>
        <v>0.26602817052930949</v>
      </c>
    </row>
    <row r="14" spans="2:29" ht="13" customHeight="1">
      <c r="B14" s="57" t="str">
        <f>IF('Summary | Sumário'!D$6=Names!B$3,Names!AH13,Names!AI13)</f>
        <v>Active clients</v>
      </c>
      <c r="C14" s="211">
        <v>2282.6979999999999</v>
      </c>
      <c r="D14" s="211">
        <v>5252.28</v>
      </c>
      <c r="E14" s="211">
        <v>8826.3289999999997</v>
      </c>
      <c r="F14" s="211">
        <v>12584.404</v>
      </c>
      <c r="G14" s="211">
        <f>S14</f>
        <v>16405.394</v>
      </c>
      <c r="H14" s="211">
        <v>6132.65</v>
      </c>
      <c r="I14" s="211">
        <v>7062.9740000000002</v>
      </c>
      <c r="J14" s="211">
        <v>7966.4520000000002</v>
      </c>
      <c r="K14" s="211">
        <v>8826.3289999999997</v>
      </c>
      <c r="L14" s="211">
        <v>9891.4179999999997</v>
      </c>
      <c r="M14" s="211">
        <v>10716.209000000001</v>
      </c>
      <c r="N14" s="211">
        <v>11649.273999999999</v>
      </c>
      <c r="O14" s="211">
        <v>12584.404</v>
      </c>
      <c r="P14" s="211">
        <v>13540.567999999999</v>
      </c>
      <c r="Q14" s="211">
        <v>14494.906999999999</v>
      </c>
      <c r="R14" s="211">
        <v>15473.22</v>
      </c>
      <c r="S14" s="211">
        <v>16405.394</v>
      </c>
      <c r="T14" s="211">
        <v>17413.702000000001</v>
      </c>
      <c r="U14" s="211">
        <v>18401.989000000001</v>
      </c>
      <c r="V14" s="211">
        <v>19538.504000000001</v>
      </c>
      <c r="W14" s="211"/>
      <c r="X14" s="456">
        <f t="shared" si="5"/>
        <v>6.1760443395548092E-2</v>
      </c>
      <c r="Y14" s="456">
        <f t="shared" si="6"/>
        <v>0.26273031728366836</v>
      </c>
    </row>
    <row r="15" spans="2:29" ht="13" customHeight="1">
      <c r="B15" s="62" t="str">
        <f>IF('Summary | Sumário'!D$6=Names!B$3,Names!AH14,Names!AI14)</f>
        <v>Active clients in the previus period</v>
      </c>
      <c r="C15" s="206">
        <f>C14</f>
        <v>2282.6979999999999</v>
      </c>
      <c r="D15" s="206">
        <f>C15</f>
        <v>2282.6979999999999</v>
      </c>
      <c r="E15" s="206">
        <f>D14</f>
        <v>5252.28</v>
      </c>
      <c r="F15" s="206">
        <f t="shared" ref="F15:G15" si="10">E14</f>
        <v>8826.3289999999997</v>
      </c>
      <c r="G15" s="206">
        <f t="shared" si="10"/>
        <v>12584.404</v>
      </c>
      <c r="H15" s="206">
        <f>D14</f>
        <v>5252.28</v>
      </c>
      <c r="I15" s="206">
        <f t="shared" ref="I15" si="11">H14</f>
        <v>6132.65</v>
      </c>
      <c r="J15" s="206">
        <f t="shared" ref="J15" si="12">I14</f>
        <v>7062.9740000000002</v>
      </c>
      <c r="K15" s="206">
        <f t="shared" ref="K15" si="13">J14</f>
        <v>7966.4520000000002</v>
      </c>
      <c r="L15" s="206">
        <f t="shared" ref="L15" si="14">K14</f>
        <v>8826.3289999999997</v>
      </c>
      <c r="M15" s="206">
        <f t="shared" ref="M15" si="15">L14</f>
        <v>9891.4179999999997</v>
      </c>
      <c r="N15" s="206">
        <f t="shared" ref="N15" si="16">M14</f>
        <v>10716.209000000001</v>
      </c>
      <c r="O15" s="206">
        <f t="shared" ref="O15" si="17">N14</f>
        <v>11649.273999999999</v>
      </c>
      <c r="P15" s="206">
        <f t="shared" ref="P15" si="18">O14</f>
        <v>12584.404</v>
      </c>
      <c r="Q15" s="206">
        <f t="shared" ref="Q15:V15" si="19">P14</f>
        <v>13540.567999999999</v>
      </c>
      <c r="R15" s="206">
        <f t="shared" si="19"/>
        <v>14494.906999999999</v>
      </c>
      <c r="S15" s="206">
        <f t="shared" si="19"/>
        <v>15473.22</v>
      </c>
      <c r="T15" s="206">
        <f t="shared" si="19"/>
        <v>16405.394</v>
      </c>
      <c r="U15" s="206">
        <f t="shared" si="19"/>
        <v>17413.702000000001</v>
      </c>
      <c r="V15" s="206">
        <f t="shared" si="19"/>
        <v>18401.989000000001</v>
      </c>
      <c r="W15" s="211"/>
      <c r="X15" s="457">
        <f t="shared" si="5"/>
        <v>5.6753411767354267E-2</v>
      </c>
      <c r="Y15" s="457">
        <f t="shared" si="6"/>
        <v>0.26954860765922839</v>
      </c>
    </row>
    <row r="16" spans="2:29" ht="13" customHeight="1">
      <c r="B16" s="6" t="str">
        <f>IF('Summary | Sumário'!D$6=Names!B$3,Names!AH15,Names!AI15)</f>
        <v>(=) Gross ARPAC (R$)</v>
      </c>
      <c r="C16" s="212">
        <f t="shared" ref="C16:P16" si="20">C5/C13</f>
        <v>37.439906636795584</v>
      </c>
      <c r="D16" s="212">
        <f t="shared" si="20"/>
        <v>29.358654512771416</v>
      </c>
      <c r="E16" s="212">
        <f t="shared" si="20"/>
        <v>36.896699643172603</v>
      </c>
      <c r="F16" s="212">
        <f t="shared" si="20"/>
        <v>46.598265162928641</v>
      </c>
      <c r="G16" s="212">
        <f t="shared" ref="G16" si="21">G5/G13</f>
        <v>46.063411687104541</v>
      </c>
      <c r="H16" s="212">
        <f t="shared" si="20"/>
        <v>31.860046277549941</v>
      </c>
      <c r="I16" s="212">
        <f t="shared" si="20"/>
        <v>32.116695201378882</v>
      </c>
      <c r="J16" s="212">
        <f t="shared" si="20"/>
        <v>37.142020815254909</v>
      </c>
      <c r="K16" s="212">
        <f t="shared" si="20"/>
        <v>43.653798617393988</v>
      </c>
      <c r="L16" s="212">
        <f t="shared" si="20"/>
        <v>45.637602004130095</v>
      </c>
      <c r="M16" s="212">
        <f t="shared" si="20"/>
        <v>47.272647711128187</v>
      </c>
      <c r="N16" s="212">
        <f t="shared" si="20"/>
        <v>45.89827789545167</v>
      </c>
      <c r="O16" s="212">
        <f t="shared" si="20"/>
        <v>46.871330110655649</v>
      </c>
      <c r="P16" s="212">
        <f t="shared" si="20"/>
        <v>45.928746437189162</v>
      </c>
      <c r="Q16" s="212">
        <f t="shared" ref="Q16:V16" si="22">Q5/Q13</f>
        <v>46.097358198258931</v>
      </c>
      <c r="R16" s="212">
        <f t="shared" si="22"/>
        <v>47.683228896709714</v>
      </c>
      <c r="S16" s="212">
        <f t="shared" si="22"/>
        <v>45.943992190292001</v>
      </c>
      <c r="T16" s="212">
        <f t="shared" si="22"/>
        <v>45.155479395825644</v>
      </c>
      <c r="U16" s="212">
        <f t="shared" si="22"/>
        <v>44.744959491034628</v>
      </c>
      <c r="V16" s="212">
        <f t="shared" si="22"/>
        <v>47.164607079454768</v>
      </c>
      <c r="W16" s="429"/>
      <c r="X16" s="498">
        <f t="shared" si="5"/>
        <v>5.4076428181926373E-2</v>
      </c>
      <c r="Y16" s="498">
        <f t="shared" si="6"/>
        <v>-1.0876398877650906E-2</v>
      </c>
    </row>
    <row r="17" spans="2:27" ht="13" customHeight="1">
      <c r="B17" s="72"/>
      <c r="C17" s="210"/>
      <c r="D17" s="210"/>
      <c r="E17" s="210"/>
      <c r="F17" s="210"/>
      <c r="G17" s="210"/>
      <c r="H17" s="210"/>
      <c r="I17" s="210"/>
      <c r="J17" s="210"/>
      <c r="K17" s="210"/>
      <c r="L17" s="210"/>
      <c r="M17" s="210"/>
      <c r="N17" s="210"/>
      <c r="O17" s="210"/>
      <c r="P17" s="210"/>
      <c r="Q17" s="210"/>
      <c r="R17" s="210"/>
      <c r="S17" s="210"/>
      <c r="T17" s="210"/>
      <c r="U17" s="210"/>
      <c r="V17" s="210"/>
      <c r="X17" s="210"/>
      <c r="Y17" s="210"/>
    </row>
    <row r="18" spans="2:27" ht="13" customHeight="1">
      <c r="B18" s="5" t="str">
        <f>IF('Summary | Sumário'!D$6=Names!B$3,Names!AH17,Names!AI17)</f>
        <v>ARPAC (net of cost of funding)</v>
      </c>
      <c r="C18" s="205"/>
      <c r="D18" s="205"/>
      <c r="E18" s="205"/>
      <c r="F18" s="205"/>
      <c r="G18" s="205"/>
      <c r="H18" s="205"/>
      <c r="I18" s="205"/>
      <c r="J18" s="205"/>
      <c r="K18" s="205"/>
      <c r="L18" s="205"/>
      <c r="M18" s="205"/>
      <c r="N18" s="205"/>
      <c r="O18" s="205"/>
      <c r="P18" s="205"/>
      <c r="Q18" s="205"/>
      <c r="R18" s="205"/>
      <c r="S18" s="205"/>
      <c r="T18" s="205"/>
      <c r="U18" s="205"/>
      <c r="V18" s="205"/>
      <c r="W18" s="214"/>
      <c r="X18" s="205"/>
      <c r="Y18" s="205"/>
    </row>
    <row r="19" spans="2:27" ht="13" customHeight="1">
      <c r="B19" s="86" t="str">
        <f>IF('Summary | Sumário'!D$6=Names!B$3,Names!AH18,Names!AI18)</f>
        <v>Monthly average total revenues net of cost of funding</v>
      </c>
      <c r="C19" s="206">
        <f>C20/12</f>
        <v>64070.916666666664</v>
      </c>
      <c r="D19" s="206">
        <f t="shared" ref="D19" si="23">D20/12</f>
        <v>95247.157931666661</v>
      </c>
      <c r="E19" s="206">
        <f t="shared" ref="E19" si="24">E20/12</f>
        <v>214456.93716666664</v>
      </c>
      <c r="F19" s="206">
        <f>F20/12</f>
        <v>334447.3401666666</v>
      </c>
      <c r="G19" s="206">
        <f>G20/12</f>
        <v>432601</v>
      </c>
      <c r="H19" s="206">
        <f>H20/3</f>
        <v>159509.19833333333</v>
      </c>
      <c r="I19" s="206">
        <f t="shared" ref="I19" si="25">I20/3</f>
        <v>183146.25033333336</v>
      </c>
      <c r="J19" s="206">
        <f t="shared" ref="J19" si="26">J20/3</f>
        <v>232915.96</v>
      </c>
      <c r="K19" s="206">
        <f t="shared" ref="K19" si="27">K20/3</f>
        <v>282256.00666666665</v>
      </c>
      <c r="L19" s="206">
        <f t="shared" ref="L19" si="28">L20/3</f>
        <v>314859.54399999999</v>
      </c>
      <c r="M19" s="206">
        <f t="shared" ref="M19" si="29">M20/3</f>
        <v>332074.87900000002</v>
      </c>
      <c r="N19" s="206">
        <f t="shared" ref="N19" si="30">N20/3</f>
        <v>320042.57700000005</v>
      </c>
      <c r="O19" s="206">
        <f t="shared" ref="O19" si="31">O20/3</f>
        <v>370812.36066666665</v>
      </c>
      <c r="P19" s="206">
        <f t="shared" ref="P19:V19" si="32">P20/3</f>
        <v>375686.60733333341</v>
      </c>
      <c r="Q19" s="206">
        <f t="shared" si="32"/>
        <v>415445.33333333331</v>
      </c>
      <c r="R19" s="206">
        <f t="shared" si="32"/>
        <v>457689.19633999997</v>
      </c>
      <c r="S19" s="206">
        <f t="shared" si="32"/>
        <v>481582.7279933333</v>
      </c>
      <c r="T19" s="206">
        <f t="shared" si="32"/>
        <v>509476.44954005815</v>
      </c>
      <c r="U19" s="206">
        <f t="shared" si="32"/>
        <v>543738.28513587348</v>
      </c>
      <c r="V19" s="206">
        <f t="shared" si="32"/>
        <v>616184.98303956876</v>
      </c>
      <c r="W19" s="211"/>
      <c r="X19" s="457">
        <f t="shared" ref="X19:X31" si="33">V19/U19-1</f>
        <v>0.13323817704981322</v>
      </c>
      <c r="Y19" s="457">
        <f t="shared" ref="Y19:Y31" si="34">V19/R19-1</f>
        <v>0.34629566956574664</v>
      </c>
      <c r="AA19" s="657"/>
    </row>
    <row r="20" spans="2:27" ht="13" customHeight="1">
      <c r="B20" s="56" t="str">
        <f>IF('Summary | Sumário'!D$6=Names!B$3,Names!AH19,Names!AI19)</f>
        <v>Total revenues net of cost of funding</v>
      </c>
      <c r="C20" s="211">
        <f t="shared" ref="C20:Q20" si="35">SUM(C21:C27)</f>
        <v>768851</v>
      </c>
      <c r="D20" s="211">
        <f t="shared" si="35"/>
        <v>1142965.89518</v>
      </c>
      <c r="E20" s="211">
        <f t="shared" si="35"/>
        <v>2573483.2459999998</v>
      </c>
      <c r="F20" s="211">
        <f t="shared" si="35"/>
        <v>4013368.0819999995</v>
      </c>
      <c r="G20" s="211">
        <f t="shared" ref="G20" si="36">SUM(G21:G27)</f>
        <v>5191212</v>
      </c>
      <c r="H20" s="211">
        <f t="shared" si="35"/>
        <v>478527.59499999997</v>
      </c>
      <c r="I20" s="211">
        <f t="shared" si="35"/>
        <v>549438.75100000005</v>
      </c>
      <c r="J20" s="211">
        <f t="shared" si="35"/>
        <v>698747.88</v>
      </c>
      <c r="K20" s="211">
        <f t="shared" si="35"/>
        <v>846768.02</v>
      </c>
      <c r="L20" s="211">
        <f t="shared" si="35"/>
        <v>944578.63199999998</v>
      </c>
      <c r="M20" s="211">
        <f t="shared" si="35"/>
        <v>996224.6370000001</v>
      </c>
      <c r="N20" s="211">
        <f t="shared" si="35"/>
        <v>960127.73100000015</v>
      </c>
      <c r="O20" s="211">
        <f t="shared" si="35"/>
        <v>1112437.0819999999</v>
      </c>
      <c r="P20" s="211">
        <f t="shared" si="35"/>
        <v>1127059.8220000002</v>
      </c>
      <c r="Q20" s="211">
        <f t="shared" si="35"/>
        <v>1246336</v>
      </c>
      <c r="R20" s="211">
        <f t="shared" ref="R20:S20" si="37">SUM(R21:R27)</f>
        <v>1373067.5890199998</v>
      </c>
      <c r="S20" s="211">
        <f t="shared" si="37"/>
        <v>1444748.18398</v>
      </c>
      <c r="T20" s="211">
        <f t="shared" ref="T20:U20" si="38">SUM(T21:T27)</f>
        <v>1528429.3486201745</v>
      </c>
      <c r="U20" s="211">
        <f t="shared" si="38"/>
        <v>1631214.8554076203</v>
      </c>
      <c r="V20" s="211">
        <f t="shared" ref="V20" si="39">SUM(V21:V27)</f>
        <v>1848554.9491187064</v>
      </c>
      <c r="W20" s="211"/>
      <c r="X20" s="456">
        <f t="shared" si="33"/>
        <v>0.13323817704981322</v>
      </c>
      <c r="Y20" s="456">
        <f t="shared" si="34"/>
        <v>0.34629566956574687</v>
      </c>
      <c r="AA20" s="657"/>
    </row>
    <row r="21" spans="2:27" ht="13" customHeight="1">
      <c r="B21" s="70" t="str">
        <f>IF('Summary | Sumário'!D$6=Names!B$3,Names!AH20,Names!AI20)</f>
        <v>Interest income</v>
      </c>
      <c r="C21" s="206">
        <v>775515</v>
      </c>
      <c r="D21" s="206">
        <v>942655.89517999999</v>
      </c>
      <c r="E21" s="206">
        <v>1435428.2459999998</v>
      </c>
      <c r="F21" s="206">
        <v>2802658.0819999995</v>
      </c>
      <c r="G21" s="206">
        <v>4549827</v>
      </c>
      <c r="H21" s="206">
        <v>289003.935</v>
      </c>
      <c r="I21" s="206">
        <v>305659.75100000005</v>
      </c>
      <c r="J21" s="206">
        <v>367405.88</v>
      </c>
      <c r="K21" s="206">
        <v>473357.68</v>
      </c>
      <c r="L21" s="206">
        <v>521159.63199999993</v>
      </c>
      <c r="M21" s="206">
        <v>622312.6370000001</v>
      </c>
      <c r="N21" s="206">
        <v>788342.73100000003</v>
      </c>
      <c r="O21" s="206">
        <v>870843.08199999994</v>
      </c>
      <c r="P21" s="206">
        <v>1012926.822</v>
      </c>
      <c r="Q21" s="206">
        <v>1151105</v>
      </c>
      <c r="R21" s="206">
        <v>1106935.08874</v>
      </c>
      <c r="S21" s="206">
        <v>1278860.08926</v>
      </c>
      <c r="T21" s="206">
        <v>1217530.9999999998</v>
      </c>
      <c r="U21" s="206">
        <v>1172414.1410000001</v>
      </c>
      <c r="V21" s="206">
        <v>1412223.0789999999</v>
      </c>
      <c r="W21" s="211"/>
      <c r="X21" s="457">
        <f t="shared" si="33"/>
        <v>0.20454285701079744</v>
      </c>
      <c r="Y21" s="457">
        <f t="shared" si="34"/>
        <v>0.27579574752436709</v>
      </c>
    </row>
    <row r="22" spans="2:27" ht="13" customHeight="1">
      <c r="B22" s="65" t="str">
        <f>IF('Summary | Sumário'!D$6=Names!B$3,Names!AH21,Names!AI21)</f>
        <v>Income from securities and derivatives</v>
      </c>
      <c r="C22" s="207">
        <v>66753</v>
      </c>
      <c r="D22" s="207">
        <v>-42358</v>
      </c>
      <c r="E22" s="207">
        <v>697283</v>
      </c>
      <c r="F22" s="207">
        <v>1505621</v>
      </c>
      <c r="G22" s="207">
        <v>1545835</v>
      </c>
      <c r="H22" s="207">
        <v>68136</v>
      </c>
      <c r="I22" s="207">
        <v>82897</v>
      </c>
      <c r="J22" s="207">
        <v>218551</v>
      </c>
      <c r="K22" s="207">
        <v>327699</v>
      </c>
      <c r="L22" s="207">
        <v>359022</v>
      </c>
      <c r="M22" s="207">
        <v>403816</v>
      </c>
      <c r="N22" s="207">
        <v>346923</v>
      </c>
      <c r="O22" s="207">
        <v>395860</v>
      </c>
      <c r="P22" s="207">
        <v>371406</v>
      </c>
      <c r="Q22" s="207">
        <v>343176</v>
      </c>
      <c r="R22" s="207">
        <v>482020</v>
      </c>
      <c r="S22" s="207">
        <v>349233</v>
      </c>
      <c r="T22" s="207">
        <v>515381</v>
      </c>
      <c r="U22" s="207">
        <v>629895.19700000004</v>
      </c>
      <c r="V22" s="207">
        <v>558156.91700000002</v>
      </c>
      <c r="W22" s="207"/>
      <c r="X22" s="496">
        <f t="shared" si="33"/>
        <v>-0.11388923163991049</v>
      </c>
      <c r="Y22" s="496">
        <f t="shared" si="34"/>
        <v>0.15795385461184197</v>
      </c>
    </row>
    <row r="23" spans="2:27" ht="13" customHeight="1">
      <c r="B23" s="70" t="str">
        <f>IF('Summary | Sumário'!D$6=Names!B$3,Names!AH22,Names!AI22)</f>
        <v xml:space="preserve">Revenues from services and commissions </v>
      </c>
      <c r="C23" s="208">
        <v>130457</v>
      </c>
      <c r="D23" s="208">
        <v>257145</v>
      </c>
      <c r="E23" s="208">
        <v>542569</v>
      </c>
      <c r="F23" s="208">
        <v>968039</v>
      </c>
      <c r="G23" s="208">
        <v>1304382</v>
      </c>
      <c r="H23" s="208">
        <v>100965</v>
      </c>
      <c r="I23" s="208">
        <v>110911</v>
      </c>
      <c r="J23" s="208">
        <v>149283</v>
      </c>
      <c r="K23" s="208">
        <v>181410</v>
      </c>
      <c r="L23" s="208">
        <v>206219</v>
      </c>
      <c r="M23" s="208">
        <v>238515</v>
      </c>
      <c r="N23" s="208">
        <v>250433</v>
      </c>
      <c r="O23" s="208">
        <v>272872</v>
      </c>
      <c r="P23" s="208">
        <v>282353</v>
      </c>
      <c r="Q23" s="208">
        <v>298524</v>
      </c>
      <c r="R23" s="208">
        <v>347780</v>
      </c>
      <c r="S23" s="208">
        <v>375724.6</v>
      </c>
      <c r="T23" s="208">
        <v>374339.16833017452</v>
      </c>
      <c r="U23" s="208">
        <v>397142.87599999999</v>
      </c>
      <c r="V23" s="208">
        <v>467666.772</v>
      </c>
      <c r="W23" s="207"/>
      <c r="X23" s="497">
        <f t="shared" si="33"/>
        <v>0.17757814696391527</v>
      </c>
      <c r="Y23" s="497">
        <f t="shared" si="34"/>
        <v>0.34472014491920189</v>
      </c>
    </row>
    <row r="24" spans="2:27" ht="13" customHeight="1">
      <c r="B24" s="65" t="str">
        <f>IF('Summary | Sumário'!D$6=Names!B$3,Names!AH24,Names!AI24)</f>
        <v>Other revenues</v>
      </c>
      <c r="C24" s="207">
        <v>52843</v>
      </c>
      <c r="D24" s="207">
        <v>109882</v>
      </c>
      <c r="E24" s="207">
        <v>190082</v>
      </c>
      <c r="F24" s="207">
        <v>388462</v>
      </c>
      <c r="G24" s="207">
        <v>375688</v>
      </c>
      <c r="H24" s="207">
        <v>47499</v>
      </c>
      <c r="I24" s="207">
        <v>76048</v>
      </c>
      <c r="J24" s="207">
        <v>36287</v>
      </c>
      <c r="K24" s="207">
        <v>30248</v>
      </c>
      <c r="L24" s="207">
        <v>112407</v>
      </c>
      <c r="M24" s="207">
        <v>111372</v>
      </c>
      <c r="N24" s="207">
        <v>77687</v>
      </c>
      <c r="O24" s="207">
        <v>86996</v>
      </c>
      <c r="P24" s="207">
        <v>65877</v>
      </c>
      <c r="Q24" s="207">
        <v>81158</v>
      </c>
      <c r="R24" s="207">
        <v>131429.50028000001</v>
      </c>
      <c r="S24" s="207">
        <v>97223.499719999993</v>
      </c>
      <c r="T24" s="207">
        <v>89957</v>
      </c>
      <c r="U24" s="207">
        <v>84728.682927619986</v>
      </c>
      <c r="V24" s="207">
        <v>111387.30948870655</v>
      </c>
      <c r="W24" s="207"/>
      <c r="X24" s="496">
        <f t="shared" si="33"/>
        <v>0.31463520545763557</v>
      </c>
      <c r="Y24" s="496">
        <f t="shared" si="34"/>
        <v>-0.15249385220665967</v>
      </c>
    </row>
    <row r="25" spans="2:27" ht="13" customHeight="1">
      <c r="B25" s="70" t="str">
        <f>IF('Summary | Sumário'!D$6=Names!B$3,Names!AH25,Names!AI25)</f>
        <v>(+) Cashback expenses</v>
      </c>
      <c r="C25" s="208">
        <f t="shared" ref="C25:Q26" si="40">C11</f>
        <v>0</v>
      </c>
      <c r="D25" s="208">
        <f t="shared" si="40"/>
        <v>59976</v>
      </c>
      <c r="E25" s="208">
        <f t="shared" si="40"/>
        <v>251363</v>
      </c>
      <c r="F25" s="208">
        <f t="shared" si="40"/>
        <v>321438</v>
      </c>
      <c r="G25" s="208">
        <f t="shared" ref="G25" si="41">G11</f>
        <v>236482</v>
      </c>
      <c r="H25" s="208">
        <f t="shared" si="40"/>
        <v>38482.660000000003</v>
      </c>
      <c r="I25" s="208">
        <f t="shared" si="40"/>
        <v>60184</v>
      </c>
      <c r="J25" s="208">
        <f t="shared" si="40"/>
        <v>65808</v>
      </c>
      <c r="K25" s="208">
        <f t="shared" si="40"/>
        <v>86888.34</v>
      </c>
      <c r="L25" s="208">
        <f t="shared" si="40"/>
        <v>82542</v>
      </c>
      <c r="M25" s="208">
        <f t="shared" si="40"/>
        <v>85250</v>
      </c>
      <c r="N25" s="208">
        <f t="shared" si="40"/>
        <v>76420</v>
      </c>
      <c r="O25" s="208">
        <f t="shared" si="40"/>
        <v>77226</v>
      </c>
      <c r="P25" s="208">
        <f t="shared" si="40"/>
        <v>67268</v>
      </c>
      <c r="Q25" s="208">
        <f t="shared" si="40"/>
        <v>58005</v>
      </c>
      <c r="R25" s="208">
        <f t="shared" ref="R25:S25" si="42">R11</f>
        <v>48391</v>
      </c>
      <c r="S25" s="208">
        <f t="shared" si="42"/>
        <v>62818</v>
      </c>
      <c r="T25" s="208">
        <f t="shared" ref="T25:U25" si="43">T11</f>
        <v>63381.686999999998</v>
      </c>
      <c r="U25" s="208">
        <f t="shared" si="43"/>
        <v>91044.550029999999</v>
      </c>
      <c r="V25" s="208">
        <f t="shared" ref="V25" si="44">V11</f>
        <v>104280.08586999998</v>
      </c>
      <c r="W25" s="207"/>
      <c r="X25" s="497">
        <f t="shared" si="33"/>
        <v>0.1453742792472339</v>
      </c>
      <c r="Y25" s="497">
        <f t="shared" si="34"/>
        <v>1.1549479421793305</v>
      </c>
    </row>
    <row r="26" spans="2:27" ht="13" customHeight="1">
      <c r="B26" s="65" t="str">
        <f>IF('Summary | Sumário'!D$6=Names!B$3,Names!AH32,Names!AI32)</f>
        <v>(+) Inter rewards</v>
      </c>
      <c r="C26" s="207">
        <f t="shared" si="40"/>
        <v>0</v>
      </c>
      <c r="D26" s="207">
        <f t="shared" si="40"/>
        <v>0</v>
      </c>
      <c r="E26" s="207">
        <f t="shared" si="40"/>
        <v>0</v>
      </c>
      <c r="F26" s="207">
        <f t="shared" si="40"/>
        <v>0</v>
      </c>
      <c r="G26" s="207">
        <f t="shared" ref="G26" si="45">G12</f>
        <v>66571</v>
      </c>
      <c r="H26" s="207">
        <f t="shared" si="40"/>
        <v>0</v>
      </c>
      <c r="I26" s="207">
        <f t="shared" si="40"/>
        <v>0</v>
      </c>
      <c r="J26" s="207">
        <f t="shared" si="40"/>
        <v>0</v>
      </c>
      <c r="K26" s="207">
        <f t="shared" si="40"/>
        <v>0</v>
      </c>
      <c r="L26" s="207">
        <f t="shared" si="40"/>
        <v>0</v>
      </c>
      <c r="M26" s="207">
        <f t="shared" si="40"/>
        <v>0</v>
      </c>
      <c r="N26" s="207">
        <f t="shared" si="40"/>
        <v>0</v>
      </c>
      <c r="O26" s="207">
        <f t="shared" si="40"/>
        <v>0</v>
      </c>
      <c r="P26" s="207">
        <f t="shared" si="40"/>
        <v>0</v>
      </c>
      <c r="Q26" s="207">
        <f t="shared" si="40"/>
        <v>6574</v>
      </c>
      <c r="R26" s="207">
        <f t="shared" ref="R26:S26" si="46">R12</f>
        <v>26910</v>
      </c>
      <c r="S26" s="207">
        <f t="shared" si="46"/>
        <v>33087</v>
      </c>
      <c r="T26" s="207">
        <f t="shared" ref="T26:U26" si="47">T12</f>
        <v>30086.383590000005</v>
      </c>
      <c r="U26" s="207">
        <f t="shared" si="47"/>
        <v>28632.017450000003</v>
      </c>
      <c r="V26" s="207">
        <f t="shared" ref="V26" si="48">V12</f>
        <v>30458.503759999989</v>
      </c>
      <c r="W26" s="207"/>
      <c r="X26" s="496">
        <f t="shared" si="33"/>
        <v>6.3791743393198708E-2</v>
      </c>
      <c r="Y26" s="496">
        <f t="shared" si="34"/>
        <v>0.13186561724266022</v>
      </c>
    </row>
    <row r="27" spans="2:27" ht="13" customHeight="1">
      <c r="B27" s="87" t="str">
        <f>IF('Summary | Sumário'!D$6=Names!B$3,Names!AH26,Names!AI26)</f>
        <v>Interest expenses</v>
      </c>
      <c r="C27" s="208">
        <v>-256717</v>
      </c>
      <c r="D27" s="208">
        <v>-184335</v>
      </c>
      <c r="E27" s="208">
        <v>-543242</v>
      </c>
      <c r="F27" s="208">
        <v>-1972850</v>
      </c>
      <c r="G27" s="208">
        <v>-2887573</v>
      </c>
      <c r="H27" s="208">
        <v>-65559</v>
      </c>
      <c r="I27" s="208">
        <v>-86261</v>
      </c>
      <c r="J27" s="208">
        <v>-138587</v>
      </c>
      <c r="K27" s="208">
        <v>-252835</v>
      </c>
      <c r="L27" s="208">
        <v>-336771</v>
      </c>
      <c r="M27" s="208">
        <v>-465041</v>
      </c>
      <c r="N27" s="208">
        <v>-579678</v>
      </c>
      <c r="O27" s="208">
        <v>-591360</v>
      </c>
      <c r="P27" s="208">
        <v>-672771</v>
      </c>
      <c r="Q27" s="208">
        <v>-692206</v>
      </c>
      <c r="R27" s="208">
        <v>-770398</v>
      </c>
      <c r="S27" s="208">
        <v>-752198.00500000012</v>
      </c>
      <c r="T27" s="208">
        <v>-762246.89030000009</v>
      </c>
      <c r="U27" s="208">
        <v>-772642.60900000005</v>
      </c>
      <c r="V27" s="208">
        <v>-835617.71799999999</v>
      </c>
      <c r="W27" s="207"/>
      <c r="X27" s="497">
        <f t="shared" si="33"/>
        <v>8.1506130087112494E-2</v>
      </c>
      <c r="Y27" s="497">
        <f t="shared" si="34"/>
        <v>8.4657174603256946E-2</v>
      </c>
    </row>
    <row r="28" spans="2:27" ht="13" customHeight="1">
      <c r="B28" s="53" t="str">
        <f>IF('Summary | Sumário'!D$6=Names!B$3,Names!AH27,Names!AI27)</f>
        <v>(÷) Average active clients</v>
      </c>
      <c r="C28" s="211">
        <f>C29</f>
        <v>2282.6979999999999</v>
      </c>
      <c r="D28" s="211">
        <f>AVERAGE(C29:D29)</f>
        <v>3767.4889999999996</v>
      </c>
      <c r="E28" s="211">
        <f t="shared" ref="E28" si="49">AVERAGE(D29:E29)</f>
        <v>7039.3045000000002</v>
      </c>
      <c r="F28" s="211">
        <f t="shared" ref="F28:G28" si="50">AVERAGE(E29:F29)</f>
        <v>10705.3665</v>
      </c>
      <c r="G28" s="211">
        <f t="shared" si="50"/>
        <v>14494.899000000001</v>
      </c>
      <c r="H28" s="211">
        <f>AVERAGE(H29,D29)</f>
        <v>5692.4650000000001</v>
      </c>
      <c r="I28" s="211">
        <f>AVERAGE(H29:I29)</f>
        <v>6597.8119999999999</v>
      </c>
      <c r="J28" s="211">
        <f t="shared" ref="J28" si="51">AVERAGE(I29:J29)</f>
        <v>7514.7129999999997</v>
      </c>
      <c r="K28" s="211">
        <f t="shared" ref="K28" si="52">AVERAGE(J29:K29)</f>
        <v>8396.3904999999995</v>
      </c>
      <c r="L28" s="211">
        <f t="shared" ref="L28" si="53">AVERAGE(K29:L29)</f>
        <v>9358.8734999999997</v>
      </c>
      <c r="M28" s="211">
        <f t="shared" ref="M28" si="54">AVERAGE(L29:M29)</f>
        <v>10303.8135</v>
      </c>
      <c r="N28" s="211">
        <f t="shared" ref="N28" si="55">AVERAGE(M29:N29)</f>
        <v>11182.7415</v>
      </c>
      <c r="O28" s="211">
        <f t="shared" ref="O28" si="56">AVERAGE(N29:O29)</f>
        <v>12116.839</v>
      </c>
      <c r="P28" s="211">
        <f t="shared" ref="P28:V28" si="57">AVERAGE(O29:P29)</f>
        <v>13062.486000000001</v>
      </c>
      <c r="Q28" s="211">
        <f t="shared" si="57"/>
        <v>14017.737499999999</v>
      </c>
      <c r="R28" s="211">
        <f t="shared" si="57"/>
        <v>14984.0635</v>
      </c>
      <c r="S28" s="211">
        <f t="shared" si="57"/>
        <v>15939.307000000001</v>
      </c>
      <c r="T28" s="211">
        <f t="shared" si="57"/>
        <v>16909.548000000003</v>
      </c>
      <c r="U28" s="211">
        <f t="shared" si="57"/>
        <v>17907.845500000003</v>
      </c>
      <c r="V28" s="211">
        <f t="shared" si="57"/>
        <v>18970.246500000001</v>
      </c>
      <c r="W28" s="211"/>
      <c r="X28" s="456">
        <f t="shared" si="33"/>
        <v>5.9326008815521636E-2</v>
      </c>
      <c r="Y28" s="456">
        <f t="shared" si="34"/>
        <v>0.26602817052930949</v>
      </c>
    </row>
    <row r="29" spans="2:27" ht="13" customHeight="1">
      <c r="B29" s="62" t="str">
        <f>IF('Summary | Sumário'!D$6=Names!B$3,Names!AH28,Names!AI28)</f>
        <v>Active clients</v>
      </c>
      <c r="C29" s="206">
        <v>2282.6979999999999</v>
      </c>
      <c r="D29" s="206">
        <v>5252.28</v>
      </c>
      <c r="E29" s="206">
        <v>8826.3289999999997</v>
      </c>
      <c r="F29" s="206">
        <v>12584.404</v>
      </c>
      <c r="G29" s="206">
        <f>S29</f>
        <v>16405.394</v>
      </c>
      <c r="H29" s="206">
        <v>6132.65</v>
      </c>
      <c r="I29" s="206">
        <v>7062.9740000000002</v>
      </c>
      <c r="J29" s="206">
        <v>7966.4520000000002</v>
      </c>
      <c r="K29" s="206">
        <v>8826.3289999999997</v>
      </c>
      <c r="L29" s="206">
        <v>9891.4179999999997</v>
      </c>
      <c r="M29" s="206">
        <v>10716.209000000001</v>
      </c>
      <c r="N29" s="206">
        <v>11649.273999999999</v>
      </c>
      <c r="O29" s="206">
        <v>12584.404</v>
      </c>
      <c r="P29" s="206">
        <v>13540.567999999999</v>
      </c>
      <c r="Q29" s="206">
        <v>14494.906999999999</v>
      </c>
      <c r="R29" s="206">
        <v>15473.22</v>
      </c>
      <c r="S29" s="206">
        <v>16405.394</v>
      </c>
      <c r="T29" s="206">
        <v>17413.702000000001</v>
      </c>
      <c r="U29" s="206">
        <v>18401.989000000001</v>
      </c>
      <c r="V29" s="206">
        <v>19538.504000000001</v>
      </c>
      <c r="W29" s="211"/>
      <c r="X29" s="457">
        <f t="shared" si="33"/>
        <v>6.1760443395548092E-2</v>
      </c>
      <c r="Y29" s="457">
        <f t="shared" si="34"/>
        <v>0.26273031728366836</v>
      </c>
    </row>
    <row r="30" spans="2:27" ht="13" customHeight="1">
      <c r="B30" s="57" t="str">
        <f>IF('Summary | Sumário'!D$6=Names!B$3,Names!AH29,Names!AI29)</f>
        <v>Active clients in the previus period</v>
      </c>
      <c r="C30" s="211">
        <f>C29</f>
        <v>2282.6979999999999</v>
      </c>
      <c r="D30" s="211">
        <f>C30</f>
        <v>2282.6979999999999</v>
      </c>
      <c r="E30" s="211">
        <f>D29</f>
        <v>5252.28</v>
      </c>
      <c r="F30" s="211">
        <f t="shared" ref="F30:V30" si="58">E29</f>
        <v>8826.3289999999997</v>
      </c>
      <c r="G30" s="211">
        <f t="shared" si="58"/>
        <v>12584.404</v>
      </c>
      <c r="H30" s="211">
        <f>D29</f>
        <v>5252.28</v>
      </c>
      <c r="I30" s="211">
        <f t="shared" si="58"/>
        <v>6132.65</v>
      </c>
      <c r="J30" s="211">
        <f t="shared" si="58"/>
        <v>7062.9740000000002</v>
      </c>
      <c r="K30" s="211">
        <f t="shared" si="58"/>
        <v>7966.4520000000002</v>
      </c>
      <c r="L30" s="211">
        <f t="shared" si="58"/>
        <v>8826.3289999999997</v>
      </c>
      <c r="M30" s="211">
        <f t="shared" si="58"/>
        <v>9891.4179999999997</v>
      </c>
      <c r="N30" s="211">
        <f t="shared" si="58"/>
        <v>10716.209000000001</v>
      </c>
      <c r="O30" s="211">
        <f t="shared" si="58"/>
        <v>11649.273999999999</v>
      </c>
      <c r="P30" s="211">
        <f t="shared" si="58"/>
        <v>12584.404</v>
      </c>
      <c r="Q30" s="211">
        <f t="shared" si="58"/>
        <v>13540.567999999999</v>
      </c>
      <c r="R30" s="211">
        <f t="shared" si="58"/>
        <v>14494.906999999999</v>
      </c>
      <c r="S30" s="211">
        <f t="shared" si="58"/>
        <v>15473.22</v>
      </c>
      <c r="T30" s="211">
        <f t="shared" si="58"/>
        <v>16405.394</v>
      </c>
      <c r="U30" s="211">
        <f t="shared" si="58"/>
        <v>17413.702000000001</v>
      </c>
      <c r="V30" s="211">
        <f t="shared" si="58"/>
        <v>18401.989000000001</v>
      </c>
      <c r="W30" s="211"/>
      <c r="X30" s="456">
        <f t="shared" si="33"/>
        <v>5.6753411767354267E-2</v>
      </c>
      <c r="Y30" s="456">
        <f t="shared" si="34"/>
        <v>0.26954860765922839</v>
      </c>
    </row>
    <row r="31" spans="2:27" ht="13" customHeight="1">
      <c r="B31" s="84" t="str">
        <f>IF('Summary | Sumário'!D$6=Names!B$3,Names!AH30,Names!AI30)</f>
        <v>(=) Net ARPAC (R$)</v>
      </c>
      <c r="C31" s="213">
        <f t="shared" ref="C31:Q31" si="59">C19/C28</f>
        <v>28.068065362420551</v>
      </c>
      <c r="D31" s="213">
        <f t="shared" si="59"/>
        <v>25.281336702420809</v>
      </c>
      <c r="E31" s="213">
        <f t="shared" si="59"/>
        <v>30.465642900753426</v>
      </c>
      <c r="F31" s="213">
        <f t="shared" si="59"/>
        <v>31.241092041703251</v>
      </c>
      <c r="G31" s="213">
        <f t="shared" ref="G31" si="60">G19/G28</f>
        <v>29.845051007254341</v>
      </c>
      <c r="H31" s="213">
        <f t="shared" si="59"/>
        <v>28.021111826481732</v>
      </c>
      <c r="I31" s="213">
        <f t="shared" si="59"/>
        <v>27.758634276534913</v>
      </c>
      <c r="J31" s="213">
        <f t="shared" si="59"/>
        <v>30.994658079423658</v>
      </c>
      <c r="K31" s="213">
        <f t="shared" si="59"/>
        <v>33.616350581439328</v>
      </c>
      <c r="L31" s="213">
        <f t="shared" si="59"/>
        <v>33.642889178916676</v>
      </c>
      <c r="M31" s="213">
        <f t="shared" si="59"/>
        <v>32.228347203683377</v>
      </c>
      <c r="N31" s="213">
        <f t="shared" si="59"/>
        <v>28.619330689169562</v>
      </c>
      <c r="O31" s="213">
        <f t="shared" si="59"/>
        <v>30.603060803784441</v>
      </c>
      <c r="P31" s="213">
        <f t="shared" si="59"/>
        <v>28.760728037016339</v>
      </c>
      <c r="Q31" s="213">
        <f t="shared" si="59"/>
        <v>29.637117497266114</v>
      </c>
      <c r="R31" s="213">
        <f t="shared" ref="R31:S31" si="61">R19/R28</f>
        <v>30.545065184754453</v>
      </c>
      <c r="S31" s="213">
        <f t="shared" si="61"/>
        <v>30.213529860070661</v>
      </c>
      <c r="T31" s="213">
        <f t="shared" ref="T31:U31" si="62">T19/T28</f>
        <v>30.129513192195208</v>
      </c>
      <c r="U31" s="213">
        <f t="shared" si="62"/>
        <v>30.363132468161698</v>
      </c>
      <c r="V31" s="213">
        <f t="shared" ref="V31" si="63">V19/V28</f>
        <v>32.481653996407942</v>
      </c>
      <c r="W31" s="429"/>
      <c r="X31" s="499">
        <f t="shared" si="33"/>
        <v>6.9772825003075356E-2</v>
      </c>
      <c r="Y31" s="499">
        <f t="shared" si="34"/>
        <v>6.340103712137668E-2</v>
      </c>
    </row>
    <row r="32" spans="2:27" ht="13" customHeight="1">
      <c r="B32" s="68"/>
      <c r="C32" s="207"/>
      <c r="D32" s="207"/>
      <c r="E32" s="207"/>
      <c r="F32" s="207"/>
      <c r="G32" s="207"/>
      <c r="H32" s="207"/>
      <c r="I32" s="207"/>
      <c r="J32" s="207"/>
      <c r="K32" s="207"/>
      <c r="L32" s="207"/>
      <c r="M32" s="207"/>
      <c r="N32" s="207"/>
      <c r="O32" s="207"/>
      <c r="P32" s="207"/>
      <c r="Q32" s="207"/>
      <c r="R32" s="207"/>
      <c r="S32" s="207"/>
      <c r="T32" s="207"/>
      <c r="U32" s="207"/>
      <c r="V32" s="207"/>
      <c r="W32" s="207"/>
      <c r="X32" s="207"/>
      <c r="Y32" s="207"/>
    </row>
    <row r="33" spans="1:30" ht="13" customHeight="1">
      <c r="B33" s="74"/>
      <c r="C33" s="207"/>
      <c r="D33" s="207"/>
      <c r="E33" s="207"/>
      <c r="F33" s="207"/>
      <c r="G33" s="207"/>
      <c r="H33" s="207"/>
      <c r="I33" s="207"/>
      <c r="J33" s="207"/>
      <c r="K33" s="207"/>
      <c r="L33" s="207"/>
      <c r="M33" s="207"/>
      <c r="N33" s="207"/>
      <c r="O33" s="207"/>
      <c r="P33" s="207"/>
      <c r="Q33" s="207"/>
      <c r="R33" s="207"/>
      <c r="S33" s="207"/>
      <c r="T33" s="207"/>
      <c r="U33" s="207"/>
      <c r="V33" s="207"/>
      <c r="W33" s="207"/>
      <c r="X33" s="207"/>
      <c r="Y33" s="207"/>
    </row>
    <row r="34" spans="1:30" ht="13" customHeight="1">
      <c r="B34" s="69"/>
      <c r="C34" s="207"/>
      <c r="D34" s="207"/>
      <c r="E34" s="207"/>
      <c r="F34" s="207"/>
      <c r="G34" s="207"/>
      <c r="H34" s="207"/>
      <c r="I34" s="207"/>
      <c r="J34" s="207"/>
      <c r="K34" s="207"/>
      <c r="L34" s="207"/>
      <c r="M34" s="207"/>
      <c r="N34" s="207"/>
      <c r="O34" s="207"/>
      <c r="P34" s="207"/>
      <c r="Q34" s="207"/>
      <c r="R34" s="207"/>
      <c r="S34" s="207"/>
      <c r="T34" s="207"/>
      <c r="U34" s="207"/>
      <c r="V34" s="207"/>
      <c r="W34" s="207"/>
      <c r="X34" s="207"/>
      <c r="Y34" s="207"/>
    </row>
    <row r="35" spans="1:30" ht="13" customHeight="1">
      <c r="B35" s="67"/>
      <c r="C35" s="207"/>
      <c r="D35" s="207"/>
      <c r="E35" s="207"/>
      <c r="F35" s="207"/>
      <c r="G35" s="207"/>
      <c r="H35" s="207"/>
      <c r="I35" s="207"/>
      <c r="J35" s="207"/>
      <c r="K35" s="207"/>
      <c r="L35" s="207"/>
      <c r="M35" s="207"/>
      <c r="N35" s="207"/>
      <c r="O35" s="207"/>
      <c r="P35" s="207"/>
      <c r="Q35" s="207"/>
      <c r="R35" s="207"/>
      <c r="S35" s="207"/>
      <c r="T35" s="207"/>
      <c r="U35" s="207"/>
      <c r="V35" s="207"/>
      <c r="W35" s="207"/>
      <c r="X35" s="207"/>
      <c r="Y35" s="207"/>
    </row>
    <row r="36" spans="1:30" ht="13" customHeight="1">
      <c r="B36" s="15"/>
    </row>
    <row r="38" spans="1:30" s="136" customFormat="1" ht="13" customHeight="1">
      <c r="A38" s="135"/>
      <c r="B38" s="50"/>
      <c r="Z38" s="135"/>
      <c r="AA38" s="135"/>
      <c r="AB38" s="135"/>
      <c r="AC38" s="135"/>
      <c r="AD38" s="135"/>
    </row>
    <row r="39" spans="1:30" ht="13" customHeight="1">
      <c r="U39" s="228"/>
      <c r="V39" s="228"/>
      <c r="X39" s="228"/>
      <c r="Y39" s="660"/>
      <c r="Z39" s="185"/>
      <c r="AA39" s="661"/>
      <c r="AC39" s="662"/>
    </row>
    <row r="40" spans="1:30" ht="13" customHeight="1">
      <c r="U40" s="228"/>
      <c r="V40" s="228"/>
      <c r="X40" s="226"/>
      <c r="Y40" s="660"/>
      <c r="Z40" s="185"/>
      <c r="AA40" s="661"/>
    </row>
    <row r="41" spans="1:30" ht="13" customHeight="1">
      <c r="T41" s="228"/>
      <c r="U41" s="228"/>
      <c r="V41" s="228"/>
      <c r="AA41" s="661"/>
    </row>
    <row r="42" spans="1:30" ht="13" customHeight="1">
      <c r="T42" s="228"/>
      <c r="U42" s="228"/>
      <c r="V42" s="228"/>
      <c r="X42" s="228"/>
      <c r="Y42" s="660"/>
      <c r="Z42" s="185"/>
      <c r="AA42" s="661"/>
    </row>
    <row r="43" spans="1:30" ht="13" customHeight="1">
      <c r="T43" s="228"/>
      <c r="U43" s="228"/>
      <c r="V43" s="228"/>
      <c r="AA43" s="661"/>
    </row>
    <row r="44" spans="1:30" ht="13" customHeight="1">
      <c r="U44" s="228"/>
      <c r="V44" s="228"/>
      <c r="X44" s="228"/>
      <c r="Y44" s="660"/>
      <c r="Z44" s="185"/>
      <c r="AA44" s="661"/>
    </row>
    <row r="45" spans="1:30" ht="13" customHeight="1">
      <c r="X45" s="226"/>
      <c r="Y45" s="660"/>
      <c r="Z45" s="185"/>
      <c r="AA45" s="661"/>
    </row>
    <row r="46" spans="1:30" ht="13" customHeight="1">
      <c r="AA46" s="661"/>
    </row>
    <row r="47" spans="1:30" ht="13" customHeight="1">
      <c r="X47" s="228"/>
      <c r="Y47" s="660"/>
      <c r="Z47" s="185"/>
      <c r="AA47" s="661"/>
    </row>
    <row r="48" spans="1:30" ht="13" customHeight="1">
      <c r="Y48" s="660"/>
      <c r="Z48" s="185"/>
      <c r="AA48" s="661"/>
    </row>
    <row r="49" spans="26:28" ht="13" customHeight="1">
      <c r="AA49" s="661"/>
    </row>
    <row r="54" spans="26:28" ht="13" customHeight="1">
      <c r="Z54" s="658"/>
    </row>
    <row r="55" spans="26:28" ht="13" customHeight="1">
      <c r="Z55" s="658"/>
      <c r="AB55" s="268"/>
    </row>
    <row r="56" spans="26:28" ht="13" customHeight="1">
      <c r="Z56" s="658"/>
      <c r="AB56" s="659"/>
    </row>
    <row r="57" spans="26:28" ht="13" customHeight="1">
      <c r="AB57" s="659"/>
    </row>
    <row r="58" spans="26:28" ht="13" customHeight="1">
      <c r="AB58" s="659"/>
    </row>
  </sheetData>
  <sheetProtection algorithmName="SHA-512" hashValue="Q+dhAgbh8Ido4gUMxRXpkzFOlM15ZqihKTWxnbyTQtAQ+czY10UjENTh1eypxJejwP5mNS3+C9/EBB2HMXQ/hQ==" saltValue="AS9H0umakYBTbQUCMPXDUA=="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ignoredErrors>
    <ignoredError sqref="C25:F25 H25:P25 H13 H28 H15:H20 H30" formula="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663E-DD15-1C4A-B2F4-C7AF4A73C099}">
  <sheetPr>
    <tabColor theme="5" tint="0.59999389629810485"/>
  </sheetPr>
  <dimension ref="A1:AE20"/>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135" customWidth="1"/>
    <col min="3" max="22" width="10.83203125" style="136" customWidth="1"/>
    <col min="23" max="23" width="5.83203125" style="136" customWidth="1"/>
    <col min="24" max="25" width="10.83203125" style="136" customWidth="1"/>
    <col min="26" max="28" width="10.83203125" style="135"/>
    <col min="29" max="29" width="19.33203125" style="135" bestFit="1" customWidth="1"/>
    <col min="30" max="16384" width="10.83203125" style="135"/>
  </cols>
  <sheetData>
    <row r="1" spans="1:31" ht="13" customHeight="1">
      <c r="Z1" s="136"/>
    </row>
    <row r="2" spans="1:31" s="142" customFormat="1" ht="13" customHeight="1">
      <c r="B2" s="319" t="str">
        <f>IF('Summary | Sumário'!D$6=Names!B$3,Names!AB1,Names!AC1)</f>
        <v>Cost of Risk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141"/>
      <c r="AB2" s="143"/>
      <c r="AC2" s="144"/>
    </row>
    <row r="3" spans="1:31" ht="13" customHeight="1">
      <c r="B3" s="49"/>
      <c r="C3" s="178"/>
      <c r="D3" s="178"/>
      <c r="E3" s="178"/>
      <c r="F3" s="178"/>
      <c r="G3" s="178"/>
      <c r="H3" s="178"/>
      <c r="I3" s="178"/>
      <c r="J3" s="178"/>
      <c r="K3" s="178"/>
      <c r="L3" s="178"/>
      <c r="M3" s="178"/>
      <c r="N3" s="178"/>
      <c r="O3" s="178"/>
      <c r="P3" s="178"/>
      <c r="Q3" s="178"/>
      <c r="R3" s="178"/>
      <c r="S3" s="178"/>
      <c r="T3" s="178"/>
      <c r="U3" s="178"/>
      <c r="V3" s="178"/>
      <c r="W3" s="178"/>
      <c r="X3" s="178"/>
      <c r="Y3" s="178"/>
      <c r="Z3" s="147"/>
    </row>
    <row r="4" spans="1:31" ht="13" customHeight="1">
      <c r="B4" s="3" t="str">
        <f>IF('Summary | Sumário'!D$6=Names!B$3,Names!AB11,Names!AC11)</f>
        <v>Cost of risk</v>
      </c>
      <c r="C4" s="214"/>
      <c r="D4" s="214"/>
      <c r="E4" s="214"/>
      <c r="F4" s="214"/>
      <c r="G4" s="214"/>
      <c r="H4" s="214"/>
      <c r="I4" s="214"/>
      <c r="J4" s="214"/>
      <c r="K4" s="214"/>
      <c r="L4" s="214"/>
      <c r="M4" s="214"/>
      <c r="N4" s="214"/>
      <c r="O4" s="214"/>
      <c r="P4" s="214"/>
      <c r="Q4" s="214"/>
      <c r="R4" s="214"/>
      <c r="S4" s="214"/>
      <c r="T4" s="214"/>
      <c r="U4" s="214"/>
      <c r="V4" s="214"/>
      <c r="W4" s="214"/>
      <c r="X4" s="214"/>
      <c r="Y4" s="214"/>
    </row>
    <row r="5" spans="1:31" ht="13" customHeight="1">
      <c r="B5" s="379" t="str">
        <f>IF('Summary | Sumário'!D$6=Names!B$3,Names!AB12,Names!AC12)</f>
        <v>Anuallized impairment losses on financial assets</v>
      </c>
      <c r="C5" s="357">
        <f>C6</f>
        <v>138570</v>
      </c>
      <c r="D5" s="357">
        <f t="shared" ref="D5:G5" si="0">D6</f>
        <v>213688</v>
      </c>
      <c r="E5" s="357">
        <f t="shared" si="0"/>
        <v>595581</v>
      </c>
      <c r="F5" s="357">
        <f t="shared" si="0"/>
        <v>1083237</v>
      </c>
      <c r="G5" s="357">
        <f t="shared" si="0"/>
        <v>1541584</v>
      </c>
      <c r="H5" s="357">
        <f>H6*4</f>
        <v>426676</v>
      </c>
      <c r="I5" s="357">
        <f t="shared" ref="I5:V5" si="1">I6*4</f>
        <v>669764</v>
      </c>
      <c r="J5" s="357">
        <f t="shared" si="1"/>
        <v>552020</v>
      </c>
      <c r="K5" s="357">
        <f t="shared" si="1"/>
        <v>733864</v>
      </c>
      <c r="L5" s="357">
        <f t="shared" si="1"/>
        <v>1251784</v>
      </c>
      <c r="M5" s="357">
        <f t="shared" si="1"/>
        <v>969856</v>
      </c>
      <c r="N5" s="357">
        <f t="shared" si="1"/>
        <v>1052452</v>
      </c>
      <c r="O5" s="357">
        <f t="shared" si="1"/>
        <v>1058856</v>
      </c>
      <c r="P5" s="357">
        <f t="shared" si="1"/>
        <v>1402724</v>
      </c>
      <c r="Q5" s="357">
        <f t="shared" si="1"/>
        <v>1594240</v>
      </c>
      <c r="R5" s="357">
        <f t="shared" si="1"/>
        <v>1631596</v>
      </c>
      <c r="S5" s="357">
        <f t="shared" si="1"/>
        <v>1537776</v>
      </c>
      <c r="T5" s="357">
        <f t="shared" si="1"/>
        <v>1644192</v>
      </c>
      <c r="U5" s="357">
        <f t="shared" si="1"/>
        <v>1684990.6440000001</v>
      </c>
      <c r="V5" s="357">
        <f t="shared" si="1"/>
        <v>1885710.6</v>
      </c>
      <c r="W5" s="211"/>
      <c r="X5" s="455">
        <f>V5/U5-1</f>
        <v>0.11912229703751409</v>
      </c>
      <c r="Y5" s="455">
        <f>V5/R5-1</f>
        <v>0.15574603026729661</v>
      </c>
      <c r="AA5" s="222"/>
      <c r="AB5" s="222"/>
    </row>
    <row r="6" spans="1:31" ht="13" customHeight="1">
      <c r="B6" s="79" t="str">
        <f>IF('Summary | Sumário'!D$6=Names!B$3,Names!AB13,Names!AC13)</f>
        <v>Impairment losses on financial assets</v>
      </c>
      <c r="C6" s="207">
        <v>138570</v>
      </c>
      <c r="D6" s="207">
        <v>213688</v>
      </c>
      <c r="E6" s="207">
        <v>595581</v>
      </c>
      <c r="F6" s="207">
        <v>1083237</v>
      </c>
      <c r="G6" s="207">
        <v>1541584</v>
      </c>
      <c r="H6" s="207">
        <v>106669</v>
      </c>
      <c r="I6" s="207">
        <v>167441</v>
      </c>
      <c r="J6" s="207">
        <v>138005</v>
      </c>
      <c r="K6" s="207">
        <v>183466</v>
      </c>
      <c r="L6" s="207">
        <v>312946</v>
      </c>
      <c r="M6" s="207">
        <v>242464</v>
      </c>
      <c r="N6" s="207">
        <v>263113</v>
      </c>
      <c r="O6" s="207">
        <v>264714</v>
      </c>
      <c r="P6" s="207">
        <v>350681</v>
      </c>
      <c r="Q6" s="207">
        <v>398560</v>
      </c>
      <c r="R6" s="207">
        <v>407899</v>
      </c>
      <c r="S6" s="207">
        <v>384444</v>
      </c>
      <c r="T6" s="207">
        <v>411048</v>
      </c>
      <c r="U6" s="207">
        <v>421247.66100000002</v>
      </c>
      <c r="V6" s="207">
        <v>471427.65</v>
      </c>
      <c r="W6" s="207"/>
      <c r="X6" s="496">
        <f t="shared" ref="X6:X9" si="2">V6/U6-1</f>
        <v>0.11912229703751409</v>
      </c>
      <c r="Y6" s="496">
        <f t="shared" ref="Y6:Y9" si="3">V6/R6-1</f>
        <v>0.15574603026729661</v>
      </c>
      <c r="AA6" s="222"/>
      <c r="AB6" s="222"/>
      <c r="AC6" s="222"/>
    </row>
    <row r="7" spans="1:31" ht="13" customHeight="1">
      <c r="B7" s="88" t="str">
        <f>IF('Summary | Sumário'!D$6=Names!B$3,Names!AB14,Names!AC14)</f>
        <v>(÷) Avg of the last two periods of gross loans and advances to customers</v>
      </c>
      <c r="C7" s="208">
        <f t="shared" ref="C7:Q7" si="4">AVERAGE(C8:C9)</f>
        <v>4777387</v>
      </c>
      <c r="D7" s="208">
        <f t="shared" si="4"/>
        <v>6783722.5</v>
      </c>
      <c r="E7" s="208">
        <f t="shared" si="4"/>
        <v>13152262</v>
      </c>
      <c r="F7" s="208">
        <f t="shared" si="4"/>
        <v>21029229.5</v>
      </c>
      <c r="G7" s="208">
        <f t="shared" ref="G7" si="5">AVERAGE(G8:G9)</f>
        <v>27782415</v>
      </c>
      <c r="H7" s="208">
        <f t="shared" si="4"/>
        <v>9559371.8131499998</v>
      </c>
      <c r="I7" s="208">
        <f t="shared" si="4"/>
        <v>11463723.34365</v>
      </c>
      <c r="J7" s="208">
        <f t="shared" si="4"/>
        <v>13778199.9965</v>
      </c>
      <c r="K7" s="208">
        <f t="shared" si="4"/>
        <v>16236052.466</v>
      </c>
      <c r="L7" s="208">
        <f t="shared" si="4"/>
        <v>18019061.792999998</v>
      </c>
      <c r="M7" s="208">
        <f t="shared" si="4"/>
        <v>19194110.597999997</v>
      </c>
      <c r="N7" s="208">
        <f t="shared" si="4"/>
        <v>20949808.805</v>
      </c>
      <c r="O7" s="208">
        <f t="shared" si="4"/>
        <v>23289523.5</v>
      </c>
      <c r="P7" s="208">
        <f t="shared" si="4"/>
        <v>24836645.5</v>
      </c>
      <c r="Q7" s="208">
        <f t="shared" si="4"/>
        <v>25801829</v>
      </c>
      <c r="R7" s="208">
        <f>AVERAGE(R8:R9)</f>
        <v>27366551.5</v>
      </c>
      <c r="S7" s="208">
        <f>AVERAGE(S8:S9)</f>
        <v>29639790</v>
      </c>
      <c r="T7" s="208">
        <f>AVERAGE(T8:T9)</f>
        <v>31582230.265975103</v>
      </c>
      <c r="U7" s="208">
        <f>AVERAGE(U8:U9)</f>
        <v>33908997.474265099</v>
      </c>
      <c r="V7" s="208">
        <f>AVERAGE(V8:V9)</f>
        <v>36867129.109815001</v>
      </c>
      <c r="W7" s="207"/>
      <c r="X7" s="497">
        <f t="shared" si="2"/>
        <v>8.7237366359620205E-2</v>
      </c>
      <c r="Y7" s="497">
        <f t="shared" si="3"/>
        <v>0.34716020430323491</v>
      </c>
      <c r="AB7" s="222"/>
      <c r="AC7" s="222"/>
      <c r="AE7" s="186"/>
    </row>
    <row r="8" spans="1:31" ht="13" customHeight="1">
      <c r="A8" s="176" t="s">
        <v>750</v>
      </c>
      <c r="B8" s="67" t="str">
        <f>IF('Summary | Sumário'!D$6=Names!B$3,Names!AB15,Names!AC15)</f>
        <v>Gross loan portfolio</v>
      </c>
      <c r="C8" s="207">
        <v>4777387</v>
      </c>
      <c r="D8" s="207">
        <v>8790058</v>
      </c>
      <c r="E8" s="207">
        <v>17514466</v>
      </c>
      <c r="F8" s="207">
        <v>24543993</v>
      </c>
      <c r="G8" s="207">
        <f>S8</f>
        <v>31020837</v>
      </c>
      <c r="H8" s="207">
        <v>10328685.6263</v>
      </c>
      <c r="I8" s="207">
        <v>12598761.061000001</v>
      </c>
      <c r="J8" s="207">
        <v>14957638.932</v>
      </c>
      <c r="K8" s="207">
        <v>17514466</v>
      </c>
      <c r="L8" s="207">
        <v>18523657.585999999</v>
      </c>
      <c r="M8" s="207">
        <v>19864563.609999999</v>
      </c>
      <c r="N8" s="207">
        <v>22035054</v>
      </c>
      <c r="O8" s="207">
        <v>24543993</v>
      </c>
      <c r="P8" s="207">
        <v>25129298</v>
      </c>
      <c r="Q8" s="207">
        <v>26474360</v>
      </c>
      <c r="R8" s="207">
        <v>28258743</v>
      </c>
      <c r="S8" s="207">
        <v>31020837</v>
      </c>
      <c r="T8" s="207">
        <v>32143623.531950202</v>
      </c>
      <c r="U8" s="207">
        <v>35674371.416579999</v>
      </c>
      <c r="V8" s="207">
        <v>38059886.803049996</v>
      </c>
      <c r="W8" s="207"/>
      <c r="X8" s="496">
        <f t="shared" si="2"/>
        <v>6.686916382109831E-2</v>
      </c>
      <c r="Y8" s="496">
        <f t="shared" si="3"/>
        <v>0.34683580239397038</v>
      </c>
    </row>
    <row r="9" spans="1:31" ht="13" customHeight="1">
      <c r="B9" s="71" t="str">
        <f>IF('Summary | Sumário'!D$6=Names!B$3,Names!AB16,Names!AC16)</f>
        <v>Gross loan portfolio in the previous period</v>
      </c>
      <c r="C9" s="208">
        <f>C8</f>
        <v>4777387</v>
      </c>
      <c r="D9" s="208">
        <f>C8</f>
        <v>4777387</v>
      </c>
      <c r="E9" s="208">
        <f t="shared" ref="E9:G9" si="6">D8</f>
        <v>8790058</v>
      </c>
      <c r="F9" s="208">
        <f t="shared" si="6"/>
        <v>17514466</v>
      </c>
      <c r="G9" s="208">
        <f t="shared" si="6"/>
        <v>24543993</v>
      </c>
      <c r="H9" s="208">
        <f>D8</f>
        <v>8790058</v>
      </c>
      <c r="I9" s="208">
        <f>H8</f>
        <v>10328685.6263</v>
      </c>
      <c r="J9" s="208">
        <f t="shared" ref="J9:V9" si="7">I8</f>
        <v>12598761.061000001</v>
      </c>
      <c r="K9" s="208">
        <f t="shared" si="7"/>
        <v>14957638.932</v>
      </c>
      <c r="L9" s="208">
        <f t="shared" si="7"/>
        <v>17514466</v>
      </c>
      <c r="M9" s="208">
        <f t="shared" si="7"/>
        <v>18523657.585999999</v>
      </c>
      <c r="N9" s="208">
        <f t="shared" si="7"/>
        <v>19864563.609999999</v>
      </c>
      <c r="O9" s="208">
        <f t="shared" si="7"/>
        <v>22035054</v>
      </c>
      <c r="P9" s="208">
        <f t="shared" si="7"/>
        <v>24543993</v>
      </c>
      <c r="Q9" s="208">
        <f t="shared" si="7"/>
        <v>25129298</v>
      </c>
      <c r="R9" s="208">
        <f t="shared" si="7"/>
        <v>26474360</v>
      </c>
      <c r="S9" s="208">
        <f t="shared" si="7"/>
        <v>28258743</v>
      </c>
      <c r="T9" s="208">
        <f t="shared" si="7"/>
        <v>31020837</v>
      </c>
      <c r="U9" s="208">
        <f t="shared" si="7"/>
        <v>32143623.531950202</v>
      </c>
      <c r="V9" s="208">
        <f t="shared" si="7"/>
        <v>35674371.416579999</v>
      </c>
      <c r="W9" s="207"/>
      <c r="X9" s="497">
        <f t="shared" si="2"/>
        <v>0.10984287073672006</v>
      </c>
      <c r="Y9" s="497">
        <f t="shared" si="3"/>
        <v>0.34750647103763788</v>
      </c>
    </row>
    <row r="10" spans="1:31" ht="13" customHeight="1">
      <c r="B10" s="355" t="str">
        <f>IF('Summary | Sumário'!D$6=Names!B$3,Names!AB17,Names!AC17)</f>
        <v>Cost of risk (%)</v>
      </c>
      <c r="C10" s="371">
        <f>C5/C7</f>
        <v>2.9005395627358637E-2</v>
      </c>
      <c r="D10" s="371">
        <f t="shared" ref="D10:Q10" si="8">D5/D7</f>
        <v>3.1500109268915409E-2</v>
      </c>
      <c r="E10" s="371">
        <f t="shared" si="8"/>
        <v>4.5283541340645432E-2</v>
      </c>
      <c r="F10" s="371">
        <f>F5/F7</f>
        <v>5.1511017082199802E-2</v>
      </c>
      <c r="G10" s="371">
        <f t="shared" ref="G10" si="9">G5/G7</f>
        <v>5.5487760873199829E-2</v>
      </c>
      <c r="H10" s="371">
        <f t="shared" si="8"/>
        <v>4.4634313670387712E-2</v>
      </c>
      <c r="I10" s="371">
        <f t="shared" si="8"/>
        <v>5.8424647902114324E-2</v>
      </c>
      <c r="J10" s="371">
        <f t="shared" si="8"/>
        <v>4.0064739961695038E-2</v>
      </c>
      <c r="K10" s="371">
        <f t="shared" si="8"/>
        <v>4.5199656846193884E-2</v>
      </c>
      <c r="L10" s="371">
        <f t="shared" si="8"/>
        <v>6.9469987637552258E-2</v>
      </c>
      <c r="M10" s="371">
        <f t="shared" si="8"/>
        <v>5.052883253163383E-2</v>
      </c>
      <c r="N10" s="371">
        <f t="shared" si="8"/>
        <v>5.0236830789062659E-2</v>
      </c>
      <c r="O10" s="371">
        <f t="shared" si="8"/>
        <v>4.5464906141166862E-2</v>
      </c>
      <c r="P10" s="371">
        <f t="shared" si="8"/>
        <v>5.6477997401058043E-2</v>
      </c>
      <c r="Q10" s="371">
        <f t="shared" si="8"/>
        <v>6.1787867829059713E-2</v>
      </c>
      <c r="R10" s="371">
        <v>5.8999999999999997E-2</v>
      </c>
      <c r="S10" s="371">
        <f t="shared" ref="S10:T10" si="10">S5/S7</f>
        <v>5.1882148962593862E-2</v>
      </c>
      <c r="T10" s="371">
        <f t="shared" si="10"/>
        <v>5.2060667855093147E-2</v>
      </c>
      <c r="U10" s="371">
        <f t="shared" ref="U10:V10" si="11">U5/U7</f>
        <v>4.9691550016446435E-2</v>
      </c>
      <c r="V10" s="371">
        <f t="shared" si="11"/>
        <v>5.1148832185524698E-2</v>
      </c>
      <c r="W10" s="428"/>
      <c r="X10" s="485">
        <f>(V10-U10)*100</f>
        <v>0.14572821690782625</v>
      </c>
      <c r="Y10" s="485">
        <f>(V10-R10)*100</f>
        <v>-0.78511678144752994</v>
      </c>
      <c r="AA10" s="186"/>
      <c r="AB10" s="186"/>
      <c r="AC10" s="186"/>
    </row>
    <row r="11" spans="1:31" ht="13" customHeight="1">
      <c r="B11" s="8"/>
      <c r="C11" s="210"/>
      <c r="D11" s="210"/>
      <c r="E11" s="210"/>
      <c r="F11" s="210"/>
      <c r="G11" s="210"/>
      <c r="H11" s="210"/>
      <c r="I11" s="210"/>
      <c r="J11" s="210"/>
      <c r="K11" s="210"/>
      <c r="L11" s="210"/>
      <c r="M11" s="210"/>
      <c r="N11" s="210"/>
      <c r="O11" s="210"/>
      <c r="P11" s="210"/>
      <c r="Q11" s="210"/>
      <c r="R11" s="210"/>
      <c r="S11" s="210"/>
      <c r="T11" s="210"/>
      <c r="U11" s="210"/>
      <c r="V11" s="210"/>
      <c r="X11" s="210"/>
      <c r="Y11" s="210"/>
      <c r="AB11" s="186"/>
      <c r="AC11" s="186"/>
    </row>
    <row r="12" spans="1:31" s="136" customFormat="1" ht="13" customHeight="1">
      <c r="A12" s="135"/>
      <c r="B12" s="3" t="str">
        <f>IF('Summary | Sumário'!D$6=Names!B$3,Names!AB2,Names!AC2)</f>
        <v>Cost of risk  (Excl. Antic. of CC Receivables)</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135"/>
      <c r="AA12" s="135"/>
      <c r="AB12" s="135"/>
      <c r="AC12" s="135"/>
      <c r="AD12" s="135"/>
    </row>
    <row r="13" spans="1:31" s="136" customFormat="1" ht="13" customHeight="1">
      <c r="A13" s="135"/>
      <c r="B13" s="379" t="str">
        <f>IF('Summary | Sumário'!D$6=Names!B$3,Names!AB3,Names!AC3)</f>
        <v>Anuallized impairment losses on financial assets</v>
      </c>
      <c r="C13" s="357">
        <f>C14</f>
        <v>138570</v>
      </c>
      <c r="D13" s="357">
        <f t="shared" ref="D13:G13" si="12">D14</f>
        <v>213688</v>
      </c>
      <c r="E13" s="357">
        <f t="shared" si="12"/>
        <v>595581</v>
      </c>
      <c r="F13" s="357">
        <f t="shared" si="12"/>
        <v>1083237</v>
      </c>
      <c r="G13" s="357">
        <f t="shared" si="12"/>
        <v>1541584</v>
      </c>
      <c r="H13" s="357">
        <f>H14*4</f>
        <v>426676</v>
      </c>
      <c r="I13" s="357">
        <f t="shared" ref="I13:V13" si="13">I14*4</f>
        <v>669764</v>
      </c>
      <c r="J13" s="357">
        <f t="shared" si="13"/>
        <v>552020</v>
      </c>
      <c r="K13" s="357">
        <f t="shared" si="13"/>
        <v>733864</v>
      </c>
      <c r="L13" s="357">
        <f t="shared" si="13"/>
        <v>1251784</v>
      </c>
      <c r="M13" s="357">
        <f t="shared" si="13"/>
        <v>969856</v>
      </c>
      <c r="N13" s="357">
        <f t="shared" si="13"/>
        <v>1052452</v>
      </c>
      <c r="O13" s="357">
        <f t="shared" si="13"/>
        <v>1058856</v>
      </c>
      <c r="P13" s="357">
        <f t="shared" si="13"/>
        <v>1402724</v>
      </c>
      <c r="Q13" s="357">
        <f t="shared" si="13"/>
        <v>1594240</v>
      </c>
      <c r="R13" s="357">
        <f t="shared" si="13"/>
        <v>1631596</v>
      </c>
      <c r="S13" s="357">
        <f t="shared" si="13"/>
        <v>1537776</v>
      </c>
      <c r="T13" s="357">
        <f t="shared" si="13"/>
        <v>1644192</v>
      </c>
      <c r="U13" s="357">
        <f t="shared" si="13"/>
        <v>1684990.6440000001</v>
      </c>
      <c r="V13" s="357">
        <f t="shared" si="13"/>
        <v>1885710.6</v>
      </c>
      <c r="W13" s="211"/>
      <c r="X13" s="455">
        <f t="shared" ref="X13:X17" si="14">V13/U13-1</f>
        <v>0.11912229703751409</v>
      </c>
      <c r="Y13" s="455">
        <f t="shared" ref="Y13:Y17" si="15">V13/R13-1</f>
        <v>0.15574603026729661</v>
      </c>
      <c r="Z13" s="135"/>
      <c r="AA13" s="135"/>
      <c r="AB13" s="135"/>
      <c r="AC13" s="135"/>
      <c r="AD13" s="135"/>
    </row>
    <row r="14" spans="1:31" s="136" customFormat="1" ht="13" customHeight="1">
      <c r="A14" s="135"/>
      <c r="B14" s="79" t="str">
        <f>IF('Summary | Sumário'!D$6=Names!B$3,Names!AB4,Names!AC4)</f>
        <v>Impairment losses on financial assets</v>
      </c>
      <c r="C14" s="207">
        <v>138570</v>
      </c>
      <c r="D14" s="207">
        <v>213688</v>
      </c>
      <c r="E14" s="207">
        <v>595581</v>
      </c>
      <c r="F14" s="207">
        <v>1083237</v>
      </c>
      <c r="G14" s="207">
        <v>1541584</v>
      </c>
      <c r="H14" s="207">
        <v>106669</v>
      </c>
      <c r="I14" s="207">
        <v>167441</v>
      </c>
      <c r="J14" s="207">
        <v>138005</v>
      </c>
      <c r="K14" s="207">
        <v>183466</v>
      </c>
      <c r="L14" s="207">
        <v>312946</v>
      </c>
      <c r="M14" s="207">
        <v>242464</v>
      </c>
      <c r="N14" s="207">
        <v>263113</v>
      </c>
      <c r="O14" s="207">
        <v>264714</v>
      </c>
      <c r="P14" s="207">
        <v>350681</v>
      </c>
      <c r="Q14" s="207">
        <v>398560</v>
      </c>
      <c r="R14" s="207">
        <v>407899</v>
      </c>
      <c r="S14" s="207">
        <v>384444</v>
      </c>
      <c r="T14" s="207">
        <v>411048</v>
      </c>
      <c r="U14" s="207">
        <v>421247.66100000002</v>
      </c>
      <c r="V14" s="207">
        <v>471427.65</v>
      </c>
      <c r="W14" s="207"/>
      <c r="X14" s="496">
        <f t="shared" si="14"/>
        <v>0.11912229703751409</v>
      </c>
      <c r="Y14" s="496">
        <f t="shared" si="15"/>
        <v>0.15574603026729661</v>
      </c>
      <c r="Z14" s="135"/>
      <c r="AA14" s="135"/>
      <c r="AB14" s="135"/>
      <c r="AC14" s="135"/>
      <c r="AD14" s="135"/>
    </row>
    <row r="15" spans="1:31" s="136" customFormat="1" ht="13" customHeight="1">
      <c r="A15" s="135"/>
      <c r="B15" s="88" t="str">
        <f>IF('Summary | Sumário'!D$6=Names!B$3,Names!AB5,Names!AC5)</f>
        <v>(÷) Avg of the last two periods of gross loans and advances to customers</v>
      </c>
      <c r="C15" s="208">
        <f>AVERAGE(C16,C17)</f>
        <v>4777387</v>
      </c>
      <c r="D15" s="208">
        <f t="shared" ref="D15:Q15" si="16">AVERAGE(D16,D17)</f>
        <v>6783722.5</v>
      </c>
      <c r="E15" s="208">
        <f t="shared" si="16"/>
        <v>13003210</v>
      </c>
      <c r="F15" s="208">
        <f t="shared" si="16"/>
        <v>19957345</v>
      </c>
      <c r="G15" s="208">
        <f t="shared" ref="G15" si="17">AVERAGE(G16,G17)</f>
        <v>26241314.5</v>
      </c>
      <c r="H15" s="208">
        <f t="shared" si="16"/>
        <v>9516483.6721500009</v>
      </c>
      <c r="I15" s="208">
        <f t="shared" si="16"/>
        <v>11385077.672150001</v>
      </c>
      <c r="J15" s="208">
        <f t="shared" si="16"/>
        <v>13693664.5</v>
      </c>
      <c r="K15" s="208">
        <f t="shared" si="16"/>
        <v>16038222.5</v>
      </c>
      <c r="L15" s="208">
        <f t="shared" si="16"/>
        <v>17696333</v>
      </c>
      <c r="M15" s="208">
        <f t="shared" si="16"/>
        <v>18830475.199999999</v>
      </c>
      <c r="N15" s="208">
        <f t="shared" si="16"/>
        <v>20244957.199999999</v>
      </c>
      <c r="O15" s="208">
        <f t="shared" si="16"/>
        <v>21851798</v>
      </c>
      <c r="P15" s="208">
        <f t="shared" si="16"/>
        <v>23265601</v>
      </c>
      <c r="Q15" s="208">
        <f t="shared" si="16"/>
        <v>24487128.5</v>
      </c>
      <c r="R15" s="208">
        <f t="shared" ref="R15:S15" si="18">AVERAGE(R16,R17)</f>
        <v>26092492</v>
      </c>
      <c r="S15" s="208">
        <f t="shared" si="18"/>
        <v>28413951</v>
      </c>
      <c r="T15" s="208">
        <f t="shared" ref="T15:U15" si="19">AVERAGE(T16,T17)</f>
        <v>30321463.940545101</v>
      </c>
      <c r="U15" s="208">
        <f t="shared" si="19"/>
        <v>31915089.440545101</v>
      </c>
      <c r="V15" s="208">
        <f t="shared" ref="V15" si="20">AVERAGE(V16,V17)</f>
        <v>33338720</v>
      </c>
      <c r="W15" s="207"/>
      <c r="X15" s="497">
        <f t="shared" si="14"/>
        <v>4.4606817164244195E-2</v>
      </c>
      <c r="Y15" s="497">
        <f t="shared" si="15"/>
        <v>0.27771314445550077</v>
      </c>
      <c r="Z15" s="135"/>
      <c r="AA15" s="186"/>
      <c r="AB15" s="135"/>
      <c r="AC15" s="135"/>
      <c r="AD15" s="135"/>
    </row>
    <row r="16" spans="1:31" s="136" customFormat="1" ht="13" customHeight="1">
      <c r="A16" s="135"/>
      <c r="B16" s="67" t="str">
        <f>IF('Summary | Sumário'!D$6=Names!B$3,Names!AB6,Names!AC6)</f>
        <v>Gross loans and advances to customers</v>
      </c>
      <c r="C16" s="207">
        <v>4777387</v>
      </c>
      <c r="D16" s="207">
        <v>8790058</v>
      </c>
      <c r="E16" s="207">
        <f>K16</f>
        <v>17216362</v>
      </c>
      <c r="F16" s="207">
        <f>O16</f>
        <v>22698328</v>
      </c>
      <c r="G16" s="207">
        <f>S16</f>
        <v>29784301</v>
      </c>
      <c r="H16" s="207">
        <v>10242909.3443</v>
      </c>
      <c r="I16" s="207">
        <v>12527246</v>
      </c>
      <c r="J16" s="207">
        <v>14860083</v>
      </c>
      <c r="K16" s="207">
        <v>17216362</v>
      </c>
      <c r="L16" s="207">
        <v>18176304</v>
      </c>
      <c r="M16" s="207">
        <v>19484646.399999999</v>
      </c>
      <c r="N16" s="207">
        <v>21005268</v>
      </c>
      <c r="O16" s="207">
        <v>22698328</v>
      </c>
      <c r="P16" s="207">
        <v>23832874</v>
      </c>
      <c r="Q16" s="207">
        <v>25141383</v>
      </c>
      <c r="R16" s="207">
        <v>27043601</v>
      </c>
      <c r="S16" s="207">
        <v>29784301</v>
      </c>
      <c r="T16" s="207">
        <v>30858626.881090201</v>
      </c>
      <c r="U16" s="207">
        <v>32971552</v>
      </c>
      <c r="V16" s="207">
        <v>33705888</v>
      </c>
      <c r="W16" s="207"/>
      <c r="X16" s="496">
        <f t="shared" si="14"/>
        <v>2.2271805706931769E-2</v>
      </c>
      <c r="Y16" s="496">
        <f t="shared" si="15"/>
        <v>0.24635354589057878</v>
      </c>
      <c r="Z16" s="135"/>
      <c r="AA16" s="135"/>
      <c r="AB16" s="135"/>
      <c r="AC16" s="135"/>
      <c r="AD16" s="135"/>
    </row>
    <row r="17" spans="1:30" s="136" customFormat="1" ht="13" customHeight="1">
      <c r="A17" s="135"/>
      <c r="B17" s="71" t="str">
        <f>IF('Summary | Sumário'!D$6=Names!B$3,Names!AB7,Names!AC7)</f>
        <v>Gross loans and advances to customers in the previous period</v>
      </c>
      <c r="C17" s="208">
        <f>C16</f>
        <v>4777387</v>
      </c>
      <c r="D17" s="208">
        <f>C16</f>
        <v>4777387</v>
      </c>
      <c r="E17" s="208">
        <f t="shared" ref="E17:G17" si="21">D16</f>
        <v>8790058</v>
      </c>
      <c r="F17" s="208">
        <f t="shared" si="21"/>
        <v>17216362</v>
      </c>
      <c r="G17" s="208">
        <f t="shared" si="21"/>
        <v>22698328</v>
      </c>
      <c r="H17" s="208">
        <f>D16</f>
        <v>8790058</v>
      </c>
      <c r="I17" s="208">
        <f>H16</f>
        <v>10242909.3443</v>
      </c>
      <c r="J17" s="208">
        <f t="shared" ref="J17:V17" si="22">I16</f>
        <v>12527246</v>
      </c>
      <c r="K17" s="208">
        <f t="shared" si="22"/>
        <v>14860083</v>
      </c>
      <c r="L17" s="208">
        <f t="shared" si="22"/>
        <v>17216362</v>
      </c>
      <c r="M17" s="208">
        <f t="shared" si="22"/>
        <v>18176304</v>
      </c>
      <c r="N17" s="208">
        <f t="shared" si="22"/>
        <v>19484646.399999999</v>
      </c>
      <c r="O17" s="208">
        <f t="shared" si="22"/>
        <v>21005268</v>
      </c>
      <c r="P17" s="208">
        <f t="shared" si="22"/>
        <v>22698328</v>
      </c>
      <c r="Q17" s="208">
        <f t="shared" si="22"/>
        <v>23832874</v>
      </c>
      <c r="R17" s="208">
        <f t="shared" si="22"/>
        <v>25141383</v>
      </c>
      <c r="S17" s="208">
        <f t="shared" si="22"/>
        <v>27043601</v>
      </c>
      <c r="T17" s="208">
        <f t="shared" si="22"/>
        <v>29784301</v>
      </c>
      <c r="U17" s="208">
        <f t="shared" si="22"/>
        <v>30858626.881090201</v>
      </c>
      <c r="V17" s="208">
        <f t="shared" si="22"/>
        <v>32971552</v>
      </c>
      <c r="W17" s="207"/>
      <c r="X17" s="497">
        <f t="shared" si="14"/>
        <v>6.8471132142453595E-2</v>
      </c>
      <c r="Y17" s="497">
        <f t="shared" si="15"/>
        <v>0.31144543639464861</v>
      </c>
      <c r="Z17" s="135"/>
      <c r="AA17" s="135"/>
      <c r="AB17" s="135"/>
      <c r="AC17" s="135"/>
      <c r="AD17" s="135"/>
    </row>
    <row r="18" spans="1:30" s="136" customFormat="1" ht="13" customHeight="1">
      <c r="A18" s="135"/>
      <c r="B18" s="355" t="str">
        <f>IF('Summary | Sumário'!D$6=Names!B$3,Names!AB8,Names!AC8)</f>
        <v>Cost of risk (%) (Excl. Antic. of CC Receivables)</v>
      </c>
      <c r="C18" s="371">
        <f>C13/C15</f>
        <v>2.9005395627358637E-2</v>
      </c>
      <c r="D18" s="371">
        <f t="shared" ref="D18:Q18" si="23">D13/D15</f>
        <v>3.1500109268915409E-2</v>
      </c>
      <c r="E18" s="371">
        <f t="shared" si="23"/>
        <v>4.5802613354702419E-2</v>
      </c>
      <c r="F18" s="371">
        <f t="shared" si="23"/>
        <v>5.4277610573951598E-2</v>
      </c>
      <c r="G18" s="371">
        <f t="shared" ref="G18" si="24">G13/G15</f>
        <v>5.8746447324504264E-2</v>
      </c>
      <c r="H18" s="371">
        <f t="shared" si="23"/>
        <v>4.4835468088771882E-2</v>
      </c>
      <c r="I18" s="371">
        <f t="shared" si="23"/>
        <v>5.8828232822545096E-2</v>
      </c>
      <c r="J18" s="371">
        <f t="shared" si="23"/>
        <v>4.0312072783731487E-2</v>
      </c>
      <c r="K18" s="371">
        <f t="shared" si="23"/>
        <v>4.5757190361961866E-2</v>
      </c>
      <c r="L18" s="371">
        <f t="shared" si="23"/>
        <v>7.0736914817324012E-2</v>
      </c>
      <c r="M18" s="371">
        <f t="shared" si="23"/>
        <v>5.1504595061945123E-2</v>
      </c>
      <c r="N18" s="371">
        <f t="shared" si="23"/>
        <v>5.1985884168725238E-2</v>
      </c>
      <c r="O18" s="371">
        <f t="shared" si="23"/>
        <v>4.8456241449788252E-2</v>
      </c>
      <c r="P18" s="371">
        <f t="shared" si="23"/>
        <v>6.0291758635420592E-2</v>
      </c>
      <c r="Q18" s="371">
        <f t="shared" si="23"/>
        <v>6.5105224567266029E-2</v>
      </c>
      <c r="R18" s="371">
        <f t="shared" ref="R18:S18" si="25">R13/R15</f>
        <v>6.2531244620099916E-2</v>
      </c>
      <c r="S18" s="371">
        <f t="shared" si="25"/>
        <v>5.4120456532074687E-2</v>
      </c>
      <c r="T18" s="371">
        <f t="shared" ref="T18:U18" si="26">T13/T15</f>
        <v>5.4225350175175012E-2</v>
      </c>
      <c r="U18" s="371">
        <f t="shared" si="26"/>
        <v>5.2796049565801279E-2</v>
      </c>
      <c r="V18" s="371">
        <f t="shared" ref="V18" si="27">V13/V15</f>
        <v>5.656217755210758E-2</v>
      </c>
      <c r="W18" s="428"/>
      <c r="X18" s="485">
        <f>(V18-U18)*100</f>
        <v>0.37661279863063013</v>
      </c>
      <c r="Y18" s="485">
        <f>(V18-R18)*100</f>
        <v>-0.59690670679923352</v>
      </c>
      <c r="Z18" s="135"/>
      <c r="AA18" s="135"/>
      <c r="AB18" s="135"/>
      <c r="AC18" s="135"/>
      <c r="AD18" s="135"/>
    </row>
    <row r="19" spans="1:30" s="136" customFormat="1" ht="13" customHeight="1">
      <c r="A19" s="135"/>
      <c r="Z19" s="135"/>
      <c r="AA19" s="135"/>
      <c r="AB19" s="135"/>
      <c r="AC19" s="135"/>
      <c r="AD19" s="135"/>
    </row>
    <row r="20" spans="1:30" ht="13" customHeight="1">
      <c r="B20" s="135" t="str">
        <f>IF('Summary | Sumário'!D$6=Names!B$3,Names!AB9,Names!AC9)</f>
        <v>Note 1: 1Q22 managerial figure, excluding non-recurrent provision.</v>
      </c>
    </row>
  </sheetData>
  <sheetProtection algorithmName="SHA-512" hashValue="T9C2tsx9lvnyEroTNRJdjW3mji+P4WP8kgc9/ihaK5Vjii9HoGg3afTzwi4hy/YuLHKvb7yBgsLQ0Z2ahpmL1w==" saltValue="HBUI0vjgItl7/lBLaUkwSA=="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ignoredErrors>
    <ignoredError sqref="H2:Q3 B20 B2:F3" unlockedFormula="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C9E7-C15F-C54E-91DA-FB1743B8D9A3}">
  <sheetPr codeName="Sheet18">
    <tabColor rgb="FFFFCA96"/>
  </sheetPr>
  <dimension ref="A1:AB64"/>
  <sheetViews>
    <sheetView showGridLines="0" zoomScaleNormal="100" workbookViewId="0">
      <pane xSplit="2" ySplit="3" topLeftCell="C4" activePane="bottomRight" state="frozen"/>
      <selection pane="topRight" activeCell="I52" sqref="I52"/>
      <selection pane="bottomLeft" activeCell="I52" sqref="I52"/>
      <selection pane="bottomRight"/>
    </sheetView>
  </sheetViews>
  <sheetFormatPr baseColWidth="10" defaultColWidth="10.83203125" defaultRowHeight="13" customHeight="1"/>
  <cols>
    <col min="1" max="1" width="3.5" style="168" customWidth="1"/>
    <col min="2" max="2" width="68.33203125" style="168" customWidth="1"/>
    <col min="3" max="19" width="10.83203125" style="168" customWidth="1"/>
    <col min="20" max="20" width="5.83203125" style="168" customWidth="1"/>
    <col min="21" max="22" width="10.83203125" style="168" customWidth="1"/>
    <col min="23" max="16384" width="10.83203125" style="168"/>
  </cols>
  <sheetData>
    <row r="1" spans="1:28" s="135" customFormat="1" ht="13" customHeight="1">
      <c r="C1" s="177" t="s">
        <v>60</v>
      </c>
      <c r="D1" s="177" t="s">
        <v>92</v>
      </c>
      <c r="E1" s="177"/>
      <c r="F1" s="177"/>
      <c r="G1" s="136"/>
      <c r="H1" s="136"/>
      <c r="I1" s="136"/>
      <c r="J1" s="136"/>
      <c r="K1" s="136"/>
      <c r="L1" s="136"/>
      <c r="M1" s="136"/>
      <c r="N1" s="136"/>
      <c r="O1" s="136"/>
      <c r="P1" s="136"/>
      <c r="Q1" s="136"/>
      <c r="R1" s="136"/>
      <c r="S1" s="136"/>
      <c r="T1" s="136"/>
      <c r="U1" s="136"/>
      <c r="V1" s="136"/>
      <c r="W1" s="136"/>
    </row>
    <row r="2" spans="1:28" s="142" customFormat="1" ht="13" customHeight="1">
      <c r="B2" s="319" t="str">
        <f>IF('Summary | Sumário'!D$6=Names!B$3,Names!AX1,Names!AY1)</f>
        <v>Inter Invest (Managerial, R$ Million)</v>
      </c>
      <c r="C2" s="20" t="str">
        <f>IF('Summary | Sumário'!D$6=Names!B$3,Names!E2,Names!F2)</f>
        <v>4Q19</v>
      </c>
      <c r="D2" s="20" t="str">
        <f>IF('Summary | Sumário'!D$6=Names!B$3,Names!E3,Names!F3)</f>
        <v>4Q20</v>
      </c>
      <c r="E2" s="20" t="str">
        <f>IF('Summary | Sumário'!D$6=Names!B$3,Names!E4,Names!F4)</f>
        <v>1Q21</v>
      </c>
      <c r="F2" s="20" t="str">
        <f>IF('Summary | Sumário'!D$6=Names!B$3,Names!E5,Names!F5)</f>
        <v>2Q21</v>
      </c>
      <c r="G2" s="20" t="str">
        <f>IF('Summary | Sumário'!D$6=Names!B$3,Names!E6,Names!F6)</f>
        <v>3Q21</v>
      </c>
      <c r="H2" s="21" t="str">
        <f>IF('Summary | Sumário'!D$6=Names!B$3,Names!E7,Names!F7)</f>
        <v>4Q21</v>
      </c>
      <c r="I2" s="21" t="str">
        <f>IF('Summary | Sumário'!D$6=Names!B$3,Names!E8,Names!F8)</f>
        <v>1Q22</v>
      </c>
      <c r="J2" s="21" t="str">
        <f>IF('Summary | Sumário'!D$6=Names!B$3,Names!E9,Names!F9)</f>
        <v>2Q22</v>
      </c>
      <c r="K2" s="21" t="str">
        <f>IF('Summary | Sumário'!D$6=Names!B$3,Names!E10,Names!F10)</f>
        <v>3Q22</v>
      </c>
      <c r="L2" s="21" t="str">
        <f>IF('Summary | Sumário'!D$6=Names!B$3,Names!E11,Names!F11)</f>
        <v>4Q22</v>
      </c>
      <c r="M2" s="21" t="str">
        <f>IF('Summary | Sumário'!D$6=Names!B$3,Names!E12,Names!F12)</f>
        <v>1Q23</v>
      </c>
      <c r="N2" s="21" t="str">
        <f>IF('Summary | Sumário'!D$6=Names!B$3,Names!E13,Names!F13)</f>
        <v>2Q23</v>
      </c>
      <c r="O2" s="21" t="str">
        <f>IF('Summary | Sumário'!D$6=Names!B$3,Names!E14,Names!F14)</f>
        <v>3Q23</v>
      </c>
      <c r="P2" s="21" t="str">
        <f>IF('Summary | Sumário'!D$6=Names!B$3,Names!E15,Names!F15)</f>
        <v>4Q23</v>
      </c>
      <c r="Q2" s="21" t="str">
        <f>IF('Summary | Sumário'!D$6=Names!B$3,Names!E16,Names!F16)</f>
        <v>1Q24</v>
      </c>
      <c r="R2" s="21" t="str">
        <f>IF('Summary | Sumário'!D$6=Names!B$3,Names!E17,Names!F17)</f>
        <v>2Q24</v>
      </c>
      <c r="S2" s="320" t="str">
        <f>IF('Summary | Sumário'!D$6=Names!B$3,Names!E18,Names!F18)</f>
        <v>3Q24</v>
      </c>
      <c r="T2" s="422"/>
      <c r="U2" s="116" t="str">
        <f>IF('Summary | Sumário'!$D$6=Names!$B$3,Names!$I$24,Names!$J$24)</f>
        <v>QoQ Variation</v>
      </c>
      <c r="V2" s="116" t="str">
        <f>IF('Summary | Sumário'!$D$6=Names!$B$3,Names!$I$25,Names!$J$25)</f>
        <v>YoY Variation</v>
      </c>
      <c r="W2" s="138"/>
      <c r="X2" s="140"/>
      <c r="Y2" s="141"/>
      <c r="AA2" s="143"/>
      <c r="AB2" s="144"/>
    </row>
    <row r="3" spans="1:28" s="135" customFormat="1" ht="13" customHeight="1">
      <c r="B3" s="14"/>
      <c r="C3" s="146"/>
      <c r="D3" s="146"/>
      <c r="E3" s="147"/>
      <c r="F3" s="147"/>
      <c r="G3" s="147"/>
      <c r="H3" s="147"/>
      <c r="I3" s="147"/>
      <c r="J3" s="147"/>
      <c r="K3" s="147"/>
      <c r="L3" s="147"/>
      <c r="M3" s="147"/>
      <c r="N3" s="147"/>
      <c r="O3" s="147"/>
      <c r="P3" s="147"/>
      <c r="Q3" s="147"/>
      <c r="R3" s="147"/>
      <c r="S3" s="147"/>
      <c r="T3" s="147"/>
      <c r="U3" s="147"/>
      <c r="V3" s="147"/>
      <c r="W3" s="147"/>
    </row>
    <row r="4" spans="1:28" ht="13" customHeight="1">
      <c r="A4" s="166"/>
      <c r="B4" s="3" t="str">
        <f>IF('Summary | Sumário'!D$6=Names!B$3,Names!AX3,Names!AY3)</f>
        <v>Inter invest</v>
      </c>
      <c r="C4" s="170"/>
      <c r="D4" s="170"/>
      <c r="E4" s="170"/>
      <c r="F4" s="170"/>
      <c r="G4" s="170"/>
      <c r="H4" s="170"/>
      <c r="I4" s="170"/>
      <c r="J4" s="170"/>
      <c r="K4" s="170"/>
      <c r="L4" s="170"/>
      <c r="M4" s="170"/>
      <c r="N4" s="170"/>
      <c r="O4" s="170"/>
      <c r="P4" s="170"/>
      <c r="Q4" s="170"/>
      <c r="R4" s="170"/>
      <c r="S4" s="170"/>
      <c r="T4" s="170"/>
      <c r="U4" s="170"/>
      <c r="V4" s="170"/>
    </row>
    <row r="5" spans="1:28" ht="13" customHeight="1">
      <c r="A5" s="166"/>
      <c r="B5" s="379" t="str">
        <f>IF('Summary | Sumário'!D$6=Names!B$3,Names!AX4,Names!AY4)</f>
        <v>Total AUC</v>
      </c>
      <c r="C5" s="380">
        <f>SUM(C6:C8)</f>
        <v>18334.29077</v>
      </c>
      <c r="D5" s="380">
        <f t="shared" ref="D5:M5" si="0">SUM(D6:D8)</f>
        <v>44099.232784510008</v>
      </c>
      <c r="E5" s="380">
        <f t="shared" si="0"/>
        <v>52376.706477599975</v>
      </c>
      <c r="F5" s="380">
        <f t="shared" si="0"/>
        <v>63464.019114700051</v>
      </c>
      <c r="G5" s="380">
        <f t="shared" si="0"/>
        <v>60324.526333440008</v>
      </c>
      <c r="H5" s="380">
        <f t="shared" si="0"/>
        <v>56887.303352699601</v>
      </c>
      <c r="I5" s="380">
        <f t="shared" si="0"/>
        <v>58138.286373499977</v>
      </c>
      <c r="J5" s="380">
        <f t="shared" si="0"/>
        <v>54559.79457161</v>
      </c>
      <c r="K5" s="380">
        <f t="shared" si="0"/>
        <v>62349.211153180004</v>
      </c>
      <c r="L5" s="380">
        <f t="shared" si="0"/>
        <v>66723.736438719992</v>
      </c>
      <c r="M5" s="380">
        <f t="shared" si="0"/>
        <v>67986.417997459968</v>
      </c>
      <c r="N5" s="380">
        <f t="shared" ref="N5:O5" si="1">SUM(N6:N8)</f>
        <v>76842.170568875445</v>
      </c>
      <c r="O5" s="380">
        <f t="shared" si="1"/>
        <v>82892.927662269998</v>
      </c>
      <c r="P5" s="380">
        <f t="shared" ref="P5:Q5" si="2">SUM(P6:P8)</f>
        <v>91798.553434000001</v>
      </c>
      <c r="Q5" s="380">
        <f t="shared" si="2"/>
        <v>94882.291527389752</v>
      </c>
      <c r="R5" s="380">
        <f t="shared" ref="R5:S5" si="3">SUM(R6:R8)</f>
        <v>105218.94690225135</v>
      </c>
      <c r="S5" s="380">
        <f t="shared" si="3"/>
        <v>122489.5021469332</v>
      </c>
      <c r="T5" s="491"/>
      <c r="U5" s="500">
        <f>S5/R5-1</f>
        <v>0.1641392140212754</v>
      </c>
      <c r="V5" s="500">
        <f>S5/O5-1</f>
        <v>0.47768338748983763</v>
      </c>
    </row>
    <row r="6" spans="1:28" ht="13" customHeight="1">
      <c r="A6" s="166"/>
      <c r="B6" s="81" t="str">
        <f>IF('Summary | Sumário'!D$6=Names!B$3,Names!AX5,Names!AY5)</f>
        <v>Funding (includes deposits and other on-balance funding)</v>
      </c>
      <c r="C6" s="169">
        <v>6434.0190000000002</v>
      </c>
      <c r="D6" s="169">
        <v>14166.066999999999</v>
      </c>
      <c r="E6" s="169">
        <v>15097.571</v>
      </c>
      <c r="F6" s="169">
        <v>17710.853999999999</v>
      </c>
      <c r="G6" s="169">
        <v>20186.793000000001</v>
      </c>
      <c r="H6" s="169">
        <v>21905.634999999998</v>
      </c>
      <c r="I6" s="169">
        <v>23239.074000000001</v>
      </c>
      <c r="J6" s="169">
        <v>25850.632000000001</v>
      </c>
      <c r="K6" s="169">
        <v>28368.945</v>
      </c>
      <c r="L6" s="169">
        <v>29844.969000000001</v>
      </c>
      <c r="M6" s="169">
        <v>30822.562999999998</v>
      </c>
      <c r="N6" s="169">
        <v>33305.51704074</v>
      </c>
      <c r="O6" s="169">
        <v>36526.552537269999</v>
      </c>
      <c r="P6" s="169">
        <v>40746.661999999997</v>
      </c>
      <c r="Q6" s="169">
        <v>40892.586921435941</v>
      </c>
      <c r="R6" s="169">
        <v>44521.566244000001</v>
      </c>
      <c r="S6" s="169">
        <v>48177.415530270009</v>
      </c>
      <c r="T6" s="169"/>
      <c r="U6" s="466">
        <f t="shared" ref="U6:U11" si="4">S6/R6-1</f>
        <v>8.2114121193179956E-2</v>
      </c>
      <c r="V6" s="466">
        <f t="shared" ref="V6:V11" si="5">S6/O6-1</f>
        <v>0.31896968598698194</v>
      </c>
    </row>
    <row r="7" spans="1:28" ht="13" customHeight="1">
      <c r="A7" s="166"/>
      <c r="B7" s="80" t="str">
        <f>IF('Summary | Sumário'!D$6=Names!B$3,Names!AX6,Names!AY6)</f>
        <v>Inter Asset AuM + Inter Securities AuM</v>
      </c>
      <c r="C7" s="167">
        <v>0</v>
      </c>
      <c r="D7" s="167">
        <v>3732.8115669999997</v>
      </c>
      <c r="E7" s="167">
        <v>4166.4707679100002</v>
      </c>
      <c r="F7" s="167">
        <v>4701</v>
      </c>
      <c r="G7" s="167">
        <v>5087</v>
      </c>
      <c r="H7" s="167">
        <v>5208</v>
      </c>
      <c r="I7" s="167">
        <v>5383</v>
      </c>
      <c r="J7" s="167">
        <v>5781</v>
      </c>
      <c r="K7" s="167">
        <v>7156</v>
      </c>
      <c r="L7" s="167">
        <v>8391.2768336400004</v>
      </c>
      <c r="M7" s="167">
        <v>7657</v>
      </c>
      <c r="N7" s="167">
        <v>7870.6031021400004</v>
      </c>
      <c r="O7" s="167">
        <v>8194.2440079999997</v>
      </c>
      <c r="P7" s="167">
        <v>9276.8147730000001</v>
      </c>
      <c r="Q7" s="167">
        <v>9534.9427183100015</v>
      </c>
      <c r="R7" s="167">
        <v>10577.920844316301</v>
      </c>
      <c r="S7" s="167">
        <v>17593.237260040001</v>
      </c>
      <c r="T7" s="169"/>
      <c r="U7" s="467">
        <f t="shared" si="4"/>
        <v>0.66320371639887532</v>
      </c>
      <c r="V7" s="467">
        <f t="shared" si="5"/>
        <v>1.1470238429394843</v>
      </c>
    </row>
    <row r="8" spans="1:28" ht="13" customHeight="1">
      <c r="A8" s="165"/>
      <c r="B8" s="81" t="str">
        <f>IF('Summary | Sumário'!D$6=Names!B$3,Names!AX7,Names!AY7)</f>
        <v>Inter DTVM - management, distribution and custody</v>
      </c>
      <c r="C8" s="169">
        <v>11900.271769999999</v>
      </c>
      <c r="D8" s="169">
        <v>26200.354217510005</v>
      </c>
      <c r="E8" s="169">
        <v>33112.664709689976</v>
      </c>
      <c r="F8" s="169">
        <v>41052.165114700052</v>
      </c>
      <c r="G8" s="169">
        <v>35050.733333440003</v>
      </c>
      <c r="H8" s="169">
        <v>29773.668352699602</v>
      </c>
      <c r="I8" s="169">
        <v>29516.212373499977</v>
      </c>
      <c r="J8" s="169">
        <v>22928.162571609999</v>
      </c>
      <c r="K8" s="169">
        <v>26824.26615318</v>
      </c>
      <c r="L8" s="169">
        <v>28487.490605079998</v>
      </c>
      <c r="M8" s="169">
        <v>29506.854997459966</v>
      </c>
      <c r="N8" s="169">
        <v>35666.050425995447</v>
      </c>
      <c r="O8" s="169">
        <v>38172.131116999997</v>
      </c>
      <c r="P8" s="169">
        <v>41775.076660999999</v>
      </c>
      <c r="Q8" s="169">
        <v>44454.761887643806</v>
      </c>
      <c r="R8" s="169">
        <v>50119.459813935049</v>
      </c>
      <c r="S8" s="169">
        <v>56718.849356623192</v>
      </c>
      <c r="T8" s="169"/>
      <c r="U8" s="466">
        <f t="shared" si="4"/>
        <v>0.13167319773971853</v>
      </c>
      <c r="V8" s="466">
        <f t="shared" si="5"/>
        <v>0.48587065214609915</v>
      </c>
      <c r="W8" s="197"/>
    </row>
    <row r="9" spans="1:28" ht="13" customHeight="1">
      <c r="A9" s="166"/>
      <c r="B9" s="78" t="str">
        <f>IF('Summary | Sumário'!D$6=Names!B$3,Names!AX8,Names!AY8)</f>
        <v>Inter Invest net revenues</v>
      </c>
      <c r="C9" s="196"/>
      <c r="D9" s="196"/>
      <c r="E9" s="198">
        <v>14.775224</v>
      </c>
      <c r="F9" s="198">
        <v>15.423358</v>
      </c>
      <c r="G9" s="198">
        <v>33.671531000000002</v>
      </c>
      <c r="H9" s="198">
        <v>31.725574999999999</v>
      </c>
      <c r="I9" s="198">
        <v>32.118471</v>
      </c>
      <c r="J9" s="198">
        <v>34.942397999999997</v>
      </c>
      <c r="K9" s="198">
        <v>39.631746</v>
      </c>
      <c r="L9" s="198">
        <v>25.204698</v>
      </c>
      <c r="M9" s="198">
        <v>42.040458000000001</v>
      </c>
      <c r="N9" s="198">
        <v>43.381656999999997</v>
      </c>
      <c r="O9" s="198">
        <v>41.514320970000007</v>
      </c>
      <c r="P9" s="198">
        <v>60.850385709999991</v>
      </c>
      <c r="Q9" s="198">
        <v>55.912393019999989</v>
      </c>
      <c r="R9" s="198">
        <v>64.249784560000009</v>
      </c>
      <c r="S9" s="198">
        <v>73.302822420000012</v>
      </c>
      <c r="T9" s="492"/>
      <c r="U9" s="501">
        <f t="shared" si="4"/>
        <v>0.14090378546788385</v>
      </c>
      <c r="V9" s="501">
        <f t="shared" si="5"/>
        <v>0.76572374802834209</v>
      </c>
    </row>
    <row r="10" spans="1:28" ht="13" customHeight="1">
      <c r="B10" s="81" t="str">
        <f>IF('Summary | Sumário'!D$6=Names!B$3,Names!AX9,Names!AY9)</f>
        <v>Inter Invest net fee revenues</v>
      </c>
      <c r="C10" s="169"/>
      <c r="D10" s="169"/>
      <c r="E10" s="199">
        <v>13.879148000000001</v>
      </c>
      <c r="F10" s="199">
        <v>11.610353</v>
      </c>
      <c r="G10" s="199">
        <v>29.902488000000002</v>
      </c>
      <c r="H10" s="199">
        <v>26.472512999999999</v>
      </c>
      <c r="I10" s="199">
        <v>25.550785999999999</v>
      </c>
      <c r="J10" s="199">
        <v>27.531547</v>
      </c>
      <c r="K10" s="199">
        <v>32.406441000000001</v>
      </c>
      <c r="L10" s="199">
        <v>16.431895000000001</v>
      </c>
      <c r="M10" s="199">
        <v>25.844162000000001</v>
      </c>
      <c r="N10" s="199">
        <v>26.447693999999998</v>
      </c>
      <c r="O10" s="199">
        <v>26.742655840000001</v>
      </c>
      <c r="P10" s="199">
        <v>39.535309839999996</v>
      </c>
      <c r="Q10" s="199">
        <v>34.170694490000002</v>
      </c>
      <c r="R10" s="199">
        <v>38.694081560000008</v>
      </c>
      <c r="S10" s="199">
        <v>43.274223949999993</v>
      </c>
      <c r="T10" s="199"/>
      <c r="U10" s="502">
        <f t="shared" si="4"/>
        <v>0.11836803473156232</v>
      </c>
      <c r="V10" s="502">
        <f t="shared" si="5"/>
        <v>0.61817226415011106</v>
      </c>
    </row>
    <row r="11" spans="1:28" ht="13" customHeight="1">
      <c r="B11" s="80" t="str">
        <f>IF('Summary | Sumário'!D$6=Names!B$3,Names!AX10,Names!AY10)</f>
        <v>Inter Invest net interest revenues</v>
      </c>
      <c r="C11" s="167"/>
      <c r="D11" s="167"/>
      <c r="E11" s="200">
        <v>0.89607599999999998</v>
      </c>
      <c r="F11" s="200">
        <v>3.813005</v>
      </c>
      <c r="G11" s="200">
        <v>3.7690429999999999</v>
      </c>
      <c r="H11" s="200">
        <v>5.2530619999999999</v>
      </c>
      <c r="I11" s="200">
        <v>6.567685</v>
      </c>
      <c r="J11" s="200">
        <v>7.4108510000000001</v>
      </c>
      <c r="K11" s="200">
        <v>7.2253049999999996</v>
      </c>
      <c r="L11" s="200">
        <v>8.7728029999999997</v>
      </c>
      <c r="M11" s="200">
        <v>16.196296</v>
      </c>
      <c r="N11" s="200">
        <v>16.933962999999999</v>
      </c>
      <c r="O11" s="200">
        <v>14.771665130000006</v>
      </c>
      <c r="P11" s="200">
        <v>21.315075869999998</v>
      </c>
      <c r="Q11" s="200">
        <v>21.741698529999987</v>
      </c>
      <c r="R11" s="200">
        <v>25.555702999999994</v>
      </c>
      <c r="S11" s="200">
        <v>30.02859847000002</v>
      </c>
      <c r="T11" s="199"/>
      <c r="U11" s="503">
        <f t="shared" si="4"/>
        <v>0.17502533465817893</v>
      </c>
      <c r="V11" s="503">
        <f t="shared" si="5"/>
        <v>1.0328512869557591</v>
      </c>
    </row>
    <row r="12" spans="1:28" ht="13" customHeight="1">
      <c r="C12" s="201"/>
      <c r="D12" s="201"/>
      <c r="E12" s="201"/>
      <c r="F12" s="202"/>
      <c r="G12" s="202"/>
      <c r="H12" s="202"/>
      <c r="I12" s="201"/>
      <c r="J12" s="201"/>
      <c r="K12" s="201"/>
      <c r="L12" s="201"/>
      <c r="M12" s="201"/>
      <c r="N12" s="201"/>
      <c r="O12" s="201"/>
      <c r="P12" s="201"/>
      <c r="Q12" s="201"/>
      <c r="R12" s="201"/>
      <c r="S12" s="201"/>
      <c r="T12" s="201"/>
      <c r="U12" s="201"/>
      <c r="V12" s="201"/>
    </row>
    <row r="13" spans="1:28" ht="13" customHeight="1">
      <c r="C13" s="201"/>
      <c r="D13" s="201"/>
      <c r="E13" s="201"/>
      <c r="F13" s="202"/>
      <c r="G13" s="201"/>
      <c r="H13" s="201"/>
      <c r="I13" s="201"/>
      <c r="J13" s="201"/>
      <c r="L13" s="201"/>
      <c r="M13" s="201"/>
      <c r="N13" s="201"/>
      <c r="O13" s="201"/>
      <c r="P13" s="201"/>
      <c r="Q13" s="201"/>
      <c r="R13" s="201"/>
      <c r="S13" s="201"/>
      <c r="T13" s="201"/>
      <c r="U13" s="201"/>
      <c r="V13" s="201"/>
    </row>
    <row r="14" spans="1:28" ht="13" customHeight="1">
      <c r="C14" s="201"/>
      <c r="D14" s="201"/>
      <c r="E14" s="201"/>
      <c r="F14" s="201"/>
      <c r="G14" s="201"/>
      <c r="H14" s="201"/>
      <c r="I14" s="201"/>
      <c r="J14" s="201"/>
      <c r="K14" s="201"/>
      <c r="L14" s="201"/>
      <c r="M14" s="201"/>
      <c r="N14" s="201"/>
      <c r="O14" s="201"/>
      <c r="P14" s="201"/>
      <c r="Q14" s="201"/>
      <c r="R14" s="201"/>
      <c r="S14" s="201"/>
      <c r="T14" s="201"/>
      <c r="U14" s="201"/>
      <c r="V14" s="201"/>
    </row>
    <row r="15" spans="1:28" ht="13" customHeight="1">
      <c r="C15" s="201"/>
      <c r="D15" s="201"/>
      <c r="E15" s="201"/>
      <c r="F15" s="201"/>
      <c r="G15" s="201"/>
      <c r="H15" s="201"/>
      <c r="I15" s="201"/>
      <c r="J15" s="201"/>
      <c r="K15" s="201"/>
      <c r="L15" s="201"/>
      <c r="M15" s="201"/>
      <c r="N15" s="201"/>
      <c r="O15" s="201"/>
      <c r="P15" s="201"/>
      <c r="Q15" s="201"/>
      <c r="R15" s="201"/>
      <c r="S15" s="201"/>
      <c r="T15" s="201"/>
      <c r="U15" s="201"/>
      <c r="V15" s="201"/>
    </row>
    <row r="16" spans="1:28" ht="13" customHeight="1">
      <c r="C16" s="201"/>
      <c r="D16" s="201"/>
      <c r="E16" s="201"/>
      <c r="F16" s="201"/>
      <c r="G16" s="201"/>
      <c r="H16" s="201"/>
      <c r="I16" s="201"/>
      <c r="J16" s="201"/>
      <c r="K16" s="201"/>
      <c r="L16" s="201"/>
      <c r="M16" s="201"/>
      <c r="N16" s="201"/>
      <c r="O16" s="201"/>
      <c r="P16" s="201"/>
      <c r="Q16" s="201"/>
      <c r="R16" s="201"/>
      <c r="S16" s="201"/>
      <c r="T16" s="201"/>
      <c r="U16" s="201"/>
      <c r="V16" s="201"/>
    </row>
    <row r="17" spans="2:22" ht="13" customHeight="1">
      <c r="B17" s="161"/>
      <c r="C17" s="201"/>
      <c r="D17" s="201"/>
      <c r="E17" s="201"/>
      <c r="F17" s="201"/>
      <c r="G17" s="201"/>
      <c r="H17" s="201"/>
      <c r="I17" s="201"/>
      <c r="J17" s="201"/>
      <c r="K17" s="201"/>
      <c r="L17" s="201"/>
      <c r="M17" s="201"/>
      <c r="N17" s="201"/>
      <c r="O17" s="201"/>
      <c r="P17" s="201"/>
      <c r="Q17" s="201"/>
      <c r="R17" s="201"/>
      <c r="S17" s="201"/>
      <c r="T17" s="201"/>
      <c r="U17" s="201"/>
      <c r="V17" s="201"/>
    </row>
    <row r="18" spans="2:22" ht="13" customHeight="1">
      <c r="B18" s="203"/>
      <c r="C18" s="204"/>
      <c r="D18" s="204"/>
      <c r="E18" s="204"/>
      <c r="F18" s="204"/>
      <c r="G18" s="204"/>
      <c r="H18" s="204"/>
      <c r="I18" s="204"/>
      <c r="J18" s="204"/>
      <c r="K18" s="204"/>
      <c r="L18" s="204"/>
      <c r="M18" s="204"/>
      <c r="N18" s="204"/>
      <c r="O18" s="204"/>
      <c r="P18" s="204"/>
      <c r="Q18" s="204"/>
      <c r="R18" s="204"/>
      <c r="S18" s="204"/>
      <c r="T18" s="204"/>
      <c r="U18" s="204"/>
      <c r="V18" s="204"/>
    </row>
    <row r="19" spans="2:22" ht="13" customHeight="1">
      <c r="B19" s="161"/>
      <c r="L19" s="201"/>
      <c r="M19" s="201"/>
      <c r="N19" s="201"/>
      <c r="O19" s="201"/>
      <c r="P19" s="201"/>
      <c r="Q19" s="201"/>
      <c r="R19" s="201"/>
      <c r="S19" s="201"/>
      <c r="T19" s="201"/>
      <c r="U19" s="201"/>
      <c r="V19" s="201"/>
    </row>
    <row r="20" spans="2:22" ht="13" customHeight="1">
      <c r="B20" s="161"/>
    </row>
    <row r="22" spans="2:22" ht="13" customHeight="1">
      <c r="B22" s="685"/>
    </row>
    <row r="23" spans="2:22" ht="13" customHeight="1">
      <c r="B23" s="685"/>
    </row>
    <row r="24" spans="2:22" ht="13" customHeight="1">
      <c r="B24" s="685"/>
    </row>
    <row r="25" spans="2:22" ht="13" customHeight="1">
      <c r="B25" s="685"/>
    </row>
    <row r="26" spans="2:22" ht="13" customHeight="1">
      <c r="B26" s="685"/>
    </row>
    <row r="27" spans="2:22" ht="13" customHeight="1">
      <c r="B27" s="685"/>
    </row>
    <row r="28" spans="2:22" ht="13" customHeight="1">
      <c r="B28" s="685"/>
    </row>
    <row r="64" spans="3:22" ht="13" customHeight="1">
      <c r="C64" s="176"/>
      <c r="D64" s="176"/>
      <c r="E64" s="176"/>
      <c r="F64" s="176"/>
      <c r="G64" s="176"/>
      <c r="H64" s="176"/>
      <c r="I64" s="176"/>
      <c r="J64" s="176"/>
      <c r="K64" s="176"/>
      <c r="L64" s="176"/>
      <c r="M64" s="176"/>
      <c r="N64" s="176"/>
      <c r="O64" s="176"/>
      <c r="P64" s="176"/>
      <c r="Q64" s="176"/>
      <c r="R64" s="176"/>
      <c r="S64" s="176"/>
      <c r="T64" s="176"/>
      <c r="U64" s="176"/>
      <c r="V64" s="176"/>
    </row>
  </sheetData>
  <sheetProtection algorithmName="SHA-512" hashValue="7F/U8Ek6vQ55IKBNAeAD/oZbicMLV7U7igUptGSisrhDHWV1AbWTP8M+lXkrJYrMpXCzFMBEcQ6YO5D7KB+Jbg==" saltValue="I9yVNdx0OVJXSBpFGCLlmQ==" spinCount="100000" sheet="1" formatCells="0" formatColumns="0" formatRows="0" insertColumns="0" insertRows="0" insertHyperlinks="0" deleteColumns="0" deleteRows="0" sort="0" autoFilter="0" pivotTables="0"/>
  <mergeCells count="1">
    <mergeCell ref="B22:B28"/>
  </mergeCell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5A1A-D6B8-3344-BDFC-1DD8EED5C848}">
  <sheetPr codeName="Sheet8">
    <tabColor rgb="FFFFCA96"/>
  </sheetPr>
  <dimension ref="A1:AB22"/>
  <sheetViews>
    <sheetView showGridLines="0" zoomScaleNormal="100" workbookViewId="0">
      <pane xSplit="2" ySplit="3" topLeftCell="C4" activePane="bottomRight" state="frozen"/>
      <selection pane="topRight" activeCell="I52" sqref="I52"/>
      <selection pane="bottomLeft" activeCell="I52" sqref="I52"/>
      <selection pane="bottomRight"/>
    </sheetView>
  </sheetViews>
  <sheetFormatPr baseColWidth="10" defaultColWidth="10.83203125" defaultRowHeight="13" customHeight="1"/>
  <cols>
    <col min="1" max="1" width="3.33203125" style="135" customWidth="1"/>
    <col min="2" max="2" width="68.33203125" style="135" customWidth="1"/>
    <col min="3" max="19" width="10.83203125" style="135" customWidth="1"/>
    <col min="20" max="20" width="5.83203125" style="135" customWidth="1"/>
    <col min="21" max="22" width="10.83203125" style="135" customWidth="1"/>
    <col min="23" max="16384" width="10.83203125" style="135"/>
  </cols>
  <sheetData>
    <row r="1" spans="1:28" s="176" customFormat="1" ht="13" customHeight="1">
      <c r="A1" s="176" t="s">
        <v>913</v>
      </c>
      <c r="C1" s="177"/>
      <c r="D1" s="177"/>
      <c r="E1" s="177"/>
      <c r="F1" s="177"/>
      <c r="G1" s="177"/>
      <c r="H1" s="177"/>
      <c r="I1" s="177"/>
      <c r="J1" s="177"/>
      <c r="K1" s="177"/>
      <c r="L1" s="177"/>
      <c r="M1" s="177"/>
      <c r="N1" s="177"/>
      <c r="O1" s="177"/>
      <c r="P1" s="177"/>
      <c r="Q1" s="177"/>
      <c r="R1" s="177"/>
      <c r="S1" s="177"/>
      <c r="T1" s="177"/>
      <c r="U1" s="177"/>
      <c r="V1" s="177"/>
      <c r="W1" s="177"/>
    </row>
    <row r="2" spans="1:28" s="142" customFormat="1" ht="13" customHeight="1">
      <c r="B2" s="319" t="str">
        <f>IF('Summary | Sumário'!D$6=Names!B$3,Names!AJ1,Names!AK1)</f>
        <v>Inter Seguros (Managerial, Million)</v>
      </c>
      <c r="C2" s="20" t="str">
        <f>IF('Summary | Sumário'!D$6=Names!B$3,Names!E2,Names!F2)</f>
        <v>4Q19</v>
      </c>
      <c r="D2" s="20" t="str">
        <f>IF('Summary | Sumário'!D$6=Names!B$3,Names!E3,Names!F3)</f>
        <v>4Q20</v>
      </c>
      <c r="E2" s="20" t="str">
        <f>IF('Summary | Sumário'!D$6=Names!B$3,Names!E4,Names!F4)</f>
        <v>1Q21</v>
      </c>
      <c r="F2" s="20" t="str">
        <f>IF('Summary | Sumário'!D$6=Names!B$3,Names!E5,Names!F5)</f>
        <v>2Q21</v>
      </c>
      <c r="G2" s="20" t="str">
        <f>IF('Summary | Sumário'!D$6=Names!B$3,Names!E6,Names!F6)</f>
        <v>3Q21</v>
      </c>
      <c r="H2" s="21" t="str">
        <f>IF('Summary | Sumário'!D$6=Names!B$3,Names!E7,Names!F7)</f>
        <v>4Q21</v>
      </c>
      <c r="I2" s="21" t="str">
        <f>IF('Summary | Sumário'!D$6=Names!B$3,Names!E8,Names!F8)</f>
        <v>1Q22</v>
      </c>
      <c r="J2" s="21" t="str">
        <f>IF('Summary | Sumário'!D$6=Names!B$3,Names!E9,Names!F9)</f>
        <v>2Q22</v>
      </c>
      <c r="K2" s="21" t="str">
        <f>IF('Summary | Sumário'!D$6=Names!B$3,Names!E10,Names!F10)</f>
        <v>3Q22</v>
      </c>
      <c r="L2" s="21" t="str">
        <f>IF('Summary | Sumário'!D$6=Names!B$3,Names!E11,Names!F11)</f>
        <v>4Q22</v>
      </c>
      <c r="M2" s="21" t="str">
        <f>IF('Summary | Sumário'!D$6=Names!B$3,Names!E12,Names!F12)</f>
        <v>1Q23</v>
      </c>
      <c r="N2" s="21" t="str">
        <f>IF('Summary | Sumário'!D$6=Names!B$3,Names!E13,Names!F13)</f>
        <v>2Q23</v>
      </c>
      <c r="O2" s="21" t="str">
        <f>IF('Summary | Sumário'!D$6=Names!B$3,Names!E14,Names!F14)</f>
        <v>3Q23</v>
      </c>
      <c r="P2" s="21" t="str">
        <f>IF('Summary | Sumário'!D$6=Names!B$3,Names!E15,Names!F15)</f>
        <v>4Q23</v>
      </c>
      <c r="Q2" s="21" t="str">
        <f>IF('Summary | Sumário'!D$6=Names!B$3,Names!E16,Names!F16)</f>
        <v>1Q24</v>
      </c>
      <c r="R2" s="21" t="str">
        <f>IF('Summary | Sumário'!D$6=Names!B$3,Names!E17,Names!F17)</f>
        <v>2Q24</v>
      </c>
      <c r="S2" s="320" t="str">
        <f>IF('Summary | Sumário'!D$6=Names!B$3,Names!E18,Names!F18)</f>
        <v>3Q24</v>
      </c>
      <c r="T2" s="422"/>
      <c r="U2" s="116" t="str">
        <f>IF('Summary | Sumário'!$D$6=Names!$B$3,Names!$I$24,Names!$J$24)</f>
        <v>QoQ Variation</v>
      </c>
      <c r="V2" s="116" t="str">
        <f>IF('Summary | Sumário'!$D$6=Names!$B$3,Names!$I$25,Names!$J$25)</f>
        <v>YoY Variation</v>
      </c>
      <c r="W2" s="138"/>
      <c r="X2" s="140"/>
      <c r="Y2" s="141"/>
      <c r="AA2" s="143"/>
      <c r="AB2" s="144"/>
    </row>
    <row r="3" spans="1:28" s="176" customFormat="1" ht="13" customHeight="1">
      <c r="B3" s="49"/>
      <c r="C3" s="178"/>
      <c r="D3" s="178"/>
      <c r="E3" s="141"/>
      <c r="F3" s="141"/>
      <c r="G3" s="141"/>
      <c r="H3" s="141"/>
      <c r="I3" s="141"/>
      <c r="J3" s="141"/>
      <c r="K3" s="141"/>
      <c r="L3" s="141"/>
      <c r="M3" s="141"/>
      <c r="N3" s="141"/>
      <c r="O3" s="141"/>
      <c r="P3" s="141"/>
      <c r="Q3" s="141"/>
      <c r="R3" s="141"/>
      <c r="S3" s="141"/>
      <c r="T3" s="141"/>
      <c r="U3" s="141"/>
      <c r="V3" s="141"/>
      <c r="W3" s="141"/>
    </row>
    <row r="4" spans="1:28" ht="13" customHeight="1">
      <c r="B4" s="7" t="str">
        <f>IF('Summary | Sumário'!D$6=Names!B$3,Names!AJ2,Names!AK2)</f>
        <v>Inter seguros</v>
      </c>
      <c r="C4" s="148"/>
      <c r="D4" s="148"/>
      <c r="E4" s="148"/>
      <c r="F4" s="148"/>
      <c r="G4" s="148"/>
      <c r="H4" s="148"/>
      <c r="I4" s="148"/>
      <c r="J4" s="148"/>
      <c r="K4" s="148"/>
      <c r="L4" s="148"/>
      <c r="M4" s="148"/>
      <c r="N4" s="148"/>
      <c r="O4" s="148"/>
      <c r="P4" s="148"/>
      <c r="Q4" s="148"/>
      <c r="R4" s="148"/>
      <c r="S4" s="148"/>
      <c r="T4" s="317"/>
      <c r="U4" s="148"/>
      <c r="V4" s="148"/>
    </row>
    <row r="5" spans="1:28" ht="13" customHeight="1">
      <c r="B5" s="82" t="str">
        <f>IF('Summary | Sumário'!D$6=Names!B$3,Names!AJ3,Names!AK3)</f>
        <v>Active contracts</v>
      </c>
      <c r="C5" s="188">
        <v>5.3094000000000002E-2</v>
      </c>
      <c r="D5" s="188">
        <v>0.25492300000000001</v>
      </c>
      <c r="E5" s="188">
        <v>0.36691800000000002</v>
      </c>
      <c r="F5" s="188">
        <v>0.53204200000000001</v>
      </c>
      <c r="G5" s="188">
        <v>0.68269100000000005</v>
      </c>
      <c r="H5" s="188">
        <v>0.83851799999999999</v>
      </c>
      <c r="I5" s="188">
        <v>0.91542800000000002</v>
      </c>
      <c r="J5" s="188">
        <v>1.046513</v>
      </c>
      <c r="K5" s="188">
        <v>1.129281</v>
      </c>
      <c r="L5" s="188">
        <v>1.270999</v>
      </c>
      <c r="M5" s="188">
        <v>1.337496</v>
      </c>
      <c r="N5" s="188">
        <v>1.525682</v>
      </c>
      <c r="O5" s="188">
        <v>1.5860810000000001</v>
      </c>
      <c r="P5" s="188">
        <v>1.710353</v>
      </c>
      <c r="Q5" s="188">
        <v>1.87538</v>
      </c>
      <c r="R5" s="188">
        <v>2.5900970000000001</v>
      </c>
      <c r="S5" s="188">
        <v>3.4083297300000002</v>
      </c>
      <c r="T5" s="493"/>
      <c r="U5" s="504">
        <f>S5/R5-1</f>
        <v>0.31590814166419245</v>
      </c>
      <c r="V5" s="504">
        <f>S5/O5-1</f>
        <v>1.1489001696634662</v>
      </c>
    </row>
    <row r="6" spans="1:28" ht="13" customHeight="1">
      <c r="B6" s="27" t="str">
        <f>IF('Summary | Sumário'!D$6=Names!B$3,Names!AJ4,Names!AK4)</f>
        <v>Inter Seguros net revenues</v>
      </c>
      <c r="C6" s="179"/>
      <c r="D6" s="179"/>
      <c r="E6" s="179">
        <v>19.567177999999998</v>
      </c>
      <c r="F6" s="179">
        <v>21.418572999999999</v>
      </c>
      <c r="G6" s="179">
        <v>22.416924999999999</v>
      </c>
      <c r="H6" s="179">
        <v>25.126908</v>
      </c>
      <c r="I6" s="179">
        <v>29.693913999999999</v>
      </c>
      <c r="J6" s="179">
        <v>34.950688</v>
      </c>
      <c r="K6" s="179">
        <v>31.200075999999999</v>
      </c>
      <c r="L6" s="179">
        <v>34.830342999999999</v>
      </c>
      <c r="M6" s="179">
        <v>40.561728000000002</v>
      </c>
      <c r="N6" s="179">
        <v>38.523485999999998</v>
      </c>
      <c r="O6" s="179">
        <v>46.867078279999994</v>
      </c>
      <c r="P6" s="179">
        <v>47.206707720000011</v>
      </c>
      <c r="Q6" s="179">
        <v>52.34994228</v>
      </c>
      <c r="R6" s="179">
        <v>58.088726569999999</v>
      </c>
      <c r="S6" s="179">
        <v>23.560331150000007</v>
      </c>
      <c r="T6" s="179"/>
      <c r="U6" s="505">
        <f t="shared" ref="U6:U8" si="0">S6/R6-1</f>
        <v>-0.59440785603023061</v>
      </c>
      <c r="V6" s="505">
        <f t="shared" ref="V6:V8" si="1">S6/O6-1</f>
        <v>-0.49729464659088607</v>
      </c>
    </row>
    <row r="7" spans="1:28" ht="13" customHeight="1">
      <c r="B7" s="83" t="str">
        <f>IF('Summary | Sumário'!D$6=Names!B$3,Names!AJ5,Names!AK5)</f>
        <v>Inter Seguros net fee revenues</v>
      </c>
      <c r="C7" s="189"/>
      <c r="D7" s="189"/>
      <c r="E7" s="180">
        <v>18.685466000000002</v>
      </c>
      <c r="F7" s="180">
        <v>20.401418</v>
      </c>
      <c r="G7" s="180">
        <v>20.850255000000001</v>
      </c>
      <c r="H7" s="180">
        <v>23.16553</v>
      </c>
      <c r="I7" s="180">
        <v>27.696591000000002</v>
      </c>
      <c r="J7" s="180">
        <v>35.958463999999999</v>
      </c>
      <c r="K7" s="180">
        <v>31.187383000000001</v>
      </c>
      <c r="L7" s="180">
        <v>34.477263000000001</v>
      </c>
      <c r="M7" s="180">
        <v>39.972607000000004</v>
      </c>
      <c r="N7" s="180">
        <v>38.084088000000001</v>
      </c>
      <c r="O7" s="180">
        <v>46.382157129999996</v>
      </c>
      <c r="P7" s="180">
        <v>46.637147870000014</v>
      </c>
      <c r="Q7" s="180">
        <v>51.375901519999999</v>
      </c>
      <c r="R7" s="180">
        <v>57.150360210000002</v>
      </c>
      <c r="S7" s="180">
        <v>22.606738220000008</v>
      </c>
      <c r="T7" s="179"/>
      <c r="U7" s="504">
        <f t="shared" si="0"/>
        <v>-0.60443402041682415</v>
      </c>
      <c r="V7" s="504">
        <f t="shared" si="1"/>
        <v>-0.51259838655977563</v>
      </c>
    </row>
    <row r="8" spans="1:28" ht="13" customHeight="1">
      <c r="B8" s="79" t="str">
        <f>IF('Summary | Sumário'!D$6=Names!B$3,Names!AJ6,Names!AK6)</f>
        <v>Inter Seguros net interest revenues</v>
      </c>
      <c r="C8" s="190"/>
      <c r="D8" s="190"/>
      <c r="E8" s="191">
        <v>0.88171200000000005</v>
      </c>
      <c r="F8" s="191">
        <v>1.017155</v>
      </c>
      <c r="G8" s="191">
        <v>1.56667</v>
      </c>
      <c r="H8" s="191">
        <v>1.9613780000000001</v>
      </c>
      <c r="I8" s="191">
        <v>1.997323</v>
      </c>
      <c r="J8" s="191">
        <v>-1.007776</v>
      </c>
      <c r="K8" s="191">
        <v>1.2692999999999999E-2</v>
      </c>
      <c r="L8" s="191">
        <v>0.35308</v>
      </c>
      <c r="M8" s="191">
        <v>0.58912100000000001</v>
      </c>
      <c r="N8" s="191">
        <v>0.43939800000000001</v>
      </c>
      <c r="O8" s="191">
        <v>0.48492114999999852</v>
      </c>
      <c r="P8" s="191">
        <v>0.56955985000000153</v>
      </c>
      <c r="Q8" s="191">
        <v>0.97404076000000539</v>
      </c>
      <c r="R8" s="191">
        <v>0.9383663599999994</v>
      </c>
      <c r="S8" s="191">
        <v>0.95359292999999967</v>
      </c>
      <c r="T8" s="191"/>
      <c r="U8" s="505">
        <f t="shared" si="0"/>
        <v>1.622667931105326E-2</v>
      </c>
      <c r="V8" s="505">
        <f t="shared" si="1"/>
        <v>0.96649069647715424</v>
      </c>
    </row>
    <row r="9" spans="1:28" ht="13" customHeight="1">
      <c r="B9" s="82" t="str">
        <f>IF('Summary | Sumário'!D$6=Names!B$3,Names!AJ8,Names!AK8)</f>
        <v>Managerial EBITDA Margin</v>
      </c>
      <c r="C9" s="192">
        <v>0.70227189056318551</v>
      </c>
      <c r="D9" s="192">
        <v>0.89266785681840854</v>
      </c>
      <c r="E9" s="192">
        <v>0.88482599815833041</v>
      </c>
      <c r="F9" s="192">
        <v>0.89893649657256391</v>
      </c>
      <c r="G9" s="192">
        <v>0.92065885943882775</v>
      </c>
      <c r="H9" s="192">
        <v>0.92170299939186384</v>
      </c>
      <c r="I9" s="192">
        <v>0.8973923084485973</v>
      </c>
      <c r="J9" s="192">
        <v>0.93032138452831492</v>
      </c>
      <c r="K9" s="192">
        <v>0.92233340321210788</v>
      </c>
      <c r="L9" s="192">
        <v>0.87840703866079084</v>
      </c>
      <c r="M9" s="192">
        <v>0.93266382663319469</v>
      </c>
      <c r="N9" s="192">
        <v>0.72104143228798501</v>
      </c>
      <c r="O9" s="192">
        <v>0.77176803701130903</v>
      </c>
      <c r="P9" s="192">
        <v>0.72430000000000005</v>
      </c>
      <c r="Q9" s="192" t="s">
        <v>923</v>
      </c>
      <c r="R9" s="192">
        <v>0.79595981616999212</v>
      </c>
      <c r="S9" s="192">
        <v>0.80309864287930621</v>
      </c>
      <c r="T9" s="313"/>
      <c r="U9" s="506">
        <f t="shared" ref="U9" si="2">(R9-Q9)*100</f>
        <v>0.79598161699920844</v>
      </c>
      <c r="V9" s="506">
        <f t="shared" ref="V9" si="3">(R9-N9)*100</f>
        <v>7.4918383882007111</v>
      </c>
    </row>
    <row r="10" spans="1:28" ht="13" customHeight="1">
      <c r="B10" s="27" t="str">
        <f>IF('Summary | Sumário'!D$6=Names!B$3,Names!AJ9,Names!AK9)</f>
        <v>Inter Seguros net income</v>
      </c>
      <c r="C10" s="179">
        <v>3.1904390600000023</v>
      </c>
      <c r="D10" s="179">
        <v>13.105405040000003</v>
      </c>
      <c r="E10" s="179">
        <v>13.946809500000006</v>
      </c>
      <c r="F10" s="179">
        <v>15.577624370000001</v>
      </c>
      <c r="G10" s="179">
        <v>16.607872859999997</v>
      </c>
      <c r="H10" s="179">
        <v>18.628638070000008</v>
      </c>
      <c r="I10" s="179">
        <v>14.207677600000006</v>
      </c>
      <c r="J10" s="179">
        <v>18.505050730000004</v>
      </c>
      <c r="K10" s="179">
        <v>15.75805096</v>
      </c>
      <c r="L10" s="179">
        <v>16.689283329999999</v>
      </c>
      <c r="M10" s="179">
        <v>15.789375680000004</v>
      </c>
      <c r="N10" s="179">
        <v>12.835727520000008</v>
      </c>
      <c r="O10" s="179">
        <v>15.535343949999991</v>
      </c>
      <c r="P10" s="179">
        <v>15.226922</v>
      </c>
      <c r="Q10" s="179">
        <v>20.419972569809499</v>
      </c>
      <c r="R10" s="179">
        <v>19.956684169999999</v>
      </c>
      <c r="S10" s="179">
        <v>24.356338290000103</v>
      </c>
      <c r="T10" s="179"/>
      <c r="U10" s="505">
        <f>S10/R10-1</f>
        <v>0.22046017677695717</v>
      </c>
      <c r="V10" s="505">
        <f>S10/O10-1</f>
        <v>0.56780167651197178</v>
      </c>
    </row>
    <row r="12" spans="1:28" ht="13" customHeight="1">
      <c r="B12" s="686" t="str">
        <f>IF('Summary | Sumário'!D$6=Names!B$3,Names!AJ12,Names!AK12)</f>
        <v>Note: 3Q24 net fee revenue reflects the reclassification of provisions for canceled sales, moving these amounts from administrative expenses to expenses for services and commissions in 2024.</v>
      </c>
      <c r="H12" s="185"/>
      <c r="I12" s="185"/>
      <c r="J12" s="185"/>
      <c r="K12" s="185"/>
      <c r="L12" s="185"/>
      <c r="M12" s="185"/>
      <c r="N12" s="185"/>
      <c r="O12" s="405"/>
      <c r="P12" s="405"/>
      <c r="Q12" s="405"/>
      <c r="R12" s="405"/>
      <c r="S12" s="185"/>
      <c r="T12" s="185"/>
      <c r="U12" s="185"/>
      <c r="V12" s="185"/>
    </row>
    <row r="13" spans="1:28" ht="13" customHeight="1">
      <c r="B13" s="686"/>
    </row>
    <row r="14" spans="1:28" ht="13" customHeight="1">
      <c r="B14" s="686"/>
    </row>
    <row r="15" spans="1:28" ht="13" customHeight="1">
      <c r="B15" s="686"/>
      <c r="C15" s="136"/>
      <c r="D15" s="136"/>
      <c r="E15" s="136"/>
      <c r="F15" s="136"/>
      <c r="G15" s="136"/>
      <c r="H15" s="136"/>
      <c r="I15" s="136"/>
      <c r="J15" s="136"/>
      <c r="K15" s="136"/>
      <c r="L15" s="136"/>
      <c r="M15" s="136"/>
      <c r="N15" s="136"/>
      <c r="O15" s="136"/>
      <c r="P15" s="136"/>
      <c r="Q15" s="136"/>
      <c r="R15" s="136"/>
      <c r="S15" s="136"/>
      <c r="T15" s="136"/>
      <c r="U15" s="136"/>
      <c r="V15" s="136"/>
    </row>
    <row r="17" spans="2:10" ht="13" customHeight="1">
      <c r="B17" s="193"/>
    </row>
    <row r="18" spans="2:10" ht="13" customHeight="1">
      <c r="B18" s="193"/>
    </row>
    <row r="21" spans="2:10" ht="13" customHeight="1">
      <c r="B21" s="194"/>
    </row>
    <row r="22" spans="2:10" ht="13" customHeight="1">
      <c r="B22" s="194"/>
      <c r="J22" s="195"/>
    </row>
  </sheetData>
  <sheetProtection algorithmName="SHA-512" hashValue="EHThvt77cUVxoZ1XxULI5b4BoNxOuHzpzAstGMCTVl2GUTidx7tLVXglr1vRsNXGzZvEhh/wdSoHlIns6g/gCw==" saltValue="nnhQh/b/yeCnJI42atGSpQ==" spinCount="100000" sheet="1" formatCells="0" formatColumns="0" formatRows="0" insertColumns="0" insertRows="0" insertHyperlinks="0" deleteColumns="0" deleteRows="0" sort="0" autoFilter="0" pivotTables="0"/>
  <mergeCells count="1">
    <mergeCell ref="B12:B15"/>
  </mergeCells>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9C2B-1C32-1D4E-89EF-3461873B0D54}">
  <sheetPr codeName="Sheet7">
    <tabColor rgb="FFFFCA96"/>
  </sheetPr>
  <dimension ref="B1:AB26"/>
  <sheetViews>
    <sheetView showGridLines="0" zoomScaleNormal="100" workbookViewId="0">
      <pane xSplit="2" ySplit="3" topLeftCell="C4" activePane="bottomRight" state="frozen"/>
      <selection pane="topRight" activeCell="I52" sqref="I52"/>
      <selection pane="bottomLeft" activeCell="I52" sqref="I52"/>
      <selection pane="bottomRight"/>
    </sheetView>
  </sheetViews>
  <sheetFormatPr baseColWidth="10" defaultColWidth="10.83203125" defaultRowHeight="13" customHeight="1"/>
  <cols>
    <col min="1" max="1" width="3.33203125" style="135" customWidth="1"/>
    <col min="2" max="2" width="68.33203125" style="168" customWidth="1"/>
    <col min="3" max="18" width="10.83203125" style="135" customWidth="1"/>
    <col min="19" max="19" width="5.83203125" style="135" customWidth="1"/>
    <col min="20" max="21" width="10.83203125" style="135" customWidth="1"/>
    <col min="22" max="16384" width="10.83203125" style="135"/>
  </cols>
  <sheetData>
    <row r="1" spans="2:28" s="176" customFormat="1" ht="13" customHeight="1">
      <c r="C1" s="177"/>
      <c r="D1" s="177"/>
      <c r="E1" s="177"/>
      <c r="F1" s="177"/>
      <c r="G1" s="177"/>
      <c r="H1" s="177"/>
      <c r="I1" s="177"/>
      <c r="J1" s="177"/>
      <c r="K1" s="177"/>
      <c r="L1" s="177"/>
      <c r="M1" s="177"/>
      <c r="N1" s="177"/>
      <c r="O1" s="177"/>
      <c r="P1" s="177"/>
      <c r="Q1" s="177"/>
      <c r="R1" s="177"/>
      <c r="S1" s="177"/>
      <c r="T1" s="177"/>
      <c r="U1" s="177"/>
      <c r="V1" s="177"/>
    </row>
    <row r="2" spans="2:28" s="142" customFormat="1" ht="13" customHeight="1">
      <c r="B2" s="319" t="str">
        <f>IF('Summary | Sumário'!D$6=Names!B$3,Names!AL1,Names!AM1)</f>
        <v>Inter Shop (Managerial, Million)</v>
      </c>
      <c r="C2" s="20" t="str">
        <f>IF('Summary | Sumário'!G$3=Names!A$3,Names!D3,Names!E3)</f>
        <v>4Q20</v>
      </c>
      <c r="D2" s="20" t="str">
        <f>IF('Summary | Sumário'!G$3=Names!A$3,Names!D4,Names!E4)</f>
        <v>1Q21</v>
      </c>
      <c r="E2" s="20" t="str">
        <f>IF('Summary | Sumário'!G$3=Names!A$3,Names!D5,Names!E5)</f>
        <v>2Q21</v>
      </c>
      <c r="F2" s="20" t="str">
        <f>IF('Summary | Sumário'!G$3=Names!A$3,Names!D6,Names!E6)</f>
        <v>3Q21</v>
      </c>
      <c r="G2" s="20" t="str">
        <f>IF('Summary | Sumário'!G$3=Names!A$3,Names!D7,Names!E7)</f>
        <v>4Q21</v>
      </c>
      <c r="H2" s="21" t="str">
        <f>IF('Summary | Sumário'!G$3=Names!A$3,Names!D8,Names!E8)</f>
        <v>1Q22</v>
      </c>
      <c r="I2" s="21" t="str">
        <f>IF('Summary | Sumário'!G$3=Names!A$3,Names!D9,Names!E9)</f>
        <v>2Q22</v>
      </c>
      <c r="J2" s="21" t="str">
        <f>IF('Summary | Sumário'!G$3=Names!A$3,Names!D10,Names!E10)</f>
        <v>3Q22</v>
      </c>
      <c r="K2" s="21" t="str">
        <f>IF('Summary | Sumário'!G$3=Names!A$3,Names!D11,Names!E11)</f>
        <v>4Q22</v>
      </c>
      <c r="L2" s="21" t="str">
        <f>IF('Summary | Sumário'!G$3=Names!A$3,Names!D12,Names!E12)</f>
        <v>1Q23</v>
      </c>
      <c r="M2" s="21" t="str">
        <f>IF('Summary | Sumário'!G$3=Names!A$3,Names!D13,Names!E13)</f>
        <v>2Q23</v>
      </c>
      <c r="N2" s="21" t="str">
        <f>IF('Summary | Sumário'!G$3=Names!A$3,Names!D14,Names!E14)</f>
        <v>3Q23</v>
      </c>
      <c r="O2" s="21" t="str">
        <f>IF('Summary | Sumário'!G$3=Names!A$3,Names!D15,Names!E15)</f>
        <v>4Q23</v>
      </c>
      <c r="P2" s="21" t="str">
        <f>IF('Summary | Sumário'!G$3=Names!A$3,Names!D16,Names!E16)</f>
        <v>1Q24</v>
      </c>
      <c r="Q2" s="21" t="str">
        <f>IF('Summary | Sumário'!G$3=Names!A$3,Names!D17,Names!E17)</f>
        <v>2Q24</v>
      </c>
      <c r="R2" s="320" t="str">
        <f>IF('Summary | Sumário'!G$3=Names!A$3,Names!D18,Names!E18)</f>
        <v>3Q24</v>
      </c>
      <c r="S2" s="422"/>
      <c r="T2" s="116" t="str">
        <f>IF('Summary | Sumário'!$D$6=Names!$B$3,Names!$I$24,Names!$J$24)</f>
        <v>QoQ Variation</v>
      </c>
      <c r="U2" s="116" t="str">
        <f>IF('Summary | Sumário'!$D$6=Names!$B$3,Names!$I$25,Names!$J$25)</f>
        <v>YoY Variation</v>
      </c>
      <c r="V2" s="140"/>
      <c r="W2" s="138"/>
      <c r="X2" s="140"/>
      <c r="Y2" s="141"/>
      <c r="AA2" s="143"/>
      <c r="AB2" s="144"/>
    </row>
    <row r="3" spans="2:28" s="176" customFormat="1" ht="13" customHeight="1">
      <c r="B3" s="49"/>
      <c r="C3" s="178"/>
      <c r="D3" s="141"/>
      <c r="E3" s="141"/>
      <c r="F3" s="141"/>
      <c r="G3" s="141"/>
      <c r="H3" s="141"/>
      <c r="I3" s="141"/>
      <c r="J3" s="141"/>
      <c r="K3" s="141"/>
      <c r="L3" s="141"/>
      <c r="M3" s="141"/>
      <c r="N3" s="141"/>
      <c r="O3" s="141"/>
      <c r="P3" s="141"/>
      <c r="Q3" s="141"/>
      <c r="R3" s="141"/>
      <c r="S3" s="141"/>
      <c r="T3" s="141"/>
      <c r="U3" s="141"/>
      <c r="V3" s="141"/>
    </row>
    <row r="4" spans="2:28" ht="13" customHeight="1">
      <c r="B4" s="381" t="str">
        <f>IF('Summary | Sumário'!D$6=Names!B$3,Names!AL2,Names!AM2)</f>
        <v>Inter shop</v>
      </c>
      <c r="C4" s="317"/>
      <c r="D4" s="317"/>
      <c r="E4" s="317"/>
      <c r="F4" s="317"/>
      <c r="G4" s="317"/>
      <c r="H4" s="317"/>
      <c r="I4" s="317"/>
      <c r="J4" s="317"/>
      <c r="K4" s="317"/>
      <c r="L4" s="317"/>
      <c r="M4" s="317"/>
      <c r="N4" s="317"/>
      <c r="O4" s="317"/>
      <c r="P4" s="317"/>
      <c r="Q4" s="317"/>
      <c r="R4" s="317"/>
      <c r="S4" s="317"/>
      <c r="T4" s="317"/>
      <c r="U4" s="317"/>
    </row>
    <row r="5" spans="2:28" ht="13" customHeight="1">
      <c r="B5" s="368" t="str">
        <f>IF('Summary | Sumário'!D$6=Names!B$3,Names!AL3,Names!AM3)</f>
        <v>Gross merchandise volume</v>
      </c>
      <c r="C5" s="382">
        <v>632.08809299999996</v>
      </c>
      <c r="D5" s="382">
        <v>675.86323200000004</v>
      </c>
      <c r="E5" s="382">
        <v>774.37923499999999</v>
      </c>
      <c r="F5" s="382">
        <v>946.37195599999995</v>
      </c>
      <c r="G5" s="382">
        <v>1125.0433519999999</v>
      </c>
      <c r="H5" s="382">
        <v>1053.0667530000001</v>
      </c>
      <c r="I5" s="382">
        <v>990.06993699999998</v>
      </c>
      <c r="J5" s="382">
        <v>938.66564000000005</v>
      </c>
      <c r="K5" s="382">
        <v>1003.4261218400001</v>
      </c>
      <c r="L5" s="382">
        <v>829.25831872000003</v>
      </c>
      <c r="M5" s="382">
        <v>755.63938086500002</v>
      </c>
      <c r="N5" s="382">
        <v>869.35878100000002</v>
      </c>
      <c r="O5" s="382">
        <v>1049.8873619999999</v>
      </c>
      <c r="P5" s="382">
        <v>993.72802863999993</v>
      </c>
      <c r="Q5" s="382">
        <v>1136.3548290000001</v>
      </c>
      <c r="R5" s="382">
        <v>1381.38672453</v>
      </c>
      <c r="S5" s="494"/>
      <c r="T5" s="507">
        <f>R5/Q5-1</f>
        <v>0.21562973930038187</v>
      </c>
      <c r="U5" s="507">
        <f>R5/N5-1</f>
        <v>0.58897195809194924</v>
      </c>
    </row>
    <row r="6" spans="2:28" ht="13" customHeight="1">
      <c r="B6" s="111" t="str">
        <f>IF('Summary | Sumário'!D$6=Names!B$3,Names!AL4,Names!AM4)</f>
        <v>Inter Shop net revenues</v>
      </c>
      <c r="C6" s="179"/>
      <c r="D6" s="179">
        <v>5.9970829900000018</v>
      </c>
      <c r="E6" s="179">
        <v>6.3313360000000003</v>
      </c>
      <c r="F6" s="179">
        <v>4.424766909997202</v>
      </c>
      <c r="G6" s="179">
        <v>16.210006369999991</v>
      </c>
      <c r="H6" s="179">
        <v>29.681559900000003</v>
      </c>
      <c r="I6" s="179">
        <v>43.648439909999993</v>
      </c>
      <c r="J6" s="179">
        <v>47.710828999999997</v>
      </c>
      <c r="K6" s="179">
        <v>58.844120670000002</v>
      </c>
      <c r="L6" s="179">
        <v>53.754698779999998</v>
      </c>
      <c r="M6" s="179">
        <v>67.33451371000001</v>
      </c>
      <c r="N6" s="179">
        <v>75.930407540000019</v>
      </c>
      <c r="O6" s="179">
        <v>57.560787499999954</v>
      </c>
      <c r="P6" s="179">
        <v>61.45511956</v>
      </c>
      <c r="Q6" s="179">
        <v>66.868201779999993</v>
      </c>
      <c r="R6" s="179">
        <v>86.338678659999999</v>
      </c>
      <c r="S6" s="179"/>
      <c r="T6" s="505">
        <f t="shared" ref="T6:T9" si="0">R6/Q6-1</f>
        <v>0.29117691760366049</v>
      </c>
      <c r="U6" s="505">
        <f t="shared" ref="U6:U9" si="1">R6/N6-1</f>
        <v>0.13707645536495927</v>
      </c>
    </row>
    <row r="7" spans="2:28" ht="13" customHeight="1">
      <c r="B7" s="112" t="str">
        <f>IF('Summary | Sumário'!D$6=Names!B$3,Names!AL5,Names!AM5)</f>
        <v>Inter Shop net fee revenues</v>
      </c>
      <c r="C7" s="180"/>
      <c r="D7" s="180">
        <v>4.6300749900000024</v>
      </c>
      <c r="E7" s="180">
        <v>3.5682109999999998</v>
      </c>
      <c r="F7" s="180">
        <v>3.0701239099972026</v>
      </c>
      <c r="G7" s="180">
        <v>11.784099369999989</v>
      </c>
      <c r="H7" s="180">
        <v>25.117762640000002</v>
      </c>
      <c r="I7" s="180">
        <v>33.097321000000001</v>
      </c>
      <c r="J7" s="180">
        <v>27.487579</v>
      </c>
      <c r="K7" s="180">
        <v>39.960256999999999</v>
      </c>
      <c r="L7" s="180">
        <v>40.103501000000001</v>
      </c>
      <c r="M7" s="180">
        <v>55.416983999999999</v>
      </c>
      <c r="N7" s="180">
        <v>52.432689730000021</v>
      </c>
      <c r="O7" s="180">
        <v>33.09131547999997</v>
      </c>
      <c r="P7" s="180">
        <v>40.065831280000012</v>
      </c>
      <c r="Q7" s="180">
        <v>38.556466689999979</v>
      </c>
      <c r="R7" s="180">
        <v>57.943702030000004</v>
      </c>
      <c r="S7" s="179"/>
      <c r="T7" s="504">
        <f t="shared" si="0"/>
        <v>0.5028270742720391</v>
      </c>
      <c r="U7" s="504">
        <f t="shared" si="1"/>
        <v>0.10510641983805735</v>
      </c>
    </row>
    <row r="8" spans="2:28" ht="13" customHeight="1">
      <c r="B8" s="113" t="str">
        <f>IF('Summary | Sumário'!D$6=Names!B$3,Names!AL6,Names!AM6)</f>
        <v>Inter Shop net interest revenues</v>
      </c>
      <c r="C8" s="179"/>
      <c r="D8" s="179">
        <v>1.367008</v>
      </c>
      <c r="E8" s="179">
        <v>2.7631250000000001</v>
      </c>
      <c r="F8" s="179">
        <v>1.354643</v>
      </c>
      <c r="G8" s="179">
        <v>4.4259069999999996</v>
      </c>
      <c r="H8" s="179">
        <v>4.5637972600000021</v>
      </c>
      <c r="I8" s="179">
        <v>10.551118909999996</v>
      </c>
      <c r="J8" s="179">
        <v>20.22325</v>
      </c>
      <c r="K8" s="179">
        <v>18.88386367</v>
      </c>
      <c r="L8" s="179">
        <v>13.65119778</v>
      </c>
      <c r="M8" s="179">
        <v>11.917529710000009</v>
      </c>
      <c r="N8" s="179">
        <v>23.497717810000001</v>
      </c>
      <c r="O8" s="179">
        <v>24.469472019999987</v>
      </c>
      <c r="P8" s="179">
        <v>21.389288279999995</v>
      </c>
      <c r="Q8" s="179">
        <v>28.311735090000003</v>
      </c>
      <c r="R8" s="179">
        <v>28.394976629999995</v>
      </c>
      <c r="S8" s="179"/>
      <c r="T8" s="505">
        <f t="shared" si="0"/>
        <v>2.940177976919367E-3</v>
      </c>
      <c r="U8" s="505">
        <f t="shared" si="1"/>
        <v>0.20841423237774404</v>
      </c>
    </row>
    <row r="9" spans="2:28" ht="13" customHeight="1">
      <c r="B9" s="110" t="str">
        <f>IF('Summary | Sumário'!D$6=Names!B$3,Names!AL7,Names!AM7)</f>
        <v>Cashback expenses</v>
      </c>
      <c r="C9" s="180"/>
      <c r="D9" s="180">
        <v>-34.052095009999995</v>
      </c>
      <c r="E9" s="180">
        <v>-49.743684000000002</v>
      </c>
      <c r="F9" s="180">
        <v>-56.019543090002799</v>
      </c>
      <c r="G9" s="180">
        <v>-74.182447630000013</v>
      </c>
      <c r="H9" s="180">
        <v>-69.803044360000001</v>
      </c>
      <c r="I9" s="180">
        <v>-68.918199999999999</v>
      </c>
      <c r="J9" s="180">
        <v>-54.220694999999999</v>
      </c>
      <c r="K9" s="180">
        <v>-53.289734000000003</v>
      </c>
      <c r="L9" s="180">
        <v>-41.187900999999997</v>
      </c>
      <c r="M9" s="180">
        <v>-36.990116999999998</v>
      </c>
      <c r="N9" s="180">
        <v>-48.073910379999994</v>
      </c>
      <c r="O9" s="180">
        <v>-61.597868429999977</v>
      </c>
      <c r="P9" s="180">
        <v>-63.086409609999997</v>
      </c>
      <c r="Q9" s="180">
        <v>-90.809057850000002</v>
      </c>
      <c r="R9" s="180">
        <v>-97.671979830000012</v>
      </c>
      <c r="S9" s="179"/>
      <c r="T9" s="504">
        <f t="shared" si="0"/>
        <v>7.5575302095263419E-2</v>
      </c>
      <c r="U9" s="504">
        <f t="shared" si="1"/>
        <v>1.0317044953895431</v>
      </c>
      <c r="V9" s="179"/>
    </row>
    <row r="10" spans="2:28" ht="13" customHeight="1">
      <c r="B10" s="111" t="str">
        <f>IF('Summary | Sumário'!D$6=Names!B$3,Names!AL8,Names!AM8)</f>
        <v>Take rate</v>
      </c>
      <c r="C10" s="181"/>
      <c r="D10" s="181">
        <v>5.9256334867466204E-2</v>
      </c>
      <c r="E10" s="181">
        <v>7.2412866287665884E-2</v>
      </c>
      <c r="F10" s="181">
        <v>6.3869506716447963E-2</v>
      </c>
      <c r="G10" s="181">
        <v>8.0345751867524476E-2</v>
      </c>
      <c r="H10" s="181">
        <v>9.4474809860415385E-2</v>
      </c>
      <c r="I10" s="181">
        <v>0.11369565694630318</v>
      </c>
      <c r="J10" s="181">
        <v>0.10859194334630168</v>
      </c>
      <c r="K10" s="181">
        <v>0.11175098119269428</v>
      </c>
      <c r="L10" s="181">
        <v>0.11449098264886683</v>
      </c>
      <c r="M10" s="181">
        <v>0.13806140118131072</v>
      </c>
      <c r="N10" s="181">
        <v>0.14264101219218031</v>
      </c>
      <c r="O10" s="181">
        <v>0.11349861012042541</v>
      </c>
      <c r="P10" s="181">
        <v>0.1253278126113096</v>
      </c>
      <c r="Q10" s="181">
        <v>0.13875771944292939</v>
      </c>
      <c r="R10" s="181">
        <v>0.13906075624503961</v>
      </c>
      <c r="S10" s="181"/>
      <c r="T10" s="454">
        <f>(R10-Q10)*100</f>
        <v>3.0303680211021811E-2</v>
      </c>
      <c r="U10" s="454">
        <f>(R10-N10)*100</f>
        <v>-0.35802559471407036</v>
      </c>
    </row>
    <row r="11" spans="2:28" ht="13" customHeight="1">
      <c r="B11" s="110" t="str">
        <f>IF('Summary | Sumário'!D$6=Names!B$3,Names!AL9,Names!AM9)</f>
        <v>Net take rate</v>
      </c>
      <c r="C11" s="182"/>
      <c r="D11" s="182">
        <v>8.8732197670430488E-3</v>
      </c>
      <c r="E11" s="182">
        <v>8.176014688720314E-3</v>
      </c>
      <c r="F11" s="182">
        <v>4.6755051034048211E-3</v>
      </c>
      <c r="G11" s="182">
        <v>1.4408339324154319E-2</v>
      </c>
      <c r="H11" s="182">
        <v>2.8185829450452702E-2</v>
      </c>
      <c r="I11" s="182">
        <v>4.4086218840518131E-2</v>
      </c>
      <c r="J11" s="182">
        <v>5.0828353533852587E-2</v>
      </c>
      <c r="K11" s="182">
        <v>5.8643201915150968E-2</v>
      </c>
      <c r="L11" s="182">
        <v>6.482262229575575E-2</v>
      </c>
      <c r="M11" s="182">
        <v>8.9109323064820209E-2</v>
      </c>
      <c r="N11" s="182">
        <v>8.7340703515594934E-2</v>
      </c>
      <c r="O11" s="182">
        <v>5.4825679004601599E-2</v>
      </c>
      <c r="P11" s="182">
        <v>6.1842997066417132E-2</v>
      </c>
      <c r="Q11" s="182">
        <v>5.8844473639316039E-2</v>
      </c>
      <c r="R11" s="182">
        <v>6.2501453884592439E-2</v>
      </c>
      <c r="S11" s="181"/>
      <c r="T11" s="453">
        <f t="shared" ref="T11" si="2">(R11-Q11)*100</f>
        <v>0.36569802452764005</v>
      </c>
      <c r="U11" s="453">
        <f t="shared" ref="U11" si="3">(R11-N11)*100</f>
        <v>-2.4839249631002494</v>
      </c>
    </row>
    <row r="12" spans="2:28" ht="13" customHeight="1">
      <c r="B12" s="161"/>
      <c r="K12" s="183"/>
      <c r="L12" s="183"/>
      <c r="M12" s="183"/>
      <c r="N12" s="183"/>
      <c r="O12" s="183"/>
      <c r="P12" s="183"/>
      <c r="Q12" s="183"/>
      <c r="R12" s="183"/>
      <c r="S12" s="183"/>
      <c r="T12" s="183"/>
      <c r="U12" s="183"/>
    </row>
    <row r="13" spans="2:28" ht="13" customHeight="1">
      <c r="B13" s="161"/>
      <c r="L13" s="184"/>
      <c r="M13" s="184"/>
      <c r="N13" s="184"/>
      <c r="O13" s="184"/>
      <c r="P13" s="184"/>
      <c r="Q13" s="184"/>
      <c r="R13" s="184"/>
      <c r="S13" s="184"/>
      <c r="T13" s="184"/>
      <c r="U13" s="184"/>
    </row>
    <row r="14" spans="2:28" ht="13" customHeight="1">
      <c r="B14" s="161"/>
      <c r="K14" s="185"/>
      <c r="L14" s="185"/>
      <c r="M14" s="185"/>
      <c r="N14" s="186"/>
      <c r="O14" s="186"/>
      <c r="P14" s="186"/>
      <c r="Q14" s="186"/>
      <c r="R14" s="186"/>
      <c r="S14" s="186"/>
      <c r="T14" s="186"/>
      <c r="U14" s="186"/>
    </row>
    <row r="15" spans="2:28" ht="13" customHeight="1">
      <c r="B15" s="161"/>
      <c r="K15" s="185"/>
      <c r="L15" s="185"/>
      <c r="M15" s="185"/>
      <c r="N15" s="185"/>
      <c r="O15" s="185"/>
      <c r="P15" s="185"/>
      <c r="Q15" s="185"/>
      <c r="R15" s="185"/>
      <c r="S15" s="185"/>
      <c r="T15" s="185"/>
      <c r="U15" s="185"/>
    </row>
    <row r="16" spans="2:28" ht="13" customHeight="1">
      <c r="K16" s="185"/>
      <c r="L16" s="185"/>
      <c r="M16" s="185"/>
      <c r="N16" s="185"/>
      <c r="O16" s="185"/>
      <c r="P16" s="185"/>
      <c r="Q16" s="185"/>
      <c r="R16" s="185"/>
      <c r="S16" s="185"/>
      <c r="T16" s="185"/>
      <c r="U16" s="185"/>
    </row>
    <row r="17" spans="2:21" ht="13" customHeight="1">
      <c r="B17" s="161"/>
      <c r="K17" s="185"/>
      <c r="L17" s="185"/>
      <c r="M17" s="185"/>
      <c r="N17" s="185"/>
      <c r="O17" s="185"/>
      <c r="P17" s="185"/>
      <c r="Q17" s="185"/>
      <c r="R17" s="185"/>
      <c r="S17" s="185"/>
      <c r="T17" s="185"/>
      <c r="U17" s="185"/>
    </row>
    <row r="18" spans="2:21" ht="13" customHeight="1">
      <c r="B18" s="161"/>
      <c r="K18" s="186"/>
      <c r="L18" s="186"/>
      <c r="M18" s="186"/>
      <c r="N18" s="186"/>
      <c r="O18" s="186"/>
      <c r="P18" s="186"/>
      <c r="Q18" s="186"/>
      <c r="R18" s="186"/>
      <c r="S18" s="186"/>
      <c r="T18" s="186"/>
      <c r="U18" s="186"/>
    </row>
    <row r="19" spans="2:21" ht="13" customHeight="1">
      <c r="K19" s="185"/>
      <c r="L19" s="185"/>
      <c r="M19" s="185"/>
      <c r="N19" s="185"/>
      <c r="O19" s="185"/>
      <c r="P19" s="185"/>
      <c r="Q19" s="185"/>
      <c r="R19" s="185"/>
      <c r="S19" s="185"/>
      <c r="T19" s="185"/>
      <c r="U19" s="185"/>
    </row>
    <row r="20" spans="2:21" ht="13" customHeight="1">
      <c r="B20" s="187"/>
      <c r="K20" s="185"/>
      <c r="L20" s="185"/>
      <c r="M20" s="185"/>
      <c r="N20" s="185"/>
      <c r="O20" s="185"/>
      <c r="P20" s="185"/>
      <c r="Q20" s="185"/>
      <c r="R20" s="185"/>
      <c r="S20" s="185"/>
      <c r="T20" s="185"/>
      <c r="U20" s="185"/>
    </row>
    <row r="21" spans="2:21" ht="13" customHeight="1">
      <c r="B21" s="187"/>
    </row>
    <row r="22" spans="2:21" ht="13" customHeight="1">
      <c r="B22" s="187"/>
    </row>
    <row r="23" spans="2:21" ht="13" customHeight="1">
      <c r="B23" s="187"/>
    </row>
    <row r="24" spans="2:21" ht="13" customHeight="1">
      <c r="B24" s="187"/>
    </row>
    <row r="25" spans="2:21" ht="13" customHeight="1">
      <c r="B25" s="187"/>
    </row>
    <row r="26" spans="2:21" ht="13" customHeight="1">
      <c r="B26" s="187"/>
    </row>
  </sheetData>
  <sheetProtection algorithmName="SHA-512" hashValue="p0OjOQ3VgothHazHL4aUyWL/v2DPVNK2Sp6u2qAdkpBnm0iIWGI49+4KwOnDAWA5uO/WWBtbWbo9y35YzwX5fQ==" saltValue="wb/r2cm6K1v2waiaZQCmxw==" spinCount="100000" sheet="1" formatCells="0" formatColumns="0" formatRows="0" insertColumns="0" insertRows="0" insertHyperlinks="0" deleteColumns="0" deleteRows="0" sort="0" autoFilter="0" pivotTables="0"/>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DDE8-D90D-C943-A3EF-74069CAAE5A7}">
  <sheetPr codeName="Sheet19">
    <tabColor rgb="FFFFCA96"/>
  </sheetPr>
  <dimension ref="A1:AB42"/>
  <sheetViews>
    <sheetView showGridLines="0" zoomScaleNormal="100" workbookViewId="0">
      <pane xSplit="2" ySplit="3" topLeftCell="C4" activePane="bottomRight" state="frozen"/>
      <selection pane="topRight" activeCell="I52" sqref="I52"/>
      <selection pane="bottomLeft" activeCell="I52" sqref="I52"/>
      <selection pane="bottomRight"/>
    </sheetView>
  </sheetViews>
  <sheetFormatPr baseColWidth="10" defaultColWidth="10.83203125" defaultRowHeight="13" customHeight="1"/>
  <cols>
    <col min="1" max="1" width="3.33203125" style="135" customWidth="1"/>
    <col min="2" max="2" width="68.33203125" style="135" customWidth="1"/>
    <col min="3" max="12" width="10.83203125" style="135" customWidth="1"/>
    <col min="13" max="19" width="10.83203125" style="135"/>
    <col min="20" max="20" width="5.83203125" style="135" customWidth="1"/>
    <col min="21" max="16384" width="10.83203125" style="135"/>
  </cols>
  <sheetData>
    <row r="1" spans="1:28" ht="13" customHeight="1">
      <c r="C1" s="136"/>
      <c r="D1" s="136"/>
      <c r="E1" s="136"/>
      <c r="F1" s="136"/>
      <c r="G1" s="136"/>
      <c r="H1" s="136"/>
      <c r="I1" s="136"/>
      <c r="J1" s="136"/>
      <c r="K1" s="136"/>
      <c r="L1" s="136"/>
      <c r="M1" s="136"/>
      <c r="N1" s="136"/>
      <c r="O1" s="136"/>
      <c r="P1" s="136"/>
      <c r="Q1" s="136"/>
      <c r="R1" s="136"/>
      <c r="S1" s="136"/>
      <c r="T1" s="136"/>
      <c r="U1" s="136"/>
      <c r="V1" s="136"/>
      <c r="W1" s="136"/>
    </row>
    <row r="2" spans="1:28" s="142" customFormat="1" ht="13" customHeight="1">
      <c r="B2" s="319" t="str">
        <f>IF('Summary | Sumário'!D$6=Names!B$3,Names!AN1,Names!AO1)</f>
        <v>Digital Account (Managerial, Million)</v>
      </c>
      <c r="C2" s="20" t="str">
        <f>IF('Summary | Sumário'!D$6=Names!B$3,Names!E2,Names!F2)</f>
        <v>4Q19</v>
      </c>
      <c r="D2" s="20" t="str">
        <f>IF('Summary | Sumário'!D$6=Names!B$3,Names!E3,Names!F3)</f>
        <v>4Q20</v>
      </c>
      <c r="E2" s="20" t="str">
        <f>IF('Summary | Sumário'!D$6=Names!B$3,Names!E4,Names!F4)</f>
        <v>1Q21</v>
      </c>
      <c r="F2" s="20" t="str">
        <f>IF('Summary | Sumário'!D$6=Names!B$3,Names!E5,Names!F5)</f>
        <v>2Q21</v>
      </c>
      <c r="G2" s="20" t="str">
        <f>IF('Summary | Sumário'!D$6=Names!B$3,Names!E6,Names!F6)</f>
        <v>3Q21</v>
      </c>
      <c r="H2" s="21" t="str">
        <f>IF('Summary | Sumário'!D$6=Names!B$3,Names!E7,Names!F7)</f>
        <v>4Q21</v>
      </c>
      <c r="I2" s="21" t="str">
        <f>IF('Summary | Sumário'!D$6=Names!B$3,Names!E8,Names!F8)</f>
        <v>1Q22</v>
      </c>
      <c r="J2" s="21" t="str">
        <f>IF('Summary | Sumário'!D$6=Names!B$3,Names!E9,Names!F9)</f>
        <v>2Q22</v>
      </c>
      <c r="K2" s="21" t="str">
        <f>IF('Summary | Sumário'!D$6=Names!B$3,Names!E10,Names!F10)</f>
        <v>3Q22</v>
      </c>
      <c r="L2" s="21" t="str">
        <f>IF('Summary | Sumário'!D$6=Names!B$3,Names!E11,Names!F11)</f>
        <v>4Q22</v>
      </c>
      <c r="M2" s="21" t="str">
        <f>IF('Summary | Sumário'!D$6=Names!B$3,Names!E12,Names!F12)</f>
        <v>1Q23</v>
      </c>
      <c r="N2" s="21" t="str">
        <f>IF('Summary | Sumário'!D$6=Names!B$3,Names!E13,Names!F13)</f>
        <v>2Q23</v>
      </c>
      <c r="O2" s="21" t="str">
        <f>IF('Summary | Sumário'!D$6=Names!B$3,Names!E14,Names!F14)</f>
        <v>3Q23</v>
      </c>
      <c r="P2" s="21" t="str">
        <f>IF('Summary | Sumário'!D$6=Names!B$3,Names!E15,Names!F15)</f>
        <v>4Q23</v>
      </c>
      <c r="Q2" s="21" t="str">
        <f>IF('Summary | Sumário'!D$6=Names!B$3,Names!E16,Names!F16)</f>
        <v>1Q24</v>
      </c>
      <c r="R2" s="21" t="str">
        <f>IF('Summary | Sumário'!D$6=Names!B$3,Names!E17,Names!F17)</f>
        <v>2Q24</v>
      </c>
      <c r="S2" s="320" t="str">
        <f>IF('Summary | Sumário'!D$6=Names!B$3,Names!E18,Names!F18)</f>
        <v>3Q24</v>
      </c>
      <c r="T2" s="422"/>
      <c r="U2" s="116" t="str">
        <f>IF('Summary | Sumário'!$D$6=Names!$B$3,Names!$I$24,Names!$J$24)</f>
        <v>QoQ Variation</v>
      </c>
      <c r="V2" s="116" t="str">
        <f>IF('Summary | Sumário'!$D$6=Names!$B$3,Names!$I$25,Names!$J$25)</f>
        <v>YoY Variation</v>
      </c>
      <c r="W2" s="138"/>
      <c r="X2" s="140"/>
      <c r="Y2" s="141"/>
      <c r="AA2" s="143"/>
      <c r="AB2" s="144"/>
    </row>
    <row r="3" spans="1:28" ht="13" customHeight="1">
      <c r="B3" s="145"/>
      <c r="C3" s="146"/>
      <c r="D3" s="146"/>
      <c r="E3" s="147"/>
      <c r="F3" s="147"/>
      <c r="G3" s="147"/>
      <c r="H3" s="147"/>
      <c r="I3" s="147"/>
      <c r="J3" s="147"/>
      <c r="K3" s="147"/>
      <c r="L3" s="147"/>
      <c r="M3" s="147"/>
      <c r="N3" s="147"/>
      <c r="O3" s="147"/>
      <c r="P3" s="147"/>
      <c r="Q3" s="147"/>
      <c r="R3" s="147"/>
      <c r="S3" s="147"/>
      <c r="T3" s="147"/>
      <c r="U3" s="147"/>
      <c r="V3" s="147"/>
      <c r="W3" s="147"/>
    </row>
    <row r="4" spans="1:28" ht="13" customHeight="1">
      <c r="A4" s="165"/>
      <c r="B4" s="3" t="str">
        <f>IF('Summary | Sumário'!D$6=Names!B$3,Names!AN3,Names!AO3)</f>
        <v>Number of cards used (in thousands)</v>
      </c>
      <c r="C4" s="171"/>
      <c r="D4" s="171"/>
      <c r="E4" s="171"/>
      <c r="F4" s="171"/>
      <c r="G4" s="171"/>
      <c r="H4" s="171"/>
      <c r="I4" s="171"/>
      <c r="J4" s="171"/>
      <c r="K4" s="171"/>
      <c r="L4" s="171"/>
      <c r="M4" s="171"/>
      <c r="N4" s="171"/>
      <c r="O4" s="171"/>
      <c r="P4" s="171"/>
      <c r="Q4" s="171"/>
      <c r="R4" s="171"/>
      <c r="S4" s="171"/>
      <c r="T4" s="171"/>
      <c r="U4" s="171"/>
      <c r="V4" s="171"/>
    </row>
    <row r="5" spans="1:28" s="168" customFormat="1" ht="13" customHeight="1">
      <c r="A5" s="166"/>
      <c r="B5" s="383" t="str">
        <f>IF('Summary | Sumário'!D$6=Names!B$3,Names!AN4,Names!AO4)</f>
        <v>Debit cards used</v>
      </c>
      <c r="C5" s="384">
        <v>1030.944</v>
      </c>
      <c r="D5" s="384">
        <v>2339.578</v>
      </c>
      <c r="E5" s="384">
        <v>2685.1979999999999</v>
      </c>
      <c r="F5" s="384">
        <v>3221.4879999999998</v>
      </c>
      <c r="G5" s="384">
        <v>3711.5329999999999</v>
      </c>
      <c r="H5" s="384">
        <v>4176.7030000000004</v>
      </c>
      <c r="I5" s="384">
        <v>4479.1809999999996</v>
      </c>
      <c r="J5" s="384">
        <v>4970.62</v>
      </c>
      <c r="K5" s="384">
        <v>5442.5770000000002</v>
      </c>
      <c r="L5" s="384">
        <v>5872.8680000000004</v>
      </c>
      <c r="M5" s="384">
        <v>6147.3360000000002</v>
      </c>
      <c r="N5" s="384">
        <v>6463.7240000000002</v>
      </c>
      <c r="O5" s="384">
        <v>6801.2349999999997</v>
      </c>
      <c r="P5" s="384">
        <v>7108.0410000000002</v>
      </c>
      <c r="Q5" s="384">
        <v>7316.8689999999997</v>
      </c>
      <c r="R5" s="384">
        <v>7621.01</v>
      </c>
      <c r="S5" s="384">
        <v>7952.6880000000001</v>
      </c>
      <c r="T5" s="169"/>
      <c r="U5" s="465">
        <f>S5/R5-1</f>
        <v>4.3521527986448039E-2</v>
      </c>
      <c r="V5" s="465">
        <f>S5/O5-1</f>
        <v>0.16930057555723343</v>
      </c>
    </row>
    <row r="6" spans="1:28" s="168" customFormat="1" ht="13" customHeight="1">
      <c r="A6" s="166"/>
      <c r="B6" s="58" t="str">
        <f>IF('Summary | Sumário'!D$6=Names!B$3,Names!AN5,Names!AO5)</f>
        <v>Credit cards used</v>
      </c>
      <c r="C6" s="169">
        <v>588.38300000000004</v>
      </c>
      <c r="D6" s="169">
        <v>1295.857</v>
      </c>
      <c r="E6" s="169">
        <v>1590.048</v>
      </c>
      <c r="F6" s="169">
        <v>1798.817</v>
      </c>
      <c r="G6" s="169">
        <v>2193.192</v>
      </c>
      <c r="H6" s="169">
        <v>2729.027</v>
      </c>
      <c r="I6" s="169">
        <v>2902.91</v>
      </c>
      <c r="J6" s="169">
        <v>3119.3670000000002</v>
      </c>
      <c r="K6" s="169">
        <v>3310.114</v>
      </c>
      <c r="L6" s="169">
        <v>3476.1680000000001</v>
      </c>
      <c r="M6" s="169">
        <v>3591.0430000000001</v>
      </c>
      <c r="N6" s="169">
        <v>3525.779</v>
      </c>
      <c r="O6" s="169">
        <v>3637.0610000000001</v>
      </c>
      <c r="P6" s="169">
        <v>3775.3009999999999</v>
      </c>
      <c r="Q6" s="169">
        <v>3844.9839999999999</v>
      </c>
      <c r="R6" s="169">
        <v>3961.181</v>
      </c>
      <c r="S6" s="169">
        <v>4106.3919999999998</v>
      </c>
      <c r="T6" s="169"/>
      <c r="U6" s="466">
        <f t="shared" ref="U6:U7" si="0">S6/R6-1</f>
        <v>3.6658511691336493E-2</v>
      </c>
      <c r="V6" s="466">
        <f t="shared" ref="V6:V7" si="1">S6/O6-1</f>
        <v>0.12904127810889054</v>
      </c>
    </row>
    <row r="7" spans="1:28" s="168" customFormat="1" ht="13" customHeight="1">
      <c r="A7" s="166"/>
      <c r="B7" s="63" t="str">
        <f>IF('Summary | Sumário'!D$6=Names!B$3,Names!AN6,Names!AO6)</f>
        <v>Total cards used</v>
      </c>
      <c r="C7" s="167">
        <v>1366.941</v>
      </c>
      <c r="D7" s="167">
        <v>2960.7579999999998</v>
      </c>
      <c r="E7" s="167">
        <v>3474.2</v>
      </c>
      <c r="F7" s="167">
        <v>4125.5619999999999</v>
      </c>
      <c r="G7" s="167">
        <v>4761.8389999999999</v>
      </c>
      <c r="H7" s="167">
        <v>5421.817</v>
      </c>
      <c r="I7" s="167">
        <v>5843.7479999999996</v>
      </c>
      <c r="J7" s="167">
        <v>6419.11</v>
      </c>
      <c r="K7" s="167">
        <v>6958.1440000000002</v>
      </c>
      <c r="L7" s="167">
        <v>7439.0910000000003</v>
      </c>
      <c r="M7" s="167">
        <v>7789.7269999999999</v>
      </c>
      <c r="N7" s="167">
        <v>8136.6819999999998</v>
      </c>
      <c r="O7" s="167">
        <v>8541.6869999999999</v>
      </c>
      <c r="P7" s="167">
        <v>8883.8109999999997</v>
      </c>
      <c r="Q7" s="167">
        <v>9074.2469999999994</v>
      </c>
      <c r="R7" s="167">
        <v>9499.6990000000005</v>
      </c>
      <c r="S7" s="167">
        <v>9887.8619999999992</v>
      </c>
      <c r="T7" s="169"/>
      <c r="U7" s="467">
        <f t="shared" si="0"/>
        <v>4.0860557792409935E-2</v>
      </c>
      <c r="V7" s="467">
        <f t="shared" si="1"/>
        <v>0.1576006004434487</v>
      </c>
    </row>
    <row r="8" spans="1:28" s="168" customFormat="1" ht="13" customHeight="1">
      <c r="A8" s="166"/>
      <c r="B8" s="170"/>
      <c r="C8" s="171"/>
      <c r="D8" s="171"/>
      <c r="E8" s="171"/>
      <c r="F8" s="171"/>
      <c r="G8" s="171"/>
      <c r="H8" s="171"/>
      <c r="I8" s="171"/>
      <c r="J8" s="171"/>
      <c r="K8" s="171"/>
      <c r="L8" s="171"/>
      <c r="M8" s="171"/>
      <c r="N8" s="171"/>
      <c r="O8" s="171"/>
      <c r="P8" s="171"/>
      <c r="Q8" s="171"/>
      <c r="R8" s="171"/>
      <c r="S8" s="171"/>
      <c r="T8" s="171"/>
      <c r="U8" s="171"/>
      <c r="V8" s="171"/>
    </row>
    <row r="9" spans="1:28" ht="13" customHeight="1">
      <c r="A9" s="165"/>
      <c r="B9" s="372" t="str">
        <f>IF('Summary | Sumário'!D$6=Names!B$3,Names!AN8,Names!AO8)</f>
        <v>Cards + PIX TPV (in million)</v>
      </c>
      <c r="C9" s="318"/>
      <c r="D9" s="318"/>
      <c r="E9" s="318"/>
      <c r="F9" s="318"/>
      <c r="G9" s="318"/>
      <c r="H9" s="318"/>
      <c r="I9" s="318"/>
      <c r="J9" s="318"/>
      <c r="K9" s="318"/>
      <c r="L9" s="318"/>
      <c r="M9" s="318"/>
      <c r="N9" s="318"/>
      <c r="O9" s="318"/>
      <c r="P9" s="318"/>
      <c r="Q9" s="318"/>
      <c r="R9" s="318"/>
      <c r="S9" s="318"/>
      <c r="T9" s="171"/>
      <c r="U9" s="318"/>
      <c r="V9" s="318"/>
      <c r="W9" s="168"/>
    </row>
    <row r="10" spans="1:28" s="168" customFormat="1" ht="13" customHeight="1">
      <c r="A10" s="172" t="s">
        <v>914</v>
      </c>
      <c r="B10" s="385" t="str">
        <f>IF('Summary | Sumário'!D$6=Names!B$3,Names!AN9,Names!AO9)</f>
        <v>Debit TPV</v>
      </c>
      <c r="C10" s="386">
        <v>1890.0661843600001</v>
      </c>
      <c r="D10" s="386">
        <v>5032.0947420000002</v>
      </c>
      <c r="E10" s="386">
        <v>4700.4723899999999</v>
      </c>
      <c r="F10" s="386">
        <v>5866.0523949999997</v>
      </c>
      <c r="G10" s="386">
        <v>7076.1946120000011</v>
      </c>
      <c r="H10" s="386">
        <v>8263.4268090000005</v>
      </c>
      <c r="I10" s="386">
        <v>7695.0063590000009</v>
      </c>
      <c r="J10" s="386">
        <v>8681.7274649999999</v>
      </c>
      <c r="K10" s="386">
        <v>9265.8454089999996</v>
      </c>
      <c r="L10" s="386">
        <v>10533.758581980001</v>
      </c>
      <c r="M10" s="386">
        <v>9913.266527050002</v>
      </c>
      <c r="N10" s="386">
        <v>10401.555399300003</v>
      </c>
      <c r="O10" s="386">
        <v>10856.98690217</v>
      </c>
      <c r="P10" s="386">
        <v>12156.573075690001</v>
      </c>
      <c r="Q10" s="386">
        <v>11260.217286679999</v>
      </c>
      <c r="R10" s="386">
        <v>12007.981544899998</v>
      </c>
      <c r="S10" s="386">
        <v>12609.98808239</v>
      </c>
      <c r="T10" s="169"/>
      <c r="U10" s="469">
        <f t="shared" ref="U10:U13" si="2">S10/R10-1</f>
        <v>5.0133865982304515E-2</v>
      </c>
      <c r="V10" s="469">
        <f t="shared" ref="V10:V13" si="3">S10/O10-1</f>
        <v>0.16146295431835012</v>
      </c>
      <c r="W10" s="173"/>
    </row>
    <row r="11" spans="1:28" s="168" customFormat="1" ht="13" customHeight="1">
      <c r="A11" s="172"/>
      <c r="B11" s="63" t="str">
        <f>IF('Summary | Sumário'!D$6=Names!B$3,Names!AN10,Names!AO10)</f>
        <v>Credit TPV</v>
      </c>
      <c r="C11" s="167">
        <v>994.89999999999986</v>
      </c>
      <c r="D11" s="167">
        <v>2285.6983910000004</v>
      </c>
      <c r="E11" s="167">
        <v>2881.7517969999999</v>
      </c>
      <c r="F11" s="167">
        <v>3569.863468</v>
      </c>
      <c r="G11" s="167">
        <v>4539.470362</v>
      </c>
      <c r="H11" s="167">
        <v>5963.1811199999993</v>
      </c>
      <c r="I11" s="167">
        <v>6388.2015880000008</v>
      </c>
      <c r="J11" s="167">
        <v>7361.6602919999996</v>
      </c>
      <c r="K11" s="167">
        <v>7971.5047679999998</v>
      </c>
      <c r="L11" s="167">
        <v>8589.4409414799993</v>
      </c>
      <c r="M11" s="167">
        <v>8572.7250050000002</v>
      </c>
      <c r="N11" s="167">
        <v>9241.1768100399986</v>
      </c>
      <c r="O11" s="167">
        <v>10330.36308718</v>
      </c>
      <c r="P11" s="167">
        <v>11685.45036375</v>
      </c>
      <c r="Q11" s="167">
        <v>11892.135028350001</v>
      </c>
      <c r="R11" s="167">
        <v>12315.349123649999</v>
      </c>
      <c r="S11" s="167">
        <v>12928.677802909999</v>
      </c>
      <c r="T11" s="169"/>
      <c r="U11" s="467">
        <f t="shared" si="2"/>
        <v>4.9801972571137387E-2</v>
      </c>
      <c r="V11" s="467">
        <f t="shared" si="3"/>
        <v>0.25152210951370257</v>
      </c>
    </row>
    <row r="12" spans="1:28" s="168" customFormat="1" ht="13" customHeight="1">
      <c r="A12" s="166"/>
      <c r="B12" s="58" t="str">
        <f>IF('Summary | Sumário'!D$6=Names!B$3,Names!AN11,Names!AO11)</f>
        <v>PIX TPV</v>
      </c>
      <c r="C12" s="174">
        <v>0</v>
      </c>
      <c r="D12" s="169">
        <v>7496.17</v>
      </c>
      <c r="E12" s="169">
        <v>36808.78</v>
      </c>
      <c r="F12" s="169">
        <v>57865.009999999995</v>
      </c>
      <c r="G12" s="169">
        <v>80102.45</v>
      </c>
      <c r="H12" s="169">
        <v>94401.95</v>
      </c>
      <c r="I12" s="169">
        <v>97072.540000000008</v>
      </c>
      <c r="J12" s="169">
        <v>117925.45999999999</v>
      </c>
      <c r="K12" s="169">
        <v>138199.15000000002</v>
      </c>
      <c r="L12" s="169">
        <v>158392.04999999999</v>
      </c>
      <c r="M12" s="169">
        <v>162875.34000000003</v>
      </c>
      <c r="N12" s="169">
        <v>177349.25</v>
      </c>
      <c r="O12" s="169">
        <v>198231.50999999998</v>
      </c>
      <c r="P12" s="169">
        <v>229637.61</v>
      </c>
      <c r="Q12" s="169">
        <v>233956.64</v>
      </c>
      <c r="R12" s="169">
        <v>265864.09000000003</v>
      </c>
      <c r="S12" s="169">
        <v>294171.92</v>
      </c>
      <c r="T12" s="169"/>
      <c r="U12" s="466">
        <f t="shared" si="2"/>
        <v>0.10647481576018758</v>
      </c>
      <c r="V12" s="466">
        <f t="shared" si="3"/>
        <v>0.48398163339420663</v>
      </c>
      <c r="W12" s="173"/>
    </row>
    <row r="13" spans="1:28" ht="13" customHeight="1">
      <c r="B13" s="354" t="str">
        <f>IF('Summary | Sumário'!D$6=Names!B$3,Names!AN12,Names!AO12)</f>
        <v>Cards + PIX TPV</v>
      </c>
      <c r="C13" s="387">
        <f>SUM(C10:C12)</f>
        <v>2884.9661843599997</v>
      </c>
      <c r="D13" s="387">
        <f t="shared" ref="D13:M13" si="4">SUM(D10:D12)</f>
        <v>14813.963133000001</v>
      </c>
      <c r="E13" s="387">
        <f t="shared" si="4"/>
        <v>44391.004186999999</v>
      </c>
      <c r="F13" s="387">
        <f t="shared" si="4"/>
        <v>67300.925862999997</v>
      </c>
      <c r="G13" s="387">
        <f t="shared" si="4"/>
        <v>91718.114973999996</v>
      </c>
      <c r="H13" s="387">
        <f t="shared" si="4"/>
        <v>108628.557929</v>
      </c>
      <c r="I13" s="387">
        <f t="shared" si="4"/>
        <v>111155.74794700001</v>
      </c>
      <c r="J13" s="387">
        <f t="shared" si="4"/>
        <v>133968.84775699998</v>
      </c>
      <c r="K13" s="387">
        <f t="shared" si="4"/>
        <v>155436.50017700001</v>
      </c>
      <c r="L13" s="387">
        <f t="shared" si="4"/>
        <v>177515.24952345999</v>
      </c>
      <c r="M13" s="387">
        <f t="shared" si="4"/>
        <v>181361.33153205004</v>
      </c>
      <c r="N13" s="387">
        <f t="shared" ref="N13:O13" si="5">SUM(N10:N12)</f>
        <v>196991.98220934</v>
      </c>
      <c r="O13" s="387">
        <f t="shared" si="5"/>
        <v>219418.85998934996</v>
      </c>
      <c r="P13" s="387">
        <f t="shared" ref="P13:Q13" si="6">SUM(P10:P12)</f>
        <v>253479.63343943999</v>
      </c>
      <c r="Q13" s="387">
        <f t="shared" si="6"/>
        <v>257108.99231503002</v>
      </c>
      <c r="R13" s="387">
        <f t="shared" ref="R13:S13" si="7">SUM(R10:R12)</f>
        <v>290187.42066855001</v>
      </c>
      <c r="S13" s="387">
        <f t="shared" si="7"/>
        <v>319710.58588529995</v>
      </c>
      <c r="T13" s="495"/>
      <c r="U13" s="458">
        <f t="shared" si="2"/>
        <v>0.10173826676819009</v>
      </c>
      <c r="V13" s="458">
        <f t="shared" si="3"/>
        <v>0.45707887599460628</v>
      </c>
    </row>
    <row r="14" spans="1:28" ht="13" customHeight="1">
      <c r="B14" s="161"/>
    </row>
    <row r="15" spans="1:28" ht="13" customHeight="1">
      <c r="B15" s="161"/>
    </row>
    <row r="16" spans="1:28" ht="13" customHeight="1">
      <c r="B16" s="161"/>
    </row>
    <row r="17" spans="2:8" ht="13" customHeight="1">
      <c r="B17" s="161"/>
    </row>
    <row r="18" spans="2:8" ht="13" customHeight="1">
      <c r="B18" s="161"/>
      <c r="H18" s="175"/>
    </row>
    <row r="19" spans="2:8" ht="13" customHeight="1">
      <c r="B19" s="161"/>
    </row>
    <row r="20" spans="2:8" ht="13" customHeight="1">
      <c r="B20" s="161"/>
    </row>
    <row r="21" spans="2:8" ht="13" customHeight="1">
      <c r="B21" s="161"/>
    </row>
    <row r="22" spans="2:8" ht="13" customHeight="1">
      <c r="B22" s="161"/>
    </row>
    <row r="23" spans="2:8" ht="13" customHeight="1">
      <c r="B23" s="161"/>
    </row>
    <row r="24" spans="2:8" ht="13" customHeight="1">
      <c r="B24" s="161"/>
    </row>
    <row r="25" spans="2:8" ht="13" customHeight="1">
      <c r="B25" s="161"/>
    </row>
    <row r="26" spans="2:8" ht="13" customHeight="1">
      <c r="B26" s="161"/>
    </row>
    <row r="27" spans="2:8" ht="13" customHeight="1">
      <c r="B27" s="160"/>
    </row>
    <row r="28" spans="2:8" ht="13" customHeight="1">
      <c r="B28" s="160"/>
    </row>
    <row r="29" spans="2:8" ht="13" customHeight="1">
      <c r="B29" s="160"/>
    </row>
    <row r="30" spans="2:8" ht="13" customHeight="1">
      <c r="B30" s="160"/>
    </row>
    <row r="31" spans="2:8" ht="13" customHeight="1">
      <c r="B31" s="160"/>
    </row>
    <row r="33" spans="2:2" ht="13" customHeight="1">
      <c r="B33" s="161"/>
    </row>
    <row r="34" spans="2:2" ht="13" customHeight="1">
      <c r="B34" s="162"/>
    </row>
    <row r="36" spans="2:2" ht="13" customHeight="1">
      <c r="B36" s="687"/>
    </row>
    <row r="37" spans="2:2" ht="13" customHeight="1">
      <c r="B37" s="687"/>
    </row>
    <row r="38" spans="2:2" ht="13" customHeight="1">
      <c r="B38" s="687"/>
    </row>
    <row r="39" spans="2:2" ht="13" customHeight="1">
      <c r="B39" s="687"/>
    </row>
    <row r="40" spans="2:2" ht="13" customHeight="1">
      <c r="B40" s="687"/>
    </row>
    <row r="41" spans="2:2" ht="13" customHeight="1">
      <c r="B41" s="687"/>
    </row>
    <row r="42" spans="2:2" ht="13" customHeight="1">
      <c r="B42" s="687"/>
    </row>
  </sheetData>
  <sheetProtection algorithmName="SHA-512" hashValue="gralI0UmSeTF4YGvaSnpqHCQPabIm/0XOhhugUjVdsBNUthyTs59gXhttKgd9oDnby5pjF3aS66gNXaFJL9uWQ==" saltValue="iUyFxgjgnf0rgsNxopz31w==" spinCount="100000" sheet="1" formatCells="0" formatColumns="0" formatRows="0" insertColumns="0" insertRows="0" insertHyperlinks="0" deleteColumns="0" deleteRows="0" sort="0" autoFilter="0" pivotTables="0"/>
  <mergeCells count="1">
    <mergeCell ref="B36:B42"/>
  </mergeCells>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E1AB-9968-7C46-B023-60A7EC5A8032}">
  <sheetPr codeName="Sheet1">
    <tabColor rgb="FFFFFFFF"/>
  </sheetPr>
  <dimension ref="A1:L35"/>
  <sheetViews>
    <sheetView showGridLines="0" tabSelected="1" zoomScaleNormal="100" workbookViewId="0">
      <selection activeCell="D6" sqref="D6"/>
    </sheetView>
  </sheetViews>
  <sheetFormatPr baseColWidth="10" defaultColWidth="10.83203125" defaultRowHeight="22" customHeight="1"/>
  <cols>
    <col min="1" max="2" width="3.33203125" style="8" customWidth="1"/>
    <col min="3" max="3" width="3.6640625" style="8" customWidth="1"/>
    <col min="4" max="4" width="41.1640625" style="8" bestFit="1" customWidth="1"/>
    <col min="5" max="5" width="17.33203125" style="8" customWidth="1"/>
    <col min="6" max="6" width="4.83203125" style="8" bestFit="1" customWidth="1"/>
    <col min="7" max="7" width="2" style="8" customWidth="1"/>
    <col min="8" max="8" width="45.33203125" style="8" customWidth="1"/>
    <col min="9" max="9" width="3.83203125" style="97" customWidth="1"/>
    <col min="10" max="10" width="1.1640625" style="8" customWidth="1"/>
    <col min="11" max="11" width="48" style="8" customWidth="1"/>
    <col min="12" max="12" width="4.83203125" style="8" customWidth="1"/>
    <col min="13" max="16384" width="10.83203125" style="8"/>
  </cols>
  <sheetData>
    <row r="1" spans="1:12" ht="10" customHeight="1" thickBot="1">
      <c r="A1" s="94"/>
      <c r="B1" s="94"/>
      <c r="C1" s="94"/>
      <c r="D1" s="94"/>
      <c r="E1" s="94"/>
      <c r="F1" s="95"/>
      <c r="G1" s="95"/>
      <c r="H1" s="94"/>
      <c r="I1" s="96"/>
      <c r="J1" s="95"/>
    </row>
    <row r="2" spans="1:12" ht="11" customHeight="1">
      <c r="A2" s="94"/>
      <c r="B2" s="559"/>
      <c r="C2" s="560"/>
      <c r="D2" s="560"/>
      <c r="E2" s="560"/>
      <c r="F2" s="560"/>
      <c r="G2" s="560"/>
      <c r="H2" s="560"/>
      <c r="I2" s="561"/>
      <c r="J2" s="560"/>
      <c r="K2" s="560"/>
      <c r="L2" s="562"/>
    </row>
    <row r="3" spans="1:12" ht="22" customHeight="1">
      <c r="A3" s="94"/>
      <c r="B3" s="563"/>
      <c r="C3" s="564"/>
      <c r="D3" s="565"/>
      <c r="E3" s="566"/>
      <c r="F3" s="564"/>
      <c r="G3" s="567"/>
      <c r="H3" s="564"/>
      <c r="I3" s="568"/>
      <c r="J3" s="566"/>
      <c r="K3" s="566"/>
      <c r="L3" s="569"/>
    </row>
    <row r="4" spans="1:12" ht="24" customHeight="1">
      <c r="A4" s="94"/>
      <c r="B4" s="563"/>
      <c r="C4" s="564"/>
      <c r="D4" s="558" t="s">
        <v>897</v>
      </c>
      <c r="E4" s="564"/>
      <c r="F4" s="570"/>
      <c r="G4" s="570"/>
      <c r="H4" s="570"/>
      <c r="I4" s="571"/>
      <c r="J4" s="570"/>
      <c r="K4" s="570"/>
      <c r="L4" s="569"/>
    </row>
    <row r="5" spans="1:12" ht="9" customHeight="1">
      <c r="A5" s="94"/>
      <c r="B5" s="563"/>
      <c r="C5" s="564"/>
      <c r="D5" s="566"/>
      <c r="E5" s="564"/>
      <c r="F5" s="570"/>
      <c r="G5" s="570"/>
      <c r="H5" s="570"/>
      <c r="I5" s="571"/>
      <c r="J5" s="570"/>
      <c r="K5" s="570"/>
      <c r="L5" s="569"/>
    </row>
    <row r="6" spans="1:12" ht="25" customHeight="1">
      <c r="A6" s="94"/>
      <c r="B6" s="563"/>
      <c r="C6" s="564"/>
      <c r="D6" s="558" t="s">
        <v>91</v>
      </c>
      <c r="E6" s="564"/>
      <c r="F6" s="684" t="str">
        <f>IF('Summary | Sumário'!D6=Names!B3,Names!BB1,Names!BC1)</f>
        <v>3Q24 Historical Data</v>
      </c>
      <c r="G6" s="684"/>
      <c r="H6" s="684"/>
      <c r="I6" s="684"/>
      <c r="J6" s="684"/>
      <c r="K6" s="684"/>
      <c r="L6" s="569"/>
    </row>
    <row r="7" spans="1:12" ht="18" customHeight="1">
      <c r="A7" s="94"/>
      <c r="B7" s="563"/>
      <c r="C7" s="564"/>
      <c r="D7" s="564"/>
      <c r="E7" s="572"/>
      <c r="F7" s="684"/>
      <c r="G7" s="684"/>
      <c r="H7" s="684"/>
      <c r="I7" s="684"/>
      <c r="J7" s="684"/>
      <c r="K7" s="684"/>
      <c r="L7" s="573"/>
    </row>
    <row r="8" spans="1:12" ht="47">
      <c r="A8" s="94"/>
      <c r="B8" s="563"/>
      <c r="C8" s="564"/>
      <c r="D8" s="564"/>
      <c r="E8" s="572"/>
      <c r="F8" s="574"/>
      <c r="G8" s="574"/>
      <c r="H8" s="575"/>
      <c r="I8" s="576"/>
      <c r="J8" s="574"/>
      <c r="K8" s="575"/>
      <c r="L8" s="573"/>
    </row>
    <row r="9" spans="1:12" ht="13" customHeight="1">
      <c r="A9" s="94"/>
      <c r="B9" s="563"/>
      <c r="C9" s="564"/>
      <c r="D9" s="564"/>
      <c r="E9" s="572"/>
      <c r="F9" s="577"/>
      <c r="G9" s="577"/>
      <c r="H9" s="572"/>
      <c r="I9" s="578"/>
      <c r="J9" s="577"/>
      <c r="K9" s="572"/>
      <c r="L9" s="579"/>
    </row>
    <row r="10" spans="1:12" ht="22" customHeight="1">
      <c r="A10" s="94"/>
      <c r="B10" s="563"/>
      <c r="C10" s="564"/>
      <c r="D10" s="564"/>
      <c r="E10" s="580"/>
      <c r="F10" s="581" t="s">
        <v>898</v>
      </c>
      <c r="G10" s="566"/>
      <c r="H10" s="564" t="str">
        <f>IF('Summary | Sumário'!D6=Names!B3,Names!I22,Names!J22)</f>
        <v>Highlights</v>
      </c>
      <c r="I10" s="581" t="s">
        <v>898</v>
      </c>
      <c r="J10" s="582"/>
      <c r="K10" s="564" t="str">
        <f>IF('Summary | Sumário'!D6=Names!B3,Names!I13,Names!J13)</f>
        <v>Inter Invest</v>
      </c>
      <c r="L10" s="569"/>
    </row>
    <row r="11" spans="1:12" ht="10" customHeight="1">
      <c r="A11" s="94"/>
      <c r="B11" s="563"/>
      <c r="C11" s="564"/>
      <c r="D11" s="564"/>
      <c r="E11" s="580"/>
      <c r="F11" s="566"/>
      <c r="G11" s="566"/>
      <c r="H11" s="564"/>
      <c r="I11" s="581"/>
      <c r="J11" s="582"/>
      <c r="K11" s="564"/>
      <c r="L11" s="569"/>
    </row>
    <row r="12" spans="1:12" ht="22" customHeight="1">
      <c r="A12" s="94"/>
      <c r="B12" s="563"/>
      <c r="C12" s="564"/>
      <c r="D12" s="564"/>
      <c r="E12" s="580"/>
      <c r="F12" s="581" t="s">
        <v>899</v>
      </c>
      <c r="G12" s="582"/>
      <c r="H12" s="564" t="str">
        <f>IF('Summary | Sumário'!D6=Names!B3,Names!I2,Names!J2)</f>
        <v>Balance Sheet</v>
      </c>
      <c r="I12" s="581" t="s">
        <v>899</v>
      </c>
      <c r="J12" s="582"/>
      <c r="K12" s="564" t="str">
        <f>IF('Summary | Sumário'!D6=Names!B3,Names!I14,Names!J14)</f>
        <v>Inter Seguros</v>
      </c>
      <c r="L12" s="569"/>
    </row>
    <row r="13" spans="1:12" ht="10" customHeight="1">
      <c r="A13" s="94"/>
      <c r="B13" s="563"/>
      <c r="C13" s="564"/>
      <c r="D13" s="564"/>
      <c r="E13" s="580"/>
      <c r="F13" s="581"/>
      <c r="G13" s="582"/>
      <c r="H13" s="564"/>
      <c r="I13" s="581"/>
      <c r="J13" s="582"/>
      <c r="K13" s="564"/>
      <c r="L13" s="569"/>
    </row>
    <row r="14" spans="1:12" ht="22" customHeight="1">
      <c r="A14" s="94"/>
      <c r="B14" s="563"/>
      <c r="C14" s="564"/>
      <c r="D14" s="564"/>
      <c r="E14" s="580"/>
      <c r="F14" s="581" t="s">
        <v>900</v>
      </c>
      <c r="G14" s="582"/>
      <c r="H14" s="564" t="str">
        <f>IF('Summary | Sumário'!D6=Names!B3,Names!I3,Names!J3)</f>
        <v>Income Statement</v>
      </c>
      <c r="I14" s="581" t="s">
        <v>900</v>
      </c>
      <c r="J14" s="582"/>
      <c r="K14" s="564" t="str">
        <f>IF('Summary | Sumário'!D6=Names!B3,Names!I15,Names!J15)</f>
        <v>Inter Shop</v>
      </c>
      <c r="L14" s="569"/>
    </row>
    <row r="15" spans="1:12" ht="10" customHeight="1">
      <c r="A15" s="94"/>
      <c r="B15" s="563"/>
      <c r="C15" s="564"/>
      <c r="D15" s="564"/>
      <c r="E15" s="580"/>
      <c r="F15" s="581"/>
      <c r="G15" s="582"/>
      <c r="H15" s="564"/>
      <c r="I15" s="581"/>
      <c r="J15" s="582"/>
      <c r="K15" s="564"/>
      <c r="L15" s="583"/>
    </row>
    <row r="16" spans="1:12" ht="22" customHeight="1">
      <c r="A16" s="94"/>
      <c r="B16" s="563"/>
      <c r="C16" s="564"/>
      <c r="D16" s="564"/>
      <c r="E16" s="580"/>
      <c r="F16" s="581" t="s">
        <v>901</v>
      </c>
      <c r="G16" s="582"/>
      <c r="H16" s="564" t="str">
        <f>IF('Summary | Sumário'!D6=Names!B3,Names!I4,Names!J4)</f>
        <v xml:space="preserve">Credit </v>
      </c>
      <c r="I16" s="581" t="s">
        <v>901</v>
      </c>
      <c r="J16" s="582"/>
      <c r="K16" s="564" t="str">
        <f>IF('Summary | Sumário'!D6=Names!B3,Names!I16,Names!J16)</f>
        <v>Digital Account</v>
      </c>
      <c r="L16" s="583"/>
    </row>
    <row r="17" spans="1:12" ht="10" customHeight="1">
      <c r="A17" s="94"/>
      <c r="B17" s="563"/>
      <c r="C17" s="564"/>
      <c r="D17" s="564"/>
      <c r="E17" s="580"/>
      <c r="F17" s="581"/>
      <c r="G17" s="582"/>
      <c r="H17" s="564"/>
      <c r="I17" s="581"/>
      <c r="J17" s="582"/>
      <c r="K17" s="564"/>
      <c r="L17" s="583"/>
    </row>
    <row r="18" spans="1:12" ht="22" customHeight="1">
      <c r="A18" s="94"/>
      <c r="B18" s="563"/>
      <c r="C18" s="564"/>
      <c r="D18" s="564"/>
      <c r="E18" s="580"/>
      <c r="F18" s="581" t="s">
        <v>902</v>
      </c>
      <c r="G18" s="582"/>
      <c r="H18" s="564" t="str">
        <f>IF('Summary | Sumário'!D6=Names!B3,Names!I5,Names!J5)</f>
        <v>Funding</v>
      </c>
      <c r="I18" s="581" t="s">
        <v>902</v>
      </c>
      <c r="J18" s="582"/>
      <c r="K18" s="564" t="str">
        <f>IF('Summary | Sumário'!D6=Names!B3,Names!I17,Names!J17)</f>
        <v>Operational KPIs</v>
      </c>
      <c r="L18" s="583"/>
    </row>
    <row r="19" spans="1:12" ht="10" customHeight="1">
      <c r="B19" s="584"/>
      <c r="C19" s="585"/>
      <c r="D19" s="585"/>
      <c r="E19" s="586"/>
      <c r="F19" s="581"/>
      <c r="G19" s="582"/>
      <c r="H19" s="564"/>
      <c r="I19" s="567"/>
      <c r="J19" s="582"/>
      <c r="K19" s="564"/>
      <c r="L19" s="583"/>
    </row>
    <row r="20" spans="1:12" ht="22" customHeight="1">
      <c r="B20" s="584"/>
      <c r="C20" s="587"/>
      <c r="D20" s="587"/>
      <c r="E20" s="588"/>
      <c r="F20" s="581" t="s">
        <v>903</v>
      </c>
      <c r="G20" s="582"/>
      <c r="H20" s="564" t="str">
        <f>IF('Summary | Sumário'!D6=Names!B3,Names!I6,Names!J6)</f>
        <v>Fee Revenue</v>
      </c>
      <c r="I20" s="567"/>
      <c r="J20" s="582"/>
      <c r="K20" s="564"/>
      <c r="L20" s="583"/>
    </row>
    <row r="21" spans="1:12" ht="10" customHeight="1">
      <c r="B21" s="584"/>
      <c r="C21" s="587"/>
      <c r="D21" s="587"/>
      <c r="E21" s="588"/>
      <c r="F21" s="581"/>
      <c r="G21" s="582"/>
      <c r="H21" s="564"/>
      <c r="I21" s="567"/>
      <c r="J21" s="577"/>
      <c r="K21" s="564"/>
      <c r="L21" s="583"/>
    </row>
    <row r="22" spans="1:12" ht="22" customHeight="1">
      <c r="B22" s="584"/>
      <c r="C22" s="585"/>
      <c r="D22" s="585"/>
      <c r="E22" s="586"/>
      <c r="F22" s="581" t="s">
        <v>904</v>
      </c>
      <c r="G22" s="582"/>
      <c r="H22" s="564" t="str">
        <f>IF('Summary | Sumário'!D6=Names!B3,Names!I7,Names!J7)</f>
        <v>Financial KPIs</v>
      </c>
      <c r="I22" s="567"/>
      <c r="J22" s="577"/>
      <c r="K22" s="564"/>
      <c r="L22" s="583"/>
    </row>
    <row r="23" spans="1:12" ht="10" customHeight="1">
      <c r="B23" s="584"/>
      <c r="C23" s="585"/>
      <c r="D23" s="585"/>
      <c r="E23" s="586"/>
      <c r="F23" s="577"/>
      <c r="G23" s="577"/>
      <c r="H23" s="564"/>
      <c r="I23" s="567"/>
      <c r="J23" s="577"/>
      <c r="K23" s="564"/>
      <c r="L23" s="583"/>
    </row>
    <row r="24" spans="1:12" ht="22" customHeight="1">
      <c r="B24" s="584"/>
      <c r="C24" s="564"/>
      <c r="D24" s="564"/>
      <c r="E24" s="589"/>
      <c r="F24" s="577"/>
      <c r="G24" s="577" t="s">
        <v>905</v>
      </c>
      <c r="H24" s="564" t="str">
        <f>IF('Summary | Sumário'!D6=Names!B3,Names!I8,Names!J8)</f>
        <v>Tier I Ratio</v>
      </c>
      <c r="I24" s="581" t="s">
        <v>898</v>
      </c>
      <c r="J24" s="577"/>
      <c r="K24" s="564" t="str">
        <f>IF('Summary | Sumário'!D6=Names!B3,Names!I27,Names!J27)</f>
        <v>Market Data</v>
      </c>
      <c r="L24" s="583"/>
    </row>
    <row r="25" spans="1:12" ht="10" customHeight="1">
      <c r="B25" s="584"/>
      <c r="C25" s="564"/>
      <c r="D25" s="564"/>
      <c r="E25" s="589"/>
      <c r="F25" s="577"/>
      <c r="G25" s="577"/>
      <c r="H25" s="564"/>
      <c r="I25" s="567"/>
      <c r="J25" s="577"/>
      <c r="K25" s="564"/>
      <c r="L25" s="583"/>
    </row>
    <row r="26" spans="1:12" ht="22" customHeight="1">
      <c r="B26" s="584"/>
      <c r="C26" s="564"/>
      <c r="D26" s="564"/>
      <c r="E26" s="589"/>
      <c r="F26" s="577"/>
      <c r="G26" s="577" t="s">
        <v>906</v>
      </c>
      <c r="H26" s="564" t="str">
        <f>IF('Summary | Sumário'!D6=Names!B3,Names!I9,Names!J9)</f>
        <v>NIMs</v>
      </c>
      <c r="I26" s="581" t="s">
        <v>899</v>
      </c>
      <c r="J26" s="577"/>
      <c r="K26" s="564" t="str">
        <f>IF('Summary | Sumário'!D6=Names!B3,Names!I19,Names!J19)</f>
        <v>Financial Statements Simulation</v>
      </c>
      <c r="L26" s="583"/>
    </row>
    <row r="27" spans="1:12" ht="10" customHeight="1">
      <c r="B27" s="584"/>
      <c r="C27" s="564"/>
      <c r="D27" s="564"/>
      <c r="E27" s="589"/>
      <c r="F27" s="577"/>
      <c r="G27" s="577"/>
      <c r="H27" s="564"/>
      <c r="I27" s="567"/>
      <c r="J27" s="577"/>
      <c r="K27" s="564"/>
      <c r="L27" s="583"/>
    </row>
    <row r="28" spans="1:12" ht="22" customHeight="1">
      <c r="B28" s="584"/>
      <c r="C28" s="564"/>
      <c r="D28" s="564"/>
      <c r="E28" s="589"/>
      <c r="F28" s="577"/>
      <c r="G28" s="577" t="s">
        <v>907</v>
      </c>
      <c r="H28" s="564" t="str">
        <f>IF('Summary | Sumário'!D6=Names!B3,Names!I10,Names!J10)</f>
        <v>Efficiency Ratio</v>
      </c>
      <c r="I28" s="581" t="s">
        <v>900</v>
      </c>
      <c r="J28" s="577"/>
      <c r="K28" s="564" t="str">
        <f>IF('Summary | Sumário'!D6=Names!B3,Names!I20,Names!J20)</f>
        <v>Disclaimer</v>
      </c>
      <c r="L28" s="583"/>
    </row>
    <row r="29" spans="1:12" ht="10" customHeight="1">
      <c r="B29" s="584"/>
      <c r="C29" s="564"/>
      <c r="D29" s="564"/>
      <c r="E29" s="589"/>
      <c r="F29" s="577"/>
      <c r="G29" s="577"/>
      <c r="H29" s="564"/>
      <c r="I29" s="567"/>
      <c r="J29" s="577"/>
      <c r="K29" s="564"/>
      <c r="L29" s="583"/>
    </row>
    <row r="30" spans="1:12" ht="22" customHeight="1">
      <c r="B30" s="584"/>
      <c r="C30" s="564"/>
      <c r="D30" s="564"/>
      <c r="E30" s="589"/>
      <c r="F30" s="577"/>
      <c r="G30" s="577" t="s">
        <v>908</v>
      </c>
      <c r="H30" s="564" t="str">
        <f>IF('Summary | Sumário'!D6=Names!B3,Names!I11,Names!J11)</f>
        <v>Cost-to-Serve</v>
      </c>
      <c r="I30" s="581">
        <v>4</v>
      </c>
      <c r="J30" s="577"/>
      <c r="K30" s="564" t="str">
        <f>IF('Summary | Sumário'!D6=Names!B3,Names!I21,Names!J21)</f>
        <v>Glossary</v>
      </c>
      <c r="L30" s="583"/>
    </row>
    <row r="31" spans="1:12" ht="10" customHeight="1">
      <c r="B31" s="584"/>
      <c r="C31" s="564"/>
      <c r="D31" s="564"/>
      <c r="E31" s="589"/>
      <c r="F31" s="577"/>
      <c r="G31" s="577"/>
      <c r="H31" s="564"/>
      <c r="I31" s="567"/>
      <c r="J31" s="577"/>
      <c r="K31" s="590"/>
      <c r="L31" s="583"/>
    </row>
    <row r="32" spans="1:12" ht="22" customHeight="1">
      <c r="B32" s="584"/>
      <c r="C32" s="564"/>
      <c r="D32" s="564"/>
      <c r="E32" s="589"/>
      <c r="F32" s="577"/>
      <c r="G32" s="577" t="s">
        <v>909</v>
      </c>
      <c r="H32" s="564" t="str">
        <f>IF('Summary | Sumário'!D6=Names!B3,Names!I12,Names!J12)</f>
        <v>ARPAC</v>
      </c>
      <c r="I32" s="567"/>
      <c r="J32" s="577"/>
      <c r="K32" s="590"/>
      <c r="L32" s="583"/>
    </row>
    <row r="33" spans="2:12" ht="10" customHeight="1">
      <c r="B33" s="584"/>
      <c r="C33" s="564"/>
      <c r="D33" s="564"/>
      <c r="E33" s="564"/>
      <c r="F33" s="577"/>
      <c r="G33" s="577"/>
      <c r="H33" s="564"/>
      <c r="I33" s="568"/>
      <c r="J33" s="590"/>
      <c r="K33" s="566"/>
      <c r="L33" s="583"/>
    </row>
    <row r="34" spans="2:12" ht="22" customHeight="1">
      <c r="B34" s="584"/>
      <c r="C34" s="566"/>
      <c r="D34" s="566"/>
      <c r="E34" s="566"/>
      <c r="F34" s="577"/>
      <c r="G34" s="577" t="s">
        <v>910</v>
      </c>
      <c r="H34" s="564" t="str">
        <f>IF('Summary | Sumário'!D6=Names!B3,Names!I18,Names!J18)</f>
        <v>Cost of Risk</v>
      </c>
      <c r="I34" s="568"/>
      <c r="J34" s="566"/>
      <c r="K34" s="566"/>
      <c r="L34" s="583"/>
    </row>
    <row r="35" spans="2:12" ht="22" customHeight="1" thickBot="1">
      <c r="B35" s="591"/>
      <c r="C35" s="592"/>
      <c r="D35" s="592"/>
      <c r="E35" s="592"/>
      <c r="F35" s="592"/>
      <c r="G35" s="592"/>
      <c r="H35" s="592"/>
      <c r="I35" s="593"/>
      <c r="J35" s="592"/>
      <c r="K35" s="592"/>
      <c r="L35" s="594"/>
    </row>
  </sheetData>
  <sheetProtection algorithmName="SHA-512" hashValue="4pAeK9TmT2+aY96qFXsOsxnGdd/ZPjFXe/lZxyPceViDHRkexP8crECrYHsN13/7KZiSAC8vyf5fVQtSEjvgfg==" saltValue="ORuxgd8XLtAx1kSD42Vq1g==" spinCount="100000" sheet="1" formatCells="0" formatColumns="0" formatRows="0" insertColumns="0" insertRows="0" insertHyperlinks="0" deleteColumns="0" deleteRows="0" sort="0" autoFilter="0" pivotTables="0"/>
  <mergeCells count="1">
    <mergeCell ref="F6:K7"/>
  </mergeCells>
  <hyperlinks>
    <hyperlink ref="H10" location="'1. Highlights'!A1" display="'1. Highlights'!A1" xr:uid="{8E48E280-F474-E143-B578-3EF91F0D3E2B}"/>
    <hyperlink ref="H12" location="'2. BS | BP'!A1" display="'2. BS | BP'!A1" xr:uid="{883A7A47-B820-B14B-B618-59906C79F422}"/>
    <hyperlink ref="H14" location="'3. IS | DRE'!A1" display="'3. IS | DRE'!A1" xr:uid="{99BD1BA0-1840-9B46-B79B-76C1766D7F5D}"/>
    <hyperlink ref="H16" location="'4. Credit | Crédito'!A1" display="'4. Credit | Crédito'!A1" xr:uid="{C29808B5-5F48-D448-B9BD-567FC9913372}"/>
    <hyperlink ref="H18" location="'5. Funding'!A1" display="'5. Funding'!A1" xr:uid="{B403E988-5EE9-C643-9222-443C2E2475B6}"/>
    <hyperlink ref="H20" location="'6. Fee Revenue | R. de Serviços'!A1" display="'6. Fee Revenue | R. de Serviços'!A1" xr:uid="{DE3C433E-9F7B-5347-BE9C-9AD18E149C71}"/>
    <hyperlink ref="H22" location="'7. Financial KPIs (Financeiros)'!A1" display="'7. Financial KPIs (Financeiros)'!A1" xr:uid="{A8CF38DC-ED88-5D45-A4D2-684A998F1C21}"/>
    <hyperlink ref="H24" location="'7.1. Tier I Ratio | Basileia'!A1" display="'7.1. Tier I Ratio | Basileia'!A1" xr:uid="{921B6869-B461-A841-824D-7EADBA19FDE3}"/>
    <hyperlink ref="H26" location="'7.2. NIMs'!A1" display="'7.2. NIMs'!A1" xr:uid="{9F7F65B2-7EC2-344D-8FED-B9CB604C9459}"/>
    <hyperlink ref="H28" location="'7.3. Efficiency | Eficiência'!A1" display="'7.3. Efficiency | Eficiência'!A1" xr:uid="{5ED1A07E-A398-DA41-83F2-0521A6DA1911}"/>
    <hyperlink ref="H30" location="'7.4. CTS | Custo de servir'!A1" display="'7.4. CTS | Custo de servir'!A1" xr:uid="{1388AE8C-CBF6-5545-987F-9F9C427A8F20}"/>
    <hyperlink ref="H32" location="'7.5. ARPAC'!A1" display="'7.5. ARPAC'!A1" xr:uid="{9436A9C3-F326-8442-A6C1-F3AE099F89EA}"/>
    <hyperlink ref="H34" location="'7.6. Cost of Risk'!A1" display="'7.6. Cost of Risk'!A1" xr:uid="{C60323EE-F308-D140-BCD3-73A866E67917}"/>
    <hyperlink ref="K10" location="'1. Inter Invest'!A1" display="'1. Inter Invest'!A1" xr:uid="{3382F633-162F-E248-A0A9-965CD05207A9}"/>
    <hyperlink ref="K12" location="'2. Inter Seguros'!A1" display="'2. Inter Seguros'!A1" xr:uid="{CDB681BC-324C-FD4C-ADD7-ABE2EAEBC261}"/>
    <hyperlink ref="K14" location="'3. Inter Shop'!A1" display="'3. Inter Shop'!A1" xr:uid="{64350D5A-1D38-8A45-8900-C2CCF435AED4}"/>
    <hyperlink ref="K16" location="'4. Digital Acou. | Conta Dig.'!A1" display="'4. Digital Acou. | Conta Dig.'!A1" xr:uid="{A4B993DC-2068-5F4C-B877-9C6AF563E0F4}"/>
    <hyperlink ref="K18" location="'5. Oper. KPIs | KPIs Oper.'!A1" display="'5. Oper. KPIs | KPIs Oper.'!A1" xr:uid="{52596258-E061-EA44-B02B-7D7457368B89}"/>
    <hyperlink ref="K28" location="'2. Disclaimer'!A1" display="'2. Disclaimer'!A1" xr:uid="{029A650C-647C-9A4B-8AA1-B23C2E9E4EDC}"/>
    <hyperlink ref="K30" location="'3. Glossary | Glossário'!A1" display="'3. Glossary | Glossário'!A1" xr:uid="{BD8514A1-4ECF-114C-972A-2EF33F9B7284}"/>
    <hyperlink ref="K26" location="'1. Simulation | Simulação'!A1" display="'1. Simulation | Simulação'!A1" xr:uid="{D9FC892E-80BD-8E43-A12A-14A8F96C1093}"/>
  </hyperlinks>
  <pageMargins left="0.511811024" right="0.511811024" top="0.78740157499999996" bottom="0.78740157499999996" header="0.31496062000000002" footer="0.31496062000000002"/>
  <pageSetup paperSize="9" orientation="portrait" horizontalDpi="0" verticalDpi="0"/>
  <ignoredErrors>
    <ignoredError sqref="I10:I18 I24:I28 F10:F22" numberStoredAsText="1"/>
  </ignoredError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E1FC904-540E-3A45-9E98-258CEE4A444F}">
          <x14:formula1>
            <xm:f>Names!$B$2:$B$3</xm:f>
          </x14:formula1>
          <xm:sqref>D6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66C1-23EA-E249-9DA5-23C40ED20D73}">
  <sheetPr codeName="Sheet20">
    <tabColor rgb="FFFFCA96"/>
  </sheetPr>
  <dimension ref="B1:AB26"/>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135" customWidth="1"/>
    <col min="3" max="12" width="10.83203125" style="136" customWidth="1"/>
    <col min="13" max="19" width="10.83203125" style="135"/>
    <col min="20" max="20" width="5.83203125" style="135" customWidth="1"/>
    <col min="21" max="16384" width="10.83203125" style="135"/>
  </cols>
  <sheetData>
    <row r="1" spans="2:28" ht="13" customHeight="1">
      <c r="M1" s="136"/>
      <c r="N1" s="136"/>
      <c r="O1" s="136"/>
      <c r="P1" s="136"/>
      <c r="Q1" s="136"/>
      <c r="R1" s="136"/>
      <c r="S1" s="136"/>
      <c r="T1" s="136"/>
      <c r="U1" s="136"/>
      <c r="V1" s="136"/>
      <c r="W1" s="136"/>
    </row>
    <row r="2" spans="2:28" s="142" customFormat="1" ht="13" customHeight="1">
      <c r="B2" s="319" t="str">
        <f>IF('Summary | Sumário'!D$6=Names!B$3,Names!AP1,Names!AQ1)</f>
        <v>Operational KPIs</v>
      </c>
      <c r="C2" s="20" t="str">
        <f>IF('Summary | Sumário'!D$6=Names!B$3,Names!E2,Names!F2)</f>
        <v>4Q19</v>
      </c>
      <c r="D2" s="20" t="str">
        <f>IF('Summary | Sumário'!D$6=Names!B$3,Names!E3,Names!F3)</f>
        <v>4Q20</v>
      </c>
      <c r="E2" s="20" t="str">
        <f>IF('Summary | Sumário'!D$6=Names!B$3,Names!E4,Names!F4)</f>
        <v>1Q21</v>
      </c>
      <c r="F2" s="20" t="str">
        <f>IF('Summary | Sumário'!D$6=Names!B$3,Names!E5,Names!F5)</f>
        <v>2Q21</v>
      </c>
      <c r="G2" s="20" t="str">
        <f>IF('Summary | Sumário'!D$6=Names!B$3,Names!E6,Names!F6)</f>
        <v>3Q21</v>
      </c>
      <c r="H2" s="21" t="str">
        <f>IF('Summary | Sumário'!D$6=Names!B$3,Names!E7,Names!F7)</f>
        <v>4Q21</v>
      </c>
      <c r="I2" s="21" t="str">
        <f>IF('Summary | Sumário'!D$6=Names!B$3,Names!E8,Names!F8)</f>
        <v>1Q22</v>
      </c>
      <c r="J2" s="21" t="str">
        <f>IF('Summary | Sumário'!D$6=Names!B$3,Names!E9,Names!F9)</f>
        <v>2Q22</v>
      </c>
      <c r="K2" s="21" t="str">
        <f>IF('Summary | Sumário'!D$6=Names!B$3,Names!E10,Names!F10)</f>
        <v>3Q22</v>
      </c>
      <c r="L2" s="21" t="str">
        <f>IF('Summary | Sumário'!D$6=Names!B$3,Names!E11,Names!F11)</f>
        <v>4Q22</v>
      </c>
      <c r="M2" s="21" t="str">
        <f>IF('Summary | Sumário'!D$6=Names!B$3,Names!E12,Names!F12)</f>
        <v>1Q23</v>
      </c>
      <c r="N2" s="21" t="str">
        <f>IF('Summary | Sumário'!D$6=Names!B$3,Names!E13,Names!F13)</f>
        <v>2Q23</v>
      </c>
      <c r="O2" s="21" t="str">
        <f>IF('Summary | Sumário'!D$6=Names!B$3,Names!E14,Names!F14)</f>
        <v>3Q23</v>
      </c>
      <c r="P2" s="21" t="str">
        <f>IF('Summary | Sumário'!D$6=Names!B$3,Names!E15,Names!F15)</f>
        <v>4Q23</v>
      </c>
      <c r="Q2" s="21" t="str">
        <f>IF('Summary | Sumário'!D$6=Names!B$3,Names!E16,Names!F16)</f>
        <v>1Q24</v>
      </c>
      <c r="R2" s="21" t="str">
        <f>IF('Summary | Sumário'!D$6=Names!B$3,Names!E17,Names!F17)</f>
        <v>2Q24</v>
      </c>
      <c r="S2" s="320" t="str">
        <f>IF('Summary | Sumário'!D$6=Names!B$3,Names!E18,Names!F18)</f>
        <v>3Q24</v>
      </c>
      <c r="T2" s="422"/>
      <c r="U2" s="116" t="str">
        <f>IF('Summary | Sumário'!$D$6=Names!$B$3,Names!$I$24,Names!$J$24)</f>
        <v>QoQ Variation</v>
      </c>
      <c r="V2" s="116" t="str">
        <f>IF('Summary | Sumário'!$D$6=Names!$B$3,Names!$I$25,Names!$J$25)</f>
        <v>YoY Variation</v>
      </c>
      <c r="W2" s="138"/>
      <c r="X2" s="140"/>
      <c r="Y2" s="141"/>
      <c r="AA2" s="143"/>
      <c r="AB2" s="144"/>
    </row>
    <row r="3" spans="2:28" ht="13" customHeight="1">
      <c r="B3" s="14"/>
      <c r="C3" s="146"/>
      <c r="D3" s="146"/>
      <c r="E3" s="147"/>
      <c r="F3" s="147"/>
      <c r="G3" s="147"/>
      <c r="H3" s="147"/>
      <c r="I3" s="147"/>
      <c r="J3" s="147"/>
      <c r="K3" s="147"/>
      <c r="L3" s="147"/>
      <c r="M3" s="147"/>
      <c r="N3" s="147"/>
      <c r="O3" s="147"/>
      <c r="P3" s="147"/>
      <c r="Q3" s="147"/>
      <c r="R3" s="147"/>
      <c r="S3" s="147"/>
      <c r="T3" s="147"/>
      <c r="U3" s="147"/>
      <c r="V3" s="147"/>
      <c r="W3" s="147"/>
    </row>
    <row r="4" spans="2:28" ht="13" customHeight="1">
      <c r="B4" s="381" t="str">
        <f>IF('Summary | Sumário'!D$6=Names!B$3,Names!AP2,Names!AQ2)</f>
        <v>Operational KPIs</v>
      </c>
      <c r="C4" s="317"/>
      <c r="D4" s="317"/>
      <c r="E4" s="317"/>
      <c r="F4" s="317"/>
      <c r="G4" s="317"/>
      <c r="H4" s="317"/>
      <c r="I4" s="317"/>
      <c r="J4" s="317"/>
      <c r="K4" s="317"/>
      <c r="L4" s="317"/>
      <c r="M4" s="317"/>
      <c r="N4" s="317"/>
      <c r="O4" s="317"/>
      <c r="P4" s="317"/>
      <c r="Q4" s="317"/>
      <c r="R4" s="317"/>
      <c r="S4" s="317"/>
      <c r="T4" s="317"/>
      <c r="U4" s="317"/>
      <c r="V4" s="317"/>
      <c r="W4" s="149"/>
    </row>
    <row r="5" spans="2:28" ht="13" customHeight="1">
      <c r="B5" s="368" t="str">
        <f>IF('Summary | Sumário'!D$6=Names!B$3,Names!AP3,Names!AQ3)</f>
        <v>CAC</v>
      </c>
      <c r="C5" s="388">
        <v>25.364349164674067</v>
      </c>
      <c r="D5" s="388">
        <v>26.795498202152629</v>
      </c>
      <c r="E5" s="388">
        <v>27.759999999999998</v>
      </c>
      <c r="F5" s="388">
        <v>27.22</v>
      </c>
      <c r="G5" s="388">
        <v>30.740000000000002</v>
      </c>
      <c r="H5" s="388">
        <v>28.79</v>
      </c>
      <c r="I5" s="388">
        <v>29.04</v>
      </c>
      <c r="J5" s="388">
        <v>32.090000000000003</v>
      </c>
      <c r="K5" s="388">
        <v>28.25</v>
      </c>
      <c r="L5" s="388">
        <v>30.44</v>
      </c>
      <c r="M5" s="388">
        <v>29.799999999999997</v>
      </c>
      <c r="N5" s="388">
        <v>27.06</v>
      </c>
      <c r="O5" s="388">
        <v>25.86</v>
      </c>
      <c r="P5" s="388">
        <v>24.645735842009003</v>
      </c>
      <c r="Q5" s="388">
        <v>28.91</v>
      </c>
      <c r="R5" s="388">
        <v>32.549999999999997</v>
      </c>
      <c r="S5" s="388">
        <v>34.35</v>
      </c>
      <c r="T5" s="149"/>
      <c r="U5" s="508">
        <f>S5/R5-1</f>
        <v>5.5299539170507117E-2</v>
      </c>
      <c r="V5" s="508">
        <f>S5/O5-1</f>
        <v>0.32830626450116007</v>
      </c>
      <c r="W5" s="149"/>
    </row>
    <row r="6" spans="2:28" ht="13" customHeight="1">
      <c r="B6" s="111" t="str">
        <f>IF('Summary | Sumário'!D$6=Names!B$3,Names!AP4,Names!AQ4)</f>
        <v>NPS</v>
      </c>
      <c r="C6" s="150">
        <v>65</v>
      </c>
      <c r="D6" s="150">
        <v>83</v>
      </c>
      <c r="E6" s="150">
        <v>80</v>
      </c>
      <c r="F6" s="150">
        <v>84</v>
      </c>
      <c r="G6" s="150">
        <v>83</v>
      </c>
      <c r="H6" s="150">
        <v>83</v>
      </c>
      <c r="I6" s="150">
        <v>83</v>
      </c>
      <c r="J6" s="150">
        <v>81</v>
      </c>
      <c r="K6" s="150">
        <v>81</v>
      </c>
      <c r="L6" s="150">
        <v>85</v>
      </c>
      <c r="M6" s="150">
        <v>84</v>
      </c>
      <c r="N6" s="150">
        <v>84</v>
      </c>
      <c r="O6" s="150">
        <v>85</v>
      </c>
      <c r="P6" s="150">
        <v>85</v>
      </c>
      <c r="Q6" s="150">
        <v>85</v>
      </c>
      <c r="R6" s="150">
        <v>85</v>
      </c>
      <c r="S6" s="150">
        <v>84</v>
      </c>
      <c r="T6" s="150"/>
      <c r="U6" s="509">
        <f t="shared" ref="U6:U8" si="0">S6/R6-1</f>
        <v>-1.1764705882352899E-2</v>
      </c>
      <c r="V6" s="509">
        <f t="shared" ref="V6:V8" si="1">S6/O6-1</f>
        <v>-1.1764705882352899E-2</v>
      </c>
      <c r="W6" s="150"/>
    </row>
    <row r="7" spans="2:28" ht="13" customHeight="1">
      <c r="B7" s="110" t="str">
        <f>IF('Summary | Sumário'!D$6=Names!B$3,Names!AP5,Names!AQ5)</f>
        <v>Total clients (million)</v>
      </c>
      <c r="C7" s="151">
        <v>4.0590010000000003</v>
      </c>
      <c r="D7" s="151">
        <v>8.4555279999999993</v>
      </c>
      <c r="E7" s="151">
        <v>10.18338</v>
      </c>
      <c r="F7" s="151">
        <v>11.976032999999999</v>
      </c>
      <c r="G7" s="151">
        <v>13.905602</v>
      </c>
      <c r="H7" s="151">
        <v>16.348920827116658</v>
      </c>
      <c r="I7" s="151">
        <v>18.574000000000002</v>
      </c>
      <c r="J7" s="151">
        <v>20.724375999999999</v>
      </c>
      <c r="K7" s="151">
        <v>22.766031999999999</v>
      </c>
      <c r="L7" s="151">
        <v>24.662092999999999</v>
      </c>
      <c r="M7" s="151">
        <v>26.288263000000001</v>
      </c>
      <c r="N7" s="151">
        <v>27.774601000000001</v>
      </c>
      <c r="O7" s="151">
        <v>29.374635000000001</v>
      </c>
      <c r="P7" s="151">
        <v>30.363865000000001</v>
      </c>
      <c r="Q7" s="151">
        <v>31.722895999999999</v>
      </c>
      <c r="R7" s="151">
        <v>33.270463999999997</v>
      </c>
      <c r="S7" s="151">
        <v>34.922488000000001</v>
      </c>
      <c r="T7" s="152"/>
      <c r="U7" s="481">
        <f t="shared" si="0"/>
        <v>4.9654372118164813E-2</v>
      </c>
      <c r="V7" s="481">
        <f t="shared" si="1"/>
        <v>0.18886542760446212</v>
      </c>
      <c r="W7" s="152"/>
      <c r="X7" s="153"/>
    </row>
    <row r="8" spans="2:28" ht="13" customHeight="1">
      <c r="B8" s="111" t="str">
        <f>IF('Summary | Sumário'!D$6=Names!B$3,Names!AP6,Names!AQ6)</f>
        <v>Active clients (million)</v>
      </c>
      <c r="C8" s="154">
        <v>2.2826979999999999</v>
      </c>
      <c r="D8" s="154">
        <v>5.2522799999999998</v>
      </c>
      <c r="E8" s="154">
        <v>6.1326499999999999</v>
      </c>
      <c r="F8" s="154">
        <v>7.0629739999999996</v>
      </c>
      <c r="G8" s="154">
        <v>7.9664520000000003</v>
      </c>
      <c r="H8" s="154">
        <v>8.8263289999999994</v>
      </c>
      <c r="I8" s="154">
        <v>9.6228320000000007</v>
      </c>
      <c r="J8" s="154">
        <v>10.716208999999999</v>
      </c>
      <c r="K8" s="154">
        <v>11.649274</v>
      </c>
      <c r="L8" s="154">
        <v>12.584403999999999</v>
      </c>
      <c r="M8" s="154">
        <v>13.540568</v>
      </c>
      <c r="N8" s="154">
        <v>14.494907</v>
      </c>
      <c r="O8" s="154">
        <v>15.47322</v>
      </c>
      <c r="P8" s="154">
        <v>16.405394000000001</v>
      </c>
      <c r="Q8" s="154">
        <v>17.413702000000001</v>
      </c>
      <c r="R8" s="154">
        <v>18.401989</v>
      </c>
      <c r="S8" s="154">
        <v>19.538504</v>
      </c>
      <c r="T8" s="154"/>
      <c r="U8" s="510">
        <f t="shared" si="0"/>
        <v>6.1760443395548092E-2</v>
      </c>
      <c r="V8" s="510">
        <f t="shared" si="1"/>
        <v>0.26273031728366814</v>
      </c>
      <c r="W8" s="154"/>
    </row>
    <row r="9" spans="2:28" ht="13" customHeight="1">
      <c r="B9" s="110" t="str">
        <f>IF('Summary | Sumário'!D$6=Names!B$3,Names!AP7,Names!AQ7)</f>
        <v>Longevity ratio (clients more than 1 year old at Inter) (%)</v>
      </c>
      <c r="C9" s="155">
        <v>0.35773211191620791</v>
      </c>
      <c r="D9" s="155">
        <v>0.48004110447035359</v>
      </c>
      <c r="E9" s="155">
        <v>0.48479129719209141</v>
      </c>
      <c r="F9" s="155">
        <v>0.49302093606455494</v>
      </c>
      <c r="G9" s="155">
        <v>0.51438636025969964</v>
      </c>
      <c r="H9" s="155">
        <v>0.51719181280610804</v>
      </c>
      <c r="I9" s="155">
        <v>0.54825993324001288</v>
      </c>
      <c r="J9" s="155">
        <v>0.57787182591167041</v>
      </c>
      <c r="K9" s="155">
        <v>0.61080481657936703</v>
      </c>
      <c r="L9" s="155">
        <v>0.66291700494019945</v>
      </c>
      <c r="M9" s="155">
        <v>0.70655105664455653</v>
      </c>
      <c r="N9" s="155">
        <v>0.74616287017048422</v>
      </c>
      <c r="O9" s="155">
        <v>0.77502348539820154</v>
      </c>
      <c r="P9" s="155">
        <v>0.81221850380378124</v>
      </c>
      <c r="Q9" s="155">
        <v>0.82868420966358181</v>
      </c>
      <c r="R9" s="155">
        <v>0.83481255326045345</v>
      </c>
      <c r="S9" s="155">
        <v>0.84113809417015195</v>
      </c>
      <c r="T9" s="156"/>
      <c r="U9" s="511">
        <f>(S9-R9)*100</f>
        <v>0.63255409096985016</v>
      </c>
      <c r="V9" s="511">
        <f>(S9-O9)*100</f>
        <v>6.6114608771950412</v>
      </c>
      <c r="W9" s="156"/>
    </row>
    <row r="10" spans="2:28" ht="13" customHeight="1">
      <c r="B10" s="111" t="str">
        <f>IF('Summary | Sumário'!D$6=Names!B$3,Names!AP8,Names!AQ8)</f>
        <v>Activity rate (%)</v>
      </c>
      <c r="C10" s="157">
        <v>0.56237926524285164</v>
      </c>
      <c r="D10" s="157">
        <v>0.62116523060416806</v>
      </c>
      <c r="E10" s="157">
        <v>0.60222146281490041</v>
      </c>
      <c r="F10" s="157">
        <v>0.5897590629551539</v>
      </c>
      <c r="G10" s="157">
        <v>0.57289515405374036</v>
      </c>
      <c r="H10" s="157">
        <v>0.53987227006203786</v>
      </c>
      <c r="I10" s="157">
        <v>0.51808075804888554</v>
      </c>
      <c r="J10" s="157">
        <v>0.5170823478593517</v>
      </c>
      <c r="K10" s="157">
        <v>0.51169540656008916</v>
      </c>
      <c r="L10" s="157">
        <v>0.51027315483726376</v>
      </c>
      <c r="M10" s="157">
        <v>0.51508036114824318</v>
      </c>
      <c r="N10" s="157">
        <v>0.52187633586527493</v>
      </c>
      <c r="O10" s="157">
        <v>0.52675446009797233</v>
      </c>
      <c r="P10" s="157">
        <v>0.54029333880914043</v>
      </c>
      <c r="Q10" s="157">
        <v>0.54893166122033754</v>
      </c>
      <c r="R10" s="157">
        <v>0.5531028662539843</v>
      </c>
      <c r="S10" s="157">
        <v>0.5594820162870412</v>
      </c>
      <c r="T10" s="157"/>
      <c r="U10" s="512">
        <f>(S10-R10)*100</f>
        <v>0.63791500330568907</v>
      </c>
      <c r="V10" s="512">
        <f>(S10-O10)*100</f>
        <v>3.2727556189068863</v>
      </c>
      <c r="W10" s="157"/>
    </row>
    <row r="11" spans="2:28" ht="13" customHeight="1">
      <c r="B11" s="110" t="str">
        <f>IF('Summary | Sumário'!D$6=Names!B$3,Names!AP9,Names!AQ9)</f>
        <v>Headcount</v>
      </c>
      <c r="C11" s="158">
        <v>1628</v>
      </c>
      <c r="D11" s="158">
        <v>2128</v>
      </c>
      <c r="E11" s="158">
        <v>2452</v>
      </c>
      <c r="F11" s="158">
        <v>2972</v>
      </c>
      <c r="G11" s="158">
        <v>3447</v>
      </c>
      <c r="H11" s="158">
        <v>3900</v>
      </c>
      <c r="I11" s="158">
        <v>3805</v>
      </c>
      <c r="J11" s="158">
        <v>4047</v>
      </c>
      <c r="K11" s="158">
        <v>4057</v>
      </c>
      <c r="L11" s="158">
        <v>4081</v>
      </c>
      <c r="M11" s="158">
        <v>3828</v>
      </c>
      <c r="N11" s="158">
        <v>3433</v>
      </c>
      <c r="O11" s="158">
        <v>3266</v>
      </c>
      <c r="P11" s="158">
        <v>3319</v>
      </c>
      <c r="Q11" s="158">
        <v>3336</v>
      </c>
      <c r="R11" s="158">
        <v>3653</v>
      </c>
      <c r="S11" s="158">
        <v>4357</v>
      </c>
      <c r="T11" s="150"/>
      <c r="U11" s="513">
        <f t="shared" ref="U11:U12" si="2">S11/R11-1</f>
        <v>0.19271831371475501</v>
      </c>
      <c r="V11" s="513">
        <f t="shared" ref="V11:V12" si="3">S11/O11-1</f>
        <v>0.33404776484996934</v>
      </c>
      <c r="W11" s="150"/>
    </row>
    <row r="12" spans="2:28" ht="13" customHeight="1">
      <c r="B12" s="111" t="str">
        <f>IF('Summary | Sumário'!D$6=Names!B$3,Names!AP10,Names!AQ10)</f>
        <v>Active clients per employee (thousands)</v>
      </c>
      <c r="C12" s="159">
        <f>C8*1000/C11</f>
        <v>1.4021486486486485</v>
      </c>
      <c r="D12" s="159">
        <f t="shared" ref="D12:N12" si="4">D8*1000/D11</f>
        <v>2.4681766917293233</v>
      </c>
      <c r="E12" s="159">
        <f t="shared" si="4"/>
        <v>2.5010807504078301</v>
      </c>
      <c r="F12" s="159">
        <f t="shared" si="4"/>
        <v>2.3765053835800805</v>
      </c>
      <c r="G12" s="159">
        <f t="shared" si="4"/>
        <v>2.3111261966927765</v>
      </c>
      <c r="H12" s="159">
        <f t="shared" si="4"/>
        <v>2.2631612820512821</v>
      </c>
      <c r="I12" s="159">
        <f t="shared" si="4"/>
        <v>2.5289965834428383</v>
      </c>
      <c r="J12" s="159">
        <f t="shared" si="4"/>
        <v>2.6479389671361502</v>
      </c>
      <c r="K12" s="159">
        <f t="shared" si="4"/>
        <v>2.8714010352477199</v>
      </c>
      <c r="L12" s="159">
        <f t="shared" si="4"/>
        <v>3.0836569468267578</v>
      </c>
      <c r="M12" s="159">
        <f t="shared" si="4"/>
        <v>3.5372434691745038</v>
      </c>
      <c r="N12" s="159">
        <f t="shared" si="4"/>
        <v>4.2222274978153216</v>
      </c>
      <c r="O12" s="159">
        <f t="shared" ref="O12:P12" si="5">O8*1000/O11</f>
        <v>4.7376668707899565</v>
      </c>
      <c r="P12" s="159">
        <f t="shared" si="5"/>
        <v>4.942872551973486</v>
      </c>
      <c r="Q12" s="159">
        <f t="shared" ref="Q12:R12" si="6">Q8*1000/Q11</f>
        <v>5.2199346522781775</v>
      </c>
      <c r="R12" s="159">
        <f t="shared" si="6"/>
        <v>5.0375004106214076</v>
      </c>
      <c r="S12" s="159">
        <f t="shared" ref="S12" si="7">S8*1000/S11</f>
        <v>4.4843938489786552</v>
      </c>
      <c r="T12" s="159"/>
      <c r="U12" s="157">
        <f t="shared" si="2"/>
        <v>-0.10979781966400337</v>
      </c>
      <c r="V12" s="157">
        <f t="shared" si="3"/>
        <v>-5.3459440842675954E-2</v>
      </c>
      <c r="W12" s="159"/>
    </row>
    <row r="13" spans="2:28" ht="13" customHeight="1">
      <c r="B13" s="160"/>
    </row>
    <row r="14" spans="2:28" ht="13" customHeight="1">
      <c r="B14" s="160"/>
    </row>
    <row r="15" spans="2:28" ht="13" customHeight="1">
      <c r="B15" s="160"/>
    </row>
    <row r="17" spans="2:10" ht="13" customHeight="1">
      <c r="B17" s="161"/>
    </row>
    <row r="18" spans="2:10" ht="13" customHeight="1">
      <c r="B18" s="162"/>
    </row>
    <row r="20" spans="2:10" ht="13" customHeight="1">
      <c r="B20" s="687"/>
    </row>
    <row r="21" spans="2:10" ht="13" customHeight="1">
      <c r="B21" s="687"/>
    </row>
    <row r="22" spans="2:10" ht="13" customHeight="1">
      <c r="B22" s="687"/>
    </row>
    <row r="23" spans="2:10" ht="13" customHeight="1">
      <c r="B23" s="687"/>
      <c r="D23" s="164"/>
    </row>
    <row r="24" spans="2:10" ht="13" customHeight="1">
      <c r="B24" s="687"/>
      <c r="J24" s="163"/>
    </row>
    <row r="25" spans="2:10" ht="13" customHeight="1">
      <c r="B25" s="687"/>
    </row>
    <row r="26" spans="2:10" ht="13" customHeight="1">
      <c r="B26" s="687"/>
    </row>
  </sheetData>
  <sheetProtection algorithmName="SHA-512" hashValue="YarqxpQ3+faCe5+kBRi6e2Il/2iyBADcHi3TyIb88jXUs87nrOVdAortm9iAEW7hSspE0fFnNBZ53HsXaTwYYQ==" saltValue="nTgawY+VH8jOpV3c8N/4eA==" spinCount="100000" sheet="1" formatCells="0" formatColumns="0" formatRows="0" insertColumns="0" insertRows="0" insertHyperlinks="0" deleteColumns="0" deleteRows="0" sort="0" autoFilter="0" pivotTables="0"/>
  <mergeCells count="1">
    <mergeCell ref="B20:B26"/>
  </mergeCells>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7B48-AEE5-3145-B617-B2690219AFDE}">
  <sheetPr>
    <tabColor rgb="FFE1E2E1"/>
  </sheetPr>
  <dimension ref="B1:AA33"/>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135" customWidth="1"/>
    <col min="3" max="15" width="10.83203125" style="135"/>
    <col min="16" max="16" width="12.6640625" style="135" bestFit="1" customWidth="1"/>
    <col min="17" max="17" width="10.83203125" style="135"/>
    <col min="18" max="18" width="5.83203125" style="135" customWidth="1"/>
    <col min="19" max="20" width="10.83203125" style="135"/>
    <col min="21" max="21" width="5.83203125" style="135" customWidth="1"/>
    <col min="22" max="22" width="129.6640625" style="135" bestFit="1" customWidth="1"/>
    <col min="23" max="16384" width="10.83203125" style="135"/>
  </cols>
  <sheetData>
    <row r="1" spans="2:27" ht="13" customHeight="1">
      <c r="C1" s="136"/>
      <c r="D1" s="136"/>
      <c r="E1" s="136"/>
      <c r="F1" s="136"/>
      <c r="G1" s="136"/>
      <c r="H1" s="136"/>
      <c r="I1" s="136"/>
      <c r="J1" s="136"/>
      <c r="K1" s="136"/>
      <c r="L1" s="136"/>
      <c r="M1" s="136"/>
      <c r="N1" s="136"/>
      <c r="O1" s="136"/>
      <c r="P1" s="136"/>
      <c r="Q1" s="136"/>
      <c r="R1" s="136"/>
      <c r="S1" s="136"/>
      <c r="T1" s="136"/>
      <c r="U1" s="136"/>
      <c r="V1" s="136"/>
    </row>
    <row r="2" spans="2:27" s="142" customFormat="1" ht="13" customHeight="1">
      <c r="B2" s="319" t="str">
        <f>IF('Summary | Sumário'!D$6=Names!B$3,Names!BR1,Names!BS1)</f>
        <v>Market Data - Brazil (Millions)</v>
      </c>
      <c r="C2" s="21" t="str">
        <f>IF('Summary | Sumário'!D$6=Names!B$3,Names!E4,Names!F4)</f>
        <v>1Q21</v>
      </c>
      <c r="D2" s="21" t="str">
        <f>IF('Summary | Sumário'!D$6=Names!B$3,Names!E5,Names!F5)</f>
        <v>2Q21</v>
      </c>
      <c r="E2" s="21" t="str">
        <f>IF('Summary | Sumário'!D$6=Names!B$3,Names!E6,Names!F6)</f>
        <v>3Q21</v>
      </c>
      <c r="F2" s="21" t="str">
        <f>IF('Summary | Sumário'!D$6=Names!B$3,Names!E7,Names!F7)</f>
        <v>4Q21</v>
      </c>
      <c r="G2" s="21" t="str">
        <f>IF('Summary | Sumário'!D$6=Names!B$3,Names!E8,Names!F8)</f>
        <v>1Q22</v>
      </c>
      <c r="H2" s="21" t="str">
        <f>IF('Summary | Sumário'!D$6=Names!B$3,Names!E9,Names!F9)</f>
        <v>2Q22</v>
      </c>
      <c r="I2" s="21" t="str">
        <f>IF('Summary | Sumário'!D$6=Names!B$3,Names!E10,Names!F10)</f>
        <v>3Q22</v>
      </c>
      <c r="J2" s="21" t="str">
        <f>IF('Summary | Sumário'!D$6=Names!B$3,Names!E11,Names!F11)</f>
        <v>4Q22</v>
      </c>
      <c r="K2" s="21" t="str">
        <f>IF('Summary | Sumário'!D$6=Names!B$3,Names!E12,Names!F12)</f>
        <v>1Q23</v>
      </c>
      <c r="L2" s="21" t="str">
        <f>IF('Summary | Sumário'!D$6=Names!B$3,Names!E13,Names!F13)</f>
        <v>2Q23</v>
      </c>
      <c r="M2" s="21" t="str">
        <f>IF('Summary | Sumário'!D$6=Names!B$3,Names!E14,Names!F14)</f>
        <v>3Q23</v>
      </c>
      <c r="N2" s="21" t="str">
        <f>IF('Summary | Sumário'!D$6=Names!B$3,Names!E15,Names!F15)</f>
        <v>4Q23</v>
      </c>
      <c r="O2" s="21" t="str">
        <f>IF('Summary | Sumário'!D$6=Names!B$3,Names!E16,Names!F16)</f>
        <v>1Q24</v>
      </c>
      <c r="P2" s="21" t="str">
        <f>IF('Summary | Sumário'!D$6=Names!B$3,Names!E17,Names!F17)</f>
        <v>2Q24</v>
      </c>
      <c r="Q2" s="320" t="str">
        <f>IF('Summary | Sumário'!D$6=Names!B$3,Names!E18,Names!F18)</f>
        <v>3Q24</v>
      </c>
      <c r="R2" s="422"/>
      <c r="S2" s="116" t="str">
        <f>IF('Summary | Sumário'!$D$6=Names!$B$3,Names!$I$24,Names!$J$24)</f>
        <v>QoQ Variation</v>
      </c>
      <c r="T2" s="116" t="str">
        <f>IF('Summary | Sumário'!$D$6=Names!$B$3,Names!$I$25,Names!$J$25)</f>
        <v>YoY Variation</v>
      </c>
      <c r="U2" s="116"/>
      <c r="V2" s="138"/>
      <c r="W2" s="140"/>
      <c r="X2" s="141"/>
      <c r="Z2" s="143"/>
      <c r="AA2" s="144"/>
    </row>
    <row r="3" spans="2:27" ht="13" customHeight="1">
      <c r="B3" s="14"/>
      <c r="C3" s="147"/>
      <c r="D3" s="147"/>
      <c r="E3" s="147"/>
      <c r="F3" s="147"/>
      <c r="G3" s="147"/>
      <c r="H3" s="147"/>
      <c r="I3" s="147"/>
      <c r="J3" s="147"/>
      <c r="K3" s="147"/>
      <c r="L3" s="147"/>
      <c r="M3" s="147"/>
      <c r="N3" s="147"/>
      <c r="O3" s="147"/>
      <c r="P3" s="147"/>
      <c r="Q3" s="147"/>
      <c r="R3" s="147"/>
      <c r="S3" s="147"/>
      <c r="T3" s="147"/>
      <c r="U3" s="147"/>
      <c r="V3" s="147"/>
    </row>
    <row r="4" spans="2:27" ht="13" customHeight="1">
      <c r="B4" s="381" t="str">
        <f>IF('Summary | Sumário'!D$6=Names!B$3,Names!BR4,Names!BS4)</f>
        <v>Banking Accounts</v>
      </c>
      <c r="C4" s="317"/>
      <c r="D4" s="317"/>
      <c r="E4" s="317"/>
      <c r="F4" s="317"/>
      <c r="G4" s="317"/>
      <c r="H4" s="317"/>
      <c r="I4" s="317"/>
      <c r="J4" s="317"/>
      <c r="K4" s="317"/>
      <c r="L4" s="317"/>
      <c r="M4" s="317"/>
      <c r="N4" s="317"/>
      <c r="O4" s="317"/>
      <c r="P4" s="317"/>
      <c r="Q4" s="317"/>
      <c r="R4" s="317"/>
      <c r="S4" s="317"/>
      <c r="T4" s="317"/>
      <c r="U4" s="317"/>
      <c r="V4" s="524" t="str">
        <f>IF('Summary | Sumário'!D$6=Names!B$3,Names!BR2,Names!BS2)</f>
        <v>Source</v>
      </c>
    </row>
    <row r="5" spans="2:27" ht="13" customHeight="1">
      <c r="B5" s="527" t="str">
        <f>IF('Summary | Sumário'!D$6=Names!B$3,Names!BR5,Names!BS5)</f>
        <v>Individual with Banking Accounts</v>
      </c>
      <c r="C5" s="528">
        <v>180.230211</v>
      </c>
      <c r="D5" s="528">
        <v>181.31761900000001</v>
      </c>
      <c r="E5" s="528">
        <v>182.49014099999999</v>
      </c>
      <c r="F5" s="528">
        <v>182.21805499999999</v>
      </c>
      <c r="G5" s="528">
        <v>183.36628300000001</v>
      </c>
      <c r="H5" s="528">
        <v>184.76697899999999</v>
      </c>
      <c r="I5" s="528">
        <v>186.43217199999998</v>
      </c>
      <c r="J5" s="528">
        <v>188.33574200000001</v>
      </c>
      <c r="K5" s="528">
        <v>190.285642</v>
      </c>
      <c r="L5" s="528">
        <v>191.557106</v>
      </c>
      <c r="M5" s="528">
        <v>192.98458300000001</v>
      </c>
      <c r="N5" s="528">
        <v>194.119812</v>
      </c>
      <c r="O5" s="528">
        <v>196.06822599999998</v>
      </c>
      <c r="P5" s="528">
        <v>197.62343799999999</v>
      </c>
      <c r="Q5" s="528">
        <v>198.954015</v>
      </c>
      <c r="R5" s="149"/>
      <c r="S5" s="542">
        <f>Q5/P5-1</f>
        <v>6.7328906604691152E-3</v>
      </c>
      <c r="T5" s="542">
        <f>Q5/M5-1</f>
        <v>3.0932170369277534E-2</v>
      </c>
      <c r="U5" s="149"/>
      <c r="V5" s="548" t="str">
        <f>Names!BT5</f>
        <v>Estatísticas do CCS - Banco Central do Brasil</v>
      </c>
      <c r="W5" s="549"/>
    </row>
    <row r="6" spans="2:27" ht="13" customHeight="1">
      <c r="B6" s="111" t="str">
        <f>IF('Summary | Sumário'!D$6=Names!B$3,Names!BR6,Names!BS6)</f>
        <v>Business with Banking Accounts</v>
      </c>
      <c r="C6" s="149">
        <v>13.669084999999999</v>
      </c>
      <c r="D6" s="149">
        <v>14.088994000000001</v>
      </c>
      <c r="E6" s="149">
        <v>14.457945</v>
      </c>
      <c r="F6" s="149">
        <v>14.997128</v>
      </c>
      <c r="G6" s="149">
        <v>15.612392</v>
      </c>
      <c r="H6" s="149">
        <v>16.169655000000002</v>
      </c>
      <c r="I6" s="149">
        <v>16.966272</v>
      </c>
      <c r="J6" s="149">
        <v>17.540289000000001</v>
      </c>
      <c r="K6" s="149">
        <v>18.049762999999999</v>
      </c>
      <c r="L6" s="149">
        <v>18.617251</v>
      </c>
      <c r="M6" s="149">
        <v>19.128495999999998</v>
      </c>
      <c r="N6" s="149">
        <v>19.621282000000001</v>
      </c>
      <c r="O6" s="149">
        <v>20.171491999999997</v>
      </c>
      <c r="P6" s="149">
        <v>20.718002000000002</v>
      </c>
      <c r="Q6" s="149">
        <v>21.388135999999999</v>
      </c>
      <c r="R6" s="150"/>
      <c r="S6" s="509">
        <f>Q6/P6-1</f>
        <v>3.234549354710925E-2</v>
      </c>
      <c r="T6" s="509">
        <f>Q6/M6-1</f>
        <v>0.11812951734417609</v>
      </c>
      <c r="U6" s="150"/>
      <c r="V6" s="550" t="str">
        <f>Names!BT6</f>
        <v>Estatísticas do CCS - Banco Central do Brasil</v>
      </c>
      <c r="W6" s="549"/>
    </row>
    <row r="7" spans="2:27" ht="13" customHeight="1">
      <c r="B7" s="529"/>
      <c r="C7" s="530"/>
      <c r="D7" s="530"/>
      <c r="E7" s="530"/>
      <c r="F7" s="530"/>
      <c r="G7" s="530"/>
      <c r="H7" s="530"/>
      <c r="I7" s="530"/>
      <c r="J7" s="530"/>
      <c r="K7" s="530"/>
      <c r="L7" s="530"/>
      <c r="M7" s="530"/>
      <c r="N7" s="530"/>
      <c r="O7" s="530"/>
      <c r="P7" s="530"/>
      <c r="Q7" s="530"/>
      <c r="R7" s="152"/>
      <c r="S7" s="530"/>
      <c r="T7" s="530"/>
      <c r="U7" s="152"/>
      <c r="V7" s="531"/>
      <c r="W7" s="153"/>
    </row>
    <row r="8" spans="2:27" ht="13" customHeight="1">
      <c r="B8" s="381" t="str">
        <f>IF('Summary | Sumário'!D$6=Names!B$3,Names!BR9,Names!BS9)</f>
        <v>TPV</v>
      </c>
      <c r="C8" s="154"/>
      <c r="D8" s="154"/>
      <c r="E8" s="154"/>
      <c r="F8" s="154"/>
      <c r="G8" s="154"/>
      <c r="H8" s="154"/>
      <c r="I8" s="154"/>
      <c r="J8" s="154"/>
      <c r="K8" s="154"/>
      <c r="L8" s="154"/>
      <c r="M8" s="154"/>
      <c r="N8" s="154"/>
      <c r="O8" s="154"/>
      <c r="P8" s="154"/>
      <c r="Q8" s="154"/>
      <c r="R8" s="154"/>
      <c r="S8" s="154"/>
      <c r="T8" s="154"/>
      <c r="U8" s="154"/>
      <c r="V8" s="525"/>
    </row>
    <row r="9" spans="2:27" ht="13" customHeight="1">
      <c r="B9" s="527" t="str">
        <f>IF('Summary | Sumário'!D$6=Names!B$3,Names!BR10,Names!BS10)</f>
        <v>PIX</v>
      </c>
      <c r="C9" s="528"/>
      <c r="D9" s="528"/>
      <c r="E9" s="528"/>
      <c r="F9" s="528"/>
      <c r="G9" s="528"/>
      <c r="H9" s="528"/>
      <c r="I9" s="528"/>
      <c r="J9" s="528"/>
      <c r="K9" s="528"/>
      <c r="L9" s="528"/>
      <c r="M9" s="528"/>
      <c r="N9" s="528"/>
      <c r="O9" s="528"/>
      <c r="P9" s="528"/>
      <c r="Q9" s="528"/>
      <c r="R9" s="149"/>
      <c r="S9" s="528"/>
      <c r="T9" s="528"/>
      <c r="U9" s="149"/>
      <c r="V9" s="548" t="str">
        <f>Names!BT11</f>
        <v>Sistema de Pagamentos Brasileiro (SPB) - Estatísticas do Pix - Banco Central do Brasil</v>
      </c>
      <c r="W9" s="549"/>
    </row>
    <row r="10" spans="2:27" ht="13" customHeight="1">
      <c r="B10" s="522" t="str">
        <f>IF('Summary | Sumário'!D$6=Names!B$3,Names!BR11,Names!BS11)</f>
        <v>PIX Transactions</v>
      </c>
      <c r="C10" s="546">
        <v>727.64367799999991</v>
      </c>
      <c r="D10" s="546">
        <v>1579.9677749999998</v>
      </c>
      <c r="E10" s="546">
        <v>2432.0838009999998</v>
      </c>
      <c r="F10" s="546">
        <v>3239.403785</v>
      </c>
      <c r="G10" s="546">
        <v>3618.2862179999997</v>
      </c>
      <c r="H10" s="546">
        <v>4628.8793930000002</v>
      </c>
      <c r="I10" s="546">
        <v>5530.5009110000001</v>
      </c>
      <c r="J10" s="546">
        <v>6575.9385599999996</v>
      </c>
      <c r="K10" s="546">
        <v>6882.7202810000008</v>
      </c>
      <c r="L10" s="546">
        <v>8136.4115810000003</v>
      </c>
      <c r="M10" s="546">
        <v>9706.8342559999983</v>
      </c>
      <c r="N10" s="546">
        <v>11473.387352</v>
      </c>
      <c r="O10" s="546">
        <v>12020.651478</v>
      </c>
      <c r="P10" s="546">
        <v>13623.234329999999</v>
      </c>
      <c r="Q10" s="546">
        <f>4894.942+5009.384+4786.638</f>
        <v>14690.964</v>
      </c>
      <c r="R10" s="157"/>
      <c r="S10" s="157">
        <f>Q10/P10-1</f>
        <v>7.8375637101736562E-2</v>
      </c>
      <c r="T10" s="157">
        <f>Q10/M10-1</f>
        <v>0.51346603975639193</v>
      </c>
      <c r="U10" s="157"/>
      <c r="V10" s="551"/>
      <c r="W10" s="549"/>
    </row>
    <row r="11" spans="2:27" ht="13" customHeight="1">
      <c r="B11" s="532" t="str">
        <f>IF('Summary | Sumário'!D$6=Names!B$3,Names!BR12,Names!BS12)</f>
        <v>PIX TPV (R$)</v>
      </c>
      <c r="C11" s="533">
        <v>545865.52816126042</v>
      </c>
      <c r="D11" s="533">
        <v>962345.47765108012</v>
      </c>
      <c r="E11" s="533">
        <v>1351068.3827956303</v>
      </c>
      <c r="F11" s="533">
        <v>1662837.6549495156</v>
      </c>
      <c r="G11" s="533">
        <v>1806516.4732325375</v>
      </c>
      <c r="H11" s="533">
        <v>2223822.2405896918</v>
      </c>
      <c r="I11" s="533">
        <v>2578950.3366389298</v>
      </c>
      <c r="J11" s="533">
        <v>2865663.1767627192</v>
      </c>
      <c r="K11" s="533">
        <v>2959895.7995207496</v>
      </c>
      <c r="L11" s="533">
        <v>3333287.8986781244</v>
      </c>
      <c r="M11" s="533">
        <v>3771040.8591022328</v>
      </c>
      <c r="N11" s="533">
        <v>4402723.7532800706</v>
      </c>
      <c r="O11" s="533">
        <v>4498296.7634392958</v>
      </c>
      <c r="P11" s="533">
        <v>5283406.6412520343</v>
      </c>
      <c r="Q11" s="533">
        <f>1937484+1948182+1954750</f>
        <v>5840416</v>
      </c>
      <c r="R11" s="150"/>
      <c r="S11" s="543">
        <f>Q11/P11-1</f>
        <v>0.10542617605825022</v>
      </c>
      <c r="T11" s="543">
        <f>Q11/M11-1</f>
        <v>0.54875436735268379</v>
      </c>
      <c r="U11" s="150"/>
      <c r="V11" s="552"/>
      <c r="W11" s="549"/>
    </row>
    <row r="12" spans="2:27" ht="13" customHeight="1">
      <c r="B12" s="111"/>
      <c r="C12" s="159"/>
      <c r="D12" s="159"/>
      <c r="E12" s="159"/>
      <c r="F12" s="159"/>
      <c r="G12" s="159"/>
      <c r="H12" s="159"/>
      <c r="I12" s="159"/>
      <c r="J12" s="159"/>
      <c r="K12" s="159"/>
      <c r="L12" s="159"/>
      <c r="M12" s="159"/>
      <c r="N12" s="159"/>
      <c r="O12" s="159"/>
      <c r="P12" s="159"/>
      <c r="Q12" s="159"/>
      <c r="R12" s="159"/>
      <c r="S12" s="159"/>
      <c r="T12" s="159"/>
      <c r="U12" s="159"/>
      <c r="V12" s="551"/>
      <c r="W12" s="549"/>
    </row>
    <row r="13" spans="2:27" ht="13" customHeight="1">
      <c r="B13" s="534" t="str">
        <f>IF('Summary | Sumário'!D$6=Names!B$3,Names!BR14,Names!BS14)</f>
        <v>Cards</v>
      </c>
      <c r="C13" s="223">
        <f>SUM(C14:C15)</f>
        <v>551594.81716864998</v>
      </c>
      <c r="D13" s="223">
        <f t="shared" ref="D13:P13" si="0">SUM(D14:D15)</f>
        <v>612846.06840559002</v>
      </c>
      <c r="E13" s="223">
        <f t="shared" si="0"/>
        <v>692371.84696538001</v>
      </c>
      <c r="F13" s="223">
        <f t="shared" si="0"/>
        <v>804700.99335999996</v>
      </c>
      <c r="G13" s="223">
        <f t="shared" si="0"/>
        <v>759580.80351282004</v>
      </c>
      <c r="H13" s="223">
        <f t="shared" si="0"/>
        <v>838978.6327822</v>
      </c>
      <c r="I13" s="223">
        <f t="shared" si="0"/>
        <v>859690.55681608</v>
      </c>
      <c r="J13" s="223">
        <f t="shared" si="0"/>
        <v>935571.04112141998</v>
      </c>
      <c r="K13" s="223">
        <f t="shared" si="0"/>
        <v>866587.21779132006</v>
      </c>
      <c r="L13" s="223">
        <f t="shared" si="0"/>
        <v>901443.90171081002</v>
      </c>
      <c r="M13" s="223">
        <f t="shared" si="0"/>
        <v>939364.28888279013</v>
      </c>
      <c r="N13" s="223">
        <f t="shared" si="0"/>
        <v>1027659.1749756201</v>
      </c>
      <c r="O13" s="223">
        <f t="shared" si="0"/>
        <v>964955.67656156002</v>
      </c>
      <c r="P13" s="223">
        <f t="shared" si="0"/>
        <v>1000665.4318358499</v>
      </c>
      <c r="Q13" s="596">
        <v>1035571.6186827</v>
      </c>
      <c r="S13" s="682">
        <f>Q13/P13-1</f>
        <v>3.4882974605018768E-2</v>
      </c>
      <c r="T13" s="682">
        <f>Q13/M13-1</f>
        <v>0.1024174869520873</v>
      </c>
      <c r="V13" s="553" t="str">
        <f>Names!BT15</f>
        <v>Associação Brasileira das Empresas de Cartões de Crédito e Serviços - Sistema de Informações – Monitor Abecs</v>
      </c>
      <c r="W13" s="549"/>
    </row>
    <row r="14" spans="2:27" ht="13" customHeight="1">
      <c r="B14" s="160" t="str">
        <f>IF('Summary | Sumário'!D$6=Names!B$3,Names!BR15,Names!BS15)</f>
        <v>Credit Cards TPV (R$)</v>
      </c>
      <c r="C14" s="546">
        <v>328732.62769512</v>
      </c>
      <c r="D14" s="546">
        <v>371188.10881687998</v>
      </c>
      <c r="E14" s="546">
        <v>422362.66261727002</v>
      </c>
      <c r="F14" s="546">
        <v>497588.82791405002</v>
      </c>
      <c r="G14" s="546">
        <v>479099.28373640002</v>
      </c>
      <c r="H14" s="546">
        <v>531307.87166443001</v>
      </c>
      <c r="I14" s="546">
        <v>548190.46782451996</v>
      </c>
      <c r="J14" s="546">
        <v>589132.52756351</v>
      </c>
      <c r="K14" s="546">
        <v>555194.36013382999</v>
      </c>
      <c r="L14" s="546">
        <v>580490.58106495999</v>
      </c>
      <c r="M14" s="546">
        <v>608077.80291872006</v>
      </c>
      <c r="N14" s="546">
        <v>664644.18698012002</v>
      </c>
      <c r="O14" s="546">
        <v>635249.28854787</v>
      </c>
      <c r="P14" s="546">
        <v>662709.53340422991</v>
      </c>
      <c r="Q14" s="546">
        <v>693157.40164360998</v>
      </c>
      <c r="S14" s="397">
        <f>Q14/P14-1</f>
        <v>4.5944515213134807E-2</v>
      </c>
      <c r="T14" s="397">
        <f>Q14/M14-1</f>
        <v>0.13991564618296426</v>
      </c>
      <c r="V14" s="526"/>
    </row>
    <row r="15" spans="2:27" ht="13" customHeight="1">
      <c r="B15" s="537" t="str">
        <f>IF('Summary | Sumário'!D$6=Names!B$3,Names!BR16,Names!BS16)</f>
        <v>Debt Card TPV (R$)</v>
      </c>
      <c r="C15" s="533">
        <v>222862.18947352996</v>
      </c>
      <c r="D15" s="533">
        <v>241657.95958871001</v>
      </c>
      <c r="E15" s="533">
        <v>270009.18434810999</v>
      </c>
      <c r="F15" s="533">
        <v>307112.16544595</v>
      </c>
      <c r="G15" s="533">
        <v>280481.51977642003</v>
      </c>
      <c r="H15" s="533">
        <v>307670.76111776999</v>
      </c>
      <c r="I15" s="533">
        <v>311500.08899156004</v>
      </c>
      <c r="J15" s="533">
        <v>346438.51355790999</v>
      </c>
      <c r="K15" s="533">
        <v>311392.85765749001</v>
      </c>
      <c r="L15" s="533">
        <v>320953.32064585004</v>
      </c>
      <c r="M15" s="533">
        <v>331286.48596407002</v>
      </c>
      <c r="N15" s="533">
        <v>363014.98799550004</v>
      </c>
      <c r="O15" s="533">
        <v>329706.38801369001</v>
      </c>
      <c r="P15" s="533">
        <v>337955.89843161998</v>
      </c>
      <c r="Q15" s="533">
        <f>Q13-Q14</f>
        <v>342414.21703909</v>
      </c>
      <c r="S15" s="682">
        <f>Q15/P15-1</f>
        <v>1.3192013005720815E-2</v>
      </c>
      <c r="T15" s="682">
        <f>Q15/M15-1</f>
        <v>3.3589450661222653E-2</v>
      </c>
      <c r="V15" s="538"/>
    </row>
    <row r="16" spans="2:27" ht="13" customHeight="1">
      <c r="S16" s="136"/>
      <c r="T16" s="136"/>
      <c r="V16" s="194"/>
    </row>
    <row r="17" spans="2:23" ht="13" customHeight="1">
      <c r="B17" s="539" t="str">
        <f>IF('Summary | Sumário'!D$6=Names!B$3,Names!BR18,Names!BS18)</f>
        <v>Loan Portfolio (R$)</v>
      </c>
      <c r="C17" s="535"/>
      <c r="D17" s="535"/>
      <c r="E17" s="535"/>
      <c r="F17" s="535"/>
      <c r="G17" s="535"/>
      <c r="H17" s="535"/>
      <c r="I17" s="535"/>
      <c r="J17" s="535"/>
      <c r="K17" s="535"/>
      <c r="L17" s="535"/>
      <c r="M17" s="535"/>
      <c r="N17" s="535"/>
      <c r="O17" s="535"/>
      <c r="P17" s="535"/>
      <c r="Q17" s="535"/>
      <c r="S17" s="218"/>
      <c r="T17" s="218"/>
      <c r="V17" s="536"/>
    </row>
    <row r="18" spans="2:23" ht="13" customHeight="1">
      <c r="B18" s="521" t="str">
        <f>IF('Summary | Sumário'!D$6=Names!B$3,Names!BR20,Names!BS20)</f>
        <v>Total Loan Portfolio</v>
      </c>
      <c r="C18" s="547">
        <v>4106449</v>
      </c>
      <c r="D18" s="547">
        <v>4212400</v>
      </c>
      <c r="E18" s="547">
        <v>4439121</v>
      </c>
      <c r="F18" s="547">
        <v>4679575</v>
      </c>
      <c r="G18" s="547">
        <v>4790359</v>
      </c>
      <c r="H18" s="547">
        <v>4961785</v>
      </c>
      <c r="I18" s="547">
        <v>5160236</v>
      </c>
      <c r="J18" s="547">
        <v>5358049</v>
      </c>
      <c r="K18" s="547">
        <v>5420800</v>
      </c>
      <c r="L18" s="547">
        <v>5476367</v>
      </c>
      <c r="M18" s="547">
        <v>5620583</v>
      </c>
      <c r="N18" s="547">
        <v>5794094</v>
      </c>
      <c r="O18" s="547">
        <v>5899861</v>
      </c>
      <c r="P18" s="547">
        <v>6041062</v>
      </c>
      <c r="Q18" s="547">
        <v>6179717</v>
      </c>
      <c r="R18" s="149"/>
      <c r="S18" s="544">
        <f t="shared" ref="S18:S23" si="1">Q18/P18-1</f>
        <v>2.295209021195288E-2</v>
      </c>
      <c r="T18" s="544">
        <f t="shared" ref="T18:T23" si="2">Q18/M18-1</f>
        <v>9.9479715894240872E-2</v>
      </c>
      <c r="U18" s="149"/>
      <c r="V18" s="554" t="s">
        <v>915</v>
      </c>
      <c r="W18" s="549"/>
    </row>
    <row r="19" spans="2:23" ht="13" customHeight="1">
      <c r="B19" s="540" t="str">
        <f>IF('Summary | Sumário'!D$6=Names!B$3,Names!BR22,Names!BS22)</f>
        <v>Credit Cards</v>
      </c>
      <c r="C19" s="533">
        <v>278610</v>
      </c>
      <c r="D19" s="533">
        <v>317579</v>
      </c>
      <c r="E19" s="533">
        <v>351862</v>
      </c>
      <c r="F19" s="533">
        <v>414773</v>
      </c>
      <c r="G19" s="533">
        <v>413819</v>
      </c>
      <c r="H19" s="533">
        <v>469222</v>
      </c>
      <c r="I19" s="533">
        <v>493089</v>
      </c>
      <c r="J19" s="533">
        <v>527816</v>
      </c>
      <c r="K19" s="533">
        <v>535027</v>
      </c>
      <c r="L19" s="533">
        <v>540525</v>
      </c>
      <c r="M19" s="533">
        <v>547583</v>
      </c>
      <c r="N19" s="533">
        <v>580074</v>
      </c>
      <c r="O19" s="533">
        <v>579665</v>
      </c>
      <c r="P19" s="533">
        <f>550273+39251</f>
        <v>589524</v>
      </c>
      <c r="Q19" s="533">
        <f>551103+44289</f>
        <v>595392</v>
      </c>
      <c r="S19" s="545">
        <f t="shared" si="1"/>
        <v>9.9537932297921738E-3</v>
      </c>
      <c r="T19" s="545">
        <f t="shared" si="2"/>
        <v>8.7309138523292251E-2</v>
      </c>
      <c r="V19" s="555" t="str">
        <f>Names!BT22</f>
        <v>Banco Central do Brasil - SGS - Individual and Business / Pessoa Física  e Pessoa Jurídica (20564, 20590)</v>
      </c>
      <c r="W19" s="549"/>
    </row>
    <row r="20" spans="2:23" ht="13" customHeight="1">
      <c r="B20" s="523" t="str">
        <f>IF('Summary | Sumário'!D$6=Names!B$3,Names!BR23,Names!BS23)</f>
        <v>Personal</v>
      </c>
      <c r="C20" s="546">
        <v>612728</v>
      </c>
      <c r="D20" s="546">
        <v>650567</v>
      </c>
      <c r="E20" s="546">
        <v>691718</v>
      </c>
      <c r="F20" s="546">
        <v>724296</v>
      </c>
      <c r="G20" s="546">
        <v>748808</v>
      </c>
      <c r="H20" s="546">
        <v>786241</v>
      </c>
      <c r="I20" s="546">
        <v>80972</v>
      </c>
      <c r="J20" s="546">
        <v>837832</v>
      </c>
      <c r="K20" s="546">
        <v>859173</v>
      </c>
      <c r="L20" s="546">
        <v>866769</v>
      </c>
      <c r="M20" s="546">
        <v>880768</v>
      </c>
      <c r="N20" s="546">
        <v>891312</v>
      </c>
      <c r="O20" s="546">
        <v>932847</v>
      </c>
      <c r="P20" s="546">
        <f>956011</f>
        <v>956011</v>
      </c>
      <c r="Q20" s="546">
        <f>981420</f>
        <v>981420</v>
      </c>
      <c r="S20" s="395">
        <f t="shared" si="1"/>
        <v>2.6578146067356867E-2</v>
      </c>
      <c r="T20" s="395">
        <f t="shared" si="2"/>
        <v>0.11427753960180209</v>
      </c>
      <c r="V20" s="556" t="str">
        <f>Names!BT23</f>
        <v>Banco Central do Brasil - SGS - Total Personal Loans / Crédito pessoal total (20580)</v>
      </c>
      <c r="W20" s="549"/>
    </row>
    <row r="21" spans="2:23" ht="13" customHeight="1">
      <c r="B21" s="541" t="str">
        <f>IF('Summary | Sumário'!D$6=Names!B$3,Names!BR24,Names!BS24)</f>
        <v>Real Estate</v>
      </c>
      <c r="C21" s="533">
        <v>759254</v>
      </c>
      <c r="D21" s="533">
        <v>786037</v>
      </c>
      <c r="E21" s="533">
        <v>791963</v>
      </c>
      <c r="F21" s="533">
        <v>843692</v>
      </c>
      <c r="G21" s="533">
        <v>870530</v>
      </c>
      <c r="H21" s="533">
        <v>901028</v>
      </c>
      <c r="I21" s="533">
        <v>934095</v>
      </c>
      <c r="J21" s="533">
        <v>966479</v>
      </c>
      <c r="K21" s="533">
        <v>994735</v>
      </c>
      <c r="L21" s="533">
        <v>1025134</v>
      </c>
      <c r="M21" s="533">
        <v>1057696</v>
      </c>
      <c r="N21" s="533">
        <v>1090054</v>
      </c>
      <c r="O21" s="533">
        <v>1117064</v>
      </c>
      <c r="P21" s="533">
        <v>1152814</v>
      </c>
      <c r="Q21" s="533">
        <f>1135896+57733</f>
        <v>1193629</v>
      </c>
      <c r="S21" s="545">
        <f t="shared" si="1"/>
        <v>3.5404670658059301E-2</v>
      </c>
      <c r="T21" s="545">
        <f t="shared" si="2"/>
        <v>0.1285180240825341</v>
      </c>
      <c r="V21" s="557" t="str">
        <f>Names!BT24</f>
        <v>Banco Central do Brasil - SGS - Total Real Estate Loans  / Crédito Imobiliário Total (20600 e 20612)</v>
      </c>
      <c r="W21" s="549"/>
    </row>
    <row r="22" spans="2:23" ht="13" customHeight="1">
      <c r="B22" s="523" t="str">
        <f>IF('Summary | Sumário'!D$6=Names!B$3,Names!BR25,Names!BS25)</f>
        <v>Business</v>
      </c>
      <c r="C22" s="546">
        <f>1121737+14120</f>
        <v>1135857</v>
      </c>
      <c r="D22" s="546">
        <f>1145582+15913</f>
        <v>1161495</v>
      </c>
      <c r="E22" s="546">
        <f>1194577+18351</f>
        <v>1212928</v>
      </c>
      <c r="F22" s="546">
        <f>1279423+22036</f>
        <v>1301459</v>
      </c>
      <c r="G22" s="546">
        <f>1304417+24220</f>
        <v>1328637</v>
      </c>
      <c r="H22" s="546">
        <f>1357213+27146</f>
        <v>1384359</v>
      </c>
      <c r="I22" s="546">
        <f>1385811-31023</f>
        <v>1354788</v>
      </c>
      <c r="J22" s="546">
        <f>1431505-32503</f>
        <v>1399002</v>
      </c>
      <c r="K22" s="546">
        <f>1409577-35051</f>
        <v>1374526</v>
      </c>
      <c r="L22" s="546">
        <f>1415159-35297</f>
        <v>1379862</v>
      </c>
      <c r="M22" s="546">
        <f>1423431-38212</f>
        <v>1385219</v>
      </c>
      <c r="N22" s="546">
        <f>1462137-38009</f>
        <v>1424128</v>
      </c>
      <c r="O22" s="546">
        <f>1470713-43415</f>
        <v>1427298</v>
      </c>
      <c r="P22" s="546">
        <f>-39251+1501046</f>
        <v>1461795</v>
      </c>
      <c r="Q22" s="546">
        <f>1526217-44289</f>
        <v>1481928</v>
      </c>
      <c r="S22" s="395">
        <f t="shared" si="1"/>
        <v>1.3772793038695497E-2</v>
      </c>
      <c r="T22" s="395">
        <f t="shared" si="2"/>
        <v>6.9814953447794093E-2</v>
      </c>
      <c r="V22" s="556" t="str">
        <f>Names!BT25</f>
        <v>Banco Central do Brasil - SGS - Total non-financial corporations, excluding cards / Pessoas jurídicas total, excluindo cartões (20543, 20600)</v>
      </c>
      <c r="W22" s="549"/>
    </row>
    <row r="23" spans="2:23" ht="13" customHeight="1">
      <c r="B23" s="541" t="str">
        <f>IF('Summary | Sumário'!D$6=Names!B$3,Names!BR26,Names!BS26)</f>
        <v>Others</v>
      </c>
      <c r="C23" s="533">
        <f t="shared" ref="C23:O23" si="3">C18-SUM(C19:C22)</f>
        <v>1320000</v>
      </c>
      <c r="D23" s="533">
        <f t="shared" si="3"/>
        <v>1296722</v>
      </c>
      <c r="E23" s="533">
        <f t="shared" si="3"/>
        <v>1390650</v>
      </c>
      <c r="F23" s="533">
        <f t="shared" si="3"/>
        <v>1395355</v>
      </c>
      <c r="G23" s="533">
        <f t="shared" si="3"/>
        <v>1428565</v>
      </c>
      <c r="H23" s="533">
        <f t="shared" si="3"/>
        <v>1420935</v>
      </c>
      <c r="I23" s="533">
        <f t="shared" si="3"/>
        <v>2297292</v>
      </c>
      <c r="J23" s="533">
        <f t="shared" si="3"/>
        <v>1626920</v>
      </c>
      <c r="K23" s="533">
        <f t="shared" si="3"/>
        <v>1657339</v>
      </c>
      <c r="L23" s="533">
        <f t="shared" si="3"/>
        <v>1664077</v>
      </c>
      <c r="M23" s="533">
        <f t="shared" si="3"/>
        <v>1749317</v>
      </c>
      <c r="N23" s="533">
        <f t="shared" si="3"/>
        <v>1808526</v>
      </c>
      <c r="O23" s="533">
        <f t="shared" si="3"/>
        <v>1842987</v>
      </c>
      <c r="P23" s="533">
        <f>P18-SUM(P19:P22)</f>
        <v>1880918</v>
      </c>
      <c r="Q23" s="533">
        <f>Q18-SUM(Q19:Q22)</f>
        <v>1927348</v>
      </c>
      <c r="S23" s="545">
        <f t="shared" si="1"/>
        <v>2.4684754997293945E-2</v>
      </c>
      <c r="T23" s="545">
        <f t="shared" si="2"/>
        <v>0.10177172004845314</v>
      </c>
      <c r="V23" s="535"/>
    </row>
    <row r="24" spans="2:23" ht="13" customHeight="1">
      <c r="B24" s="187"/>
    </row>
    <row r="25" spans="2:23" ht="13" customHeight="1">
      <c r="B25" s="187"/>
    </row>
    <row r="26" spans="2:23" ht="13" customHeight="1">
      <c r="B26" s="187" t="str">
        <f>IF('Summary | Sumário'!D$6=Names!B$3,Names!BR29,Names!BS29)</f>
        <v>Note 1: Excluding transactions made outside the SPI</v>
      </c>
      <c r="Q26" s="268"/>
    </row>
    <row r="27" spans="2:23" ht="13" customHeight="1">
      <c r="B27" s="135" t="str">
        <f>IF('Summary | Sumário'!D$6=Names!B$3,Names!BR30,Names!BS30)</f>
        <v>Note 2: Including both debit and prepaid cards</v>
      </c>
    </row>
    <row r="29" spans="2:23" ht="13" customHeight="1">
      <c r="P29" s="683"/>
    </row>
    <row r="33" spans="3:17" ht="13" customHeight="1">
      <c r="C33"/>
      <c r="D33"/>
      <c r="E33"/>
      <c r="F33"/>
      <c r="G33"/>
      <c r="H33"/>
      <c r="I33"/>
      <c r="J33"/>
      <c r="K33"/>
      <c r="L33"/>
      <c r="M33"/>
      <c r="N33"/>
      <c r="O33"/>
      <c r="P33"/>
      <c r="Q33"/>
    </row>
  </sheetData>
  <sheetProtection algorithmName="SHA-512" hashValue="ZUG7i9VXxLmSQEwqoczS9PNv8qqt4xR2tDsgquKskLUut3OotimFcXBhdWkLGe1zZWBryYxa7uUgmj+R8pR9Sw==" saltValue="vMfAacgSPWZwstyRc0PTRw==" spinCount="100000" sheet="1" formatCells="0" formatColumns="0" formatRows="0" insertColumns="0" insertRows="0" insertHyperlinks="0" deleteColumns="0" deleteRows="0" sort="0" autoFilter="0" pivotTables="0"/>
  <hyperlinks>
    <hyperlink ref="V5" r:id="rId1" display="https://www.bcb.gov.br/acessoinformacao/ccsestatisticas" xr:uid="{7F4CBBEA-AFE8-6D45-934C-93BBE883EBAE}"/>
    <hyperlink ref="V6" r:id="rId2" display="https://www.bcb.gov.br/acessoinformacao/ccsestatisticas" xr:uid="{A536EC5D-0833-A747-A798-0DC1FDD495E3}"/>
    <hyperlink ref="V9" r:id="rId3" display="https://www.bcb.gov.br/estabilidadefinanceira/estatisticaspix" xr:uid="{B5CAA6F5-5771-4E46-897A-5F7E3E1DC323}"/>
    <hyperlink ref="V13" r:id="rId4" display="https://www.abecs.org.br/graficos" xr:uid="{93A15D28-D8DB-6A46-9A74-73E1E6281D14}"/>
    <hyperlink ref="V18:V22" r:id="rId5" display="https://www3.bcb.gov.br/sgspub/localizarseries/localizarSeries.do?method=prepararTelaLocalizarSeries" xr:uid="{10EF0A63-3747-0F42-B4EB-B111141E63B0}"/>
  </hyperlinks>
  <pageMargins left="0.511811024" right="0.511811024" top="0.78740157499999996" bottom="0.78740157499999996" header="0.31496062000000002" footer="0.31496062000000002"/>
  <pageSetup paperSize="9" orientation="portrait" horizontalDpi="0" verticalDpi="0"/>
  <drawing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0FBE-BD91-484B-A196-2EBFD96B9D5E}">
  <sheetPr>
    <tabColor theme="0" tint="-0.14999847407452621"/>
  </sheetPr>
  <dimension ref="B1:Y66"/>
  <sheetViews>
    <sheetView showGridLines="0" zoomScaleNormal="100" workbookViewId="0"/>
  </sheetViews>
  <sheetFormatPr baseColWidth="10" defaultColWidth="10.83203125" defaultRowHeight="15" customHeight="1"/>
  <cols>
    <col min="1" max="1" width="3.33203125" style="39" customWidth="1"/>
    <col min="2" max="2" width="2.1640625" style="39" customWidth="1"/>
    <col min="3" max="3" width="43.6640625" style="39" customWidth="1"/>
    <col min="4" max="4" width="16.83203125" style="39" bestFit="1" customWidth="1"/>
    <col min="5" max="5" width="14" style="41" bestFit="1" customWidth="1"/>
    <col min="6" max="6" width="2" style="41" customWidth="1"/>
    <col min="7" max="7" width="8.83203125" style="39" customWidth="1"/>
    <col min="8" max="8" width="2.83203125" style="39" customWidth="1"/>
    <col min="9" max="9" width="59.33203125" style="39" bestFit="1" customWidth="1"/>
    <col min="10" max="16" width="9.83203125" style="39" customWidth="1"/>
    <col min="17" max="17" width="10.33203125" style="39" bestFit="1" customWidth="1"/>
    <col min="18" max="18" width="2.5" style="39" customWidth="1"/>
    <col min="19" max="19" width="8.83203125" style="39" customWidth="1"/>
    <col min="20" max="20" width="10.83203125" style="39" customWidth="1"/>
    <col min="21" max="21" width="8.83203125" style="39" customWidth="1"/>
    <col min="22" max="22" width="10.83203125" style="39" customWidth="1"/>
    <col min="23" max="23" width="2.83203125" style="39" customWidth="1"/>
    <col min="24" max="25" width="10.83203125" style="39"/>
    <col min="26" max="26" width="8.83203125" style="39" customWidth="1"/>
    <col min="27" max="27" width="10.83203125" style="39"/>
    <col min="28" max="28" width="8.83203125" style="39" customWidth="1"/>
    <col min="29" max="29" width="3.5" style="39" customWidth="1"/>
    <col min="30" max="16384" width="10.83203125" style="39"/>
  </cols>
  <sheetData>
    <row r="1" spans="2:25" ht="15" customHeight="1" thickBot="1"/>
    <row r="2" spans="2:25" ht="8" customHeight="1">
      <c r="B2" s="612"/>
      <c r="C2" s="613"/>
      <c r="D2" s="613"/>
      <c r="E2" s="614"/>
      <c r="F2" s="614"/>
      <c r="G2" s="613"/>
      <c r="H2" s="613"/>
      <c r="I2" s="613"/>
      <c r="J2" s="613"/>
      <c r="K2" s="613"/>
      <c r="L2" s="613"/>
      <c r="M2" s="613"/>
      <c r="N2" s="613"/>
      <c r="O2" s="613"/>
      <c r="P2" s="613"/>
      <c r="Q2" s="613"/>
      <c r="R2" s="613"/>
      <c r="S2" s="613"/>
      <c r="T2" s="613"/>
      <c r="U2" s="613"/>
      <c r="V2" s="613"/>
      <c r="W2" s="622"/>
    </row>
    <row r="3" spans="2:25" ht="15" customHeight="1">
      <c r="B3" s="623"/>
      <c r="C3" s="688" t="str">
        <f>IF('Summary | Sumário'!D6=Names!B3,Names!BP1,Names!BQ1)</f>
        <v>Managerial KPIs Effects in 3Q24 Financial Statements</v>
      </c>
      <c r="D3" s="688"/>
      <c r="E3" s="688"/>
      <c r="F3" s="688"/>
      <c r="G3" s="688"/>
      <c r="H3" s="688"/>
      <c r="I3" s="688"/>
      <c r="J3" s="688"/>
      <c r="K3" s="688"/>
      <c r="L3" s="688"/>
      <c r="M3" s="688"/>
      <c r="N3" s="688"/>
      <c r="O3" s="688"/>
      <c r="P3" s="688"/>
      <c r="Q3" s="688"/>
      <c r="R3" s="688"/>
      <c r="S3" s="688"/>
      <c r="T3" s="688"/>
      <c r="U3" s="688"/>
      <c r="V3" s="688"/>
      <c r="W3" s="624"/>
    </row>
    <row r="4" spans="2:25" ht="15" customHeight="1">
      <c r="B4" s="623"/>
      <c r="C4" s="688"/>
      <c r="D4" s="688"/>
      <c r="E4" s="688"/>
      <c r="F4" s="688"/>
      <c r="G4" s="688"/>
      <c r="H4" s="688"/>
      <c r="I4" s="688"/>
      <c r="J4" s="688"/>
      <c r="K4" s="688"/>
      <c r="L4" s="688"/>
      <c r="M4" s="688"/>
      <c r="N4" s="688"/>
      <c r="O4" s="688"/>
      <c r="P4" s="688"/>
      <c r="Q4" s="688"/>
      <c r="R4" s="688"/>
      <c r="S4" s="688"/>
      <c r="T4" s="688"/>
      <c r="U4" s="688"/>
      <c r="V4" s="688"/>
      <c r="W4" s="624"/>
    </row>
    <row r="5" spans="2:25" ht="77" customHeight="1">
      <c r="B5" s="623"/>
      <c r="C5" s="689" t="str">
        <f>IF('Summary | Sumário'!D6=Names!B3,Names!BP2,Names!BQ2)</f>
        <v>Instructions for Use:
1. Read the disclaimer bellow before using this sheet.
2. The simulation is pre-set with Q3'24 Key Performance Indicators (KPIs) in column D. You can modify the simulation by entering your desired KPI values in the green cells in Column D.
3. Once you input the new KPI values, the corresponding results will be updated in column O of the Income Statement, Balance Sheet, or both, depending on the specific KPI. The values that may alter are marked in orange.
4. Additionally, the KPI Output in column D will change dynamically based on your input, allowing you to observe the effects of different KPI values.</v>
      </c>
      <c r="D5" s="689"/>
      <c r="E5" s="689"/>
      <c r="F5" s="689"/>
      <c r="G5" s="689"/>
      <c r="H5" s="689"/>
      <c r="I5" s="689"/>
      <c r="J5" s="689"/>
      <c r="K5" s="689"/>
      <c r="L5" s="689"/>
      <c r="M5" s="689"/>
      <c r="N5" s="689"/>
      <c r="O5" s="689"/>
      <c r="P5" s="689"/>
      <c r="Q5" s="689"/>
      <c r="R5" s="689"/>
      <c r="S5" s="689"/>
      <c r="T5" s="689"/>
      <c r="U5" s="689"/>
      <c r="V5" s="689"/>
      <c r="W5" s="690"/>
    </row>
    <row r="6" spans="2:25" ht="8" customHeight="1" thickBot="1">
      <c r="B6" s="618"/>
      <c r="C6" s="625"/>
      <c r="D6" s="625"/>
      <c r="E6" s="625"/>
      <c r="F6" s="625"/>
      <c r="G6" s="625"/>
      <c r="H6" s="625"/>
      <c r="I6" s="625"/>
      <c r="J6" s="625"/>
      <c r="K6" s="625"/>
      <c r="L6" s="625"/>
      <c r="M6" s="625"/>
      <c r="N6" s="625"/>
      <c r="O6" s="625"/>
      <c r="P6" s="625"/>
      <c r="Q6" s="619"/>
      <c r="R6" s="619"/>
      <c r="S6" s="619"/>
      <c r="T6" s="619"/>
      <c r="U6" s="619"/>
      <c r="V6" s="619"/>
      <c r="W6" s="626"/>
    </row>
    <row r="7" spans="2:25" ht="15" customHeight="1" thickBot="1">
      <c r="C7" s="44"/>
      <c r="D7" s="44"/>
      <c r="E7" s="44"/>
      <c r="F7" s="44"/>
      <c r="G7" s="44"/>
      <c r="H7" s="44"/>
      <c r="I7" s="44"/>
      <c r="J7" s="44"/>
      <c r="K7" s="44"/>
      <c r="L7" s="44"/>
      <c r="M7" s="44"/>
      <c r="N7" s="44"/>
      <c r="O7" s="44"/>
      <c r="P7" s="44"/>
    </row>
    <row r="8" spans="2:25" ht="15" customHeight="1">
      <c r="B8" s="597"/>
      <c r="C8" s="598"/>
      <c r="D8" s="598"/>
      <c r="E8" s="598"/>
      <c r="F8" s="599"/>
      <c r="G8" s="45"/>
      <c r="H8" s="629"/>
      <c r="I8" s="598"/>
      <c r="J8" s="598"/>
      <c r="K8" s="598"/>
      <c r="L8" s="598"/>
      <c r="M8" s="598"/>
      <c r="N8" s="598"/>
      <c r="O8" s="598"/>
      <c r="P8" s="598"/>
      <c r="Q8" s="630"/>
      <c r="R8" s="630"/>
      <c r="S8" s="692" t="str">
        <f>IF('Summary | Sumário'!$D$6=Names!$B$3,Names!BP53,Names!BQ53)</f>
        <v>Variation %</v>
      </c>
      <c r="T8" s="692"/>
      <c r="U8" s="692"/>
      <c r="V8" s="692"/>
      <c r="W8" s="631"/>
    </row>
    <row r="9" spans="2:25" ht="15" customHeight="1">
      <c r="B9" s="600"/>
      <c r="C9" s="319" t="str">
        <f>IF('Summary | Sumário'!$D$6=Names!$B$3,Names!BP3,Names!BQ3)</f>
        <v>KPI Inputs</v>
      </c>
      <c r="D9" s="389" t="str">
        <f>IF('Summary | Sumário'!$D$6=Names!$B$3,Names!BP18,Names!BQ18)</f>
        <v>Input Values:</v>
      </c>
      <c r="E9" s="601" t="str">
        <f>IF('Summary | Sumário'!$D$6=Names!$B$3,Names!BP19,Names!BQ19)</f>
        <v>3Q24 Actual</v>
      </c>
      <c r="F9" s="602"/>
      <c r="H9" s="600"/>
      <c r="I9" s="319" t="str">
        <f>IF('Summary | Sumário'!$D$6=Names!$B$3,Names!BP22,Names!BQ22)</f>
        <v>Managerial Income Statement (R$ Millions)</v>
      </c>
      <c r="J9" s="601" t="str">
        <f>IF('Summary | Sumário'!D6=Names!B3,Names!C14,Names!D14)</f>
        <v>1Q23</v>
      </c>
      <c r="K9" s="601" t="str">
        <f>IF('Summary | Sumário'!D6=Names!B3,Names!C15,Names!D15)</f>
        <v>2Q23</v>
      </c>
      <c r="L9" s="601" t="str">
        <f>IF('Summary | Sumário'!D6=Names!B3,Names!C16,Names!D16)</f>
        <v>3Q23</v>
      </c>
      <c r="M9" s="601" t="str">
        <f>IF('Summary | Sumário'!D6=Names!B3,Names!C17,Names!D17)</f>
        <v>4Q23</v>
      </c>
      <c r="N9" s="601" t="str">
        <f>IF('Summary | Sumário'!D6=Names!B3,Names!C19,Names!D19)</f>
        <v>1Q24</v>
      </c>
      <c r="O9" s="601" t="str">
        <f>IF('Summary | Sumário'!D6=Names!B3,Names!C20,Names!D20)</f>
        <v>2Q24</v>
      </c>
      <c r="P9" s="601" t="str">
        <f>IF('Summary | Sumário'!D6=Names!B3,Names!C21,Names!D21)</f>
        <v>3Q24</v>
      </c>
      <c r="Q9" s="390" t="str">
        <f>_xlfn.CONCAT(IF('Summary | Sumário'!D6=Names!B3,Names!C21,Names!D21),"S")</f>
        <v>3Q24S</v>
      </c>
      <c r="R9" s="632"/>
      <c r="S9" s="98" t="str">
        <f>IF('Summary | Sumário'!$D$6=Names!$B$3,Names!BP55,Names!BQ55)</f>
        <v>Δ QoQS</v>
      </c>
      <c r="T9" s="98" t="str">
        <f>IF('Summary | Sumário'!$D$6=Names!$B$3,Names!BP56,Names!BQ56)</f>
        <v>Δ QoQ Actual</v>
      </c>
      <c r="U9" s="98" t="str">
        <f>IF('Summary | Sumário'!$D$6=Names!$B$3,Names!BP57,Names!BQ57)</f>
        <v>ΔYoYS</v>
      </c>
      <c r="V9" s="98" t="str">
        <f>IF('Summary | Sumário'!$D$6=Names!$B$3,Names!BP58,Names!BQ58)</f>
        <v>ΔYoY Actual</v>
      </c>
      <c r="W9" s="633"/>
    </row>
    <row r="10" spans="2:25" ht="15" customHeight="1">
      <c r="B10" s="600"/>
      <c r="C10" s="603" t="str">
        <f>IF('Summary | Sumário'!$D$6=Names!$B$3,Names!BP4,Names!BQ4)</f>
        <v>Income Statement</v>
      </c>
      <c r="D10" s="99"/>
      <c r="E10" s="99"/>
      <c r="F10" s="604"/>
      <c r="H10" s="600"/>
      <c r="I10" s="634" t="str">
        <f>IF('Summary | Sumário'!$D$6=Names!$B$3,Names!BP23,Names!BQ23)</f>
        <v>Interest income + income from securites and derivatives</v>
      </c>
      <c r="J10" s="635">
        <f>('3. IS | DRE'!P4+'3. IS | DRE'!P6)/1000</f>
        <v>1384.3328220000001</v>
      </c>
      <c r="K10" s="635">
        <f>('3. IS | DRE'!Q4+'3. IS | DRE'!Q6)/1000</f>
        <v>1494.2809999999999</v>
      </c>
      <c r="L10" s="635">
        <f>('3. IS | DRE'!R4+'3. IS | DRE'!R6)/1000</f>
        <v>1588.9550887400001</v>
      </c>
      <c r="M10" s="635">
        <f>('3. IS | DRE'!S4+'3. IS | DRE'!S6)/1000</f>
        <v>1628.0930892599999</v>
      </c>
      <c r="N10" s="635">
        <f>('3. IS | DRE'!T4+'3. IS | DRE'!T6)/1000</f>
        <v>1732.9119999999998</v>
      </c>
      <c r="O10" s="635">
        <f>('3. IS | DRE'!U4+'3. IS | DRE'!U6)/1000</f>
        <v>1802.309338</v>
      </c>
      <c r="P10" s="635">
        <f>('3. IS | DRE'!V4+'3. IS | DRE'!V6)/1000</f>
        <v>1970.3799959999999</v>
      </c>
      <c r="Q10" s="636">
        <f>Q12-Q11</f>
        <v>1970.3799959999997</v>
      </c>
      <c r="R10" s="635"/>
      <c r="S10" s="637">
        <f>Q10/O10-1</f>
        <v>9.3252947458234647E-2</v>
      </c>
      <c r="T10" s="637">
        <f>P10/O10-1</f>
        <v>9.3252947458234647E-2</v>
      </c>
      <c r="U10" s="637">
        <f>Q10/L10-1</f>
        <v>0.24004763253721628</v>
      </c>
      <c r="V10" s="637">
        <f>L10/P10-1</f>
        <v>-0.1935793644039816</v>
      </c>
      <c r="W10" s="633"/>
    </row>
    <row r="11" spans="2:25" ht="15" customHeight="1">
      <c r="B11" s="600"/>
      <c r="C11" s="605" t="str">
        <f>IF('Summary | Sumário'!$D$6=Names!$B$3,Names!BP5,Names!BQ5)</f>
        <v>Cost of funding (%)</v>
      </c>
      <c r="D11" s="100">
        <f t="shared" ref="D11:D16" si="0">E11</f>
        <v>6.8194591723370376E-2</v>
      </c>
      <c r="E11" s="46">
        <f>'5. Funding'!V23</f>
        <v>6.8194591723370376E-2</v>
      </c>
      <c r="F11" s="606"/>
      <c r="H11" s="600"/>
      <c r="I11" s="638" t="str">
        <f>IF('Summary | Sumário'!$D$6=Names!$B$3,Names!BP24,Names!BQ24)</f>
        <v>Interest expenses</v>
      </c>
      <c r="J11" s="639">
        <f>'3. IS | DRE'!P5/1000</f>
        <v>-672.77099999999996</v>
      </c>
      <c r="K11" s="639">
        <f>'3. IS | DRE'!Q5/1000</f>
        <v>-692.20600000000002</v>
      </c>
      <c r="L11" s="639">
        <f>'3. IS | DRE'!R5/1000</f>
        <v>-770.39800000000002</v>
      </c>
      <c r="M11" s="639">
        <f>'3. IS | DRE'!S5/1000</f>
        <v>-752.19800500000008</v>
      </c>
      <c r="N11" s="639">
        <f>'3. IS | DRE'!T5/1000</f>
        <v>-762.24689030000013</v>
      </c>
      <c r="O11" s="639">
        <f>'3. IS | DRE'!U5/1000</f>
        <v>-772.64260900000011</v>
      </c>
      <c r="P11" s="639">
        <f>'3. IS | DRE'!V5/1000</f>
        <v>-835.61771799999997</v>
      </c>
      <c r="Q11" s="636">
        <f>-(D11)*AVERAGE(Q40,O40)/4*1000</f>
        <v>-835.61771799999997</v>
      </c>
      <c r="R11" s="639"/>
      <c r="S11" s="640">
        <f>Q11/O11-1</f>
        <v>8.1506130087112272E-2</v>
      </c>
      <c r="T11" s="640">
        <f>P11/O11-1</f>
        <v>8.1506130087112272E-2</v>
      </c>
      <c r="U11" s="640">
        <f>Q11/L11-1</f>
        <v>8.4657174603256946E-2</v>
      </c>
      <c r="V11" s="640">
        <f>L11/P11-1</f>
        <v>-7.8049706935486407E-2</v>
      </c>
      <c r="W11" s="633"/>
    </row>
    <row r="12" spans="2:25" ht="15" customHeight="1">
      <c r="B12" s="600"/>
      <c r="C12" s="605" t="str">
        <f>IF('Summary | Sumário'!$D$6=Names!$B$3,Names!BP6,Names!BQ6)</f>
        <v>NIM (%) 2.0 - IEP only</v>
      </c>
      <c r="D12" s="100">
        <f t="shared" si="0"/>
        <v>9.5686227541557228E-2</v>
      </c>
      <c r="E12" s="46">
        <f>'7.2. NIMs'!V28</f>
        <v>9.5686227541557228E-2</v>
      </c>
      <c r="F12" s="606"/>
      <c r="H12" s="600"/>
      <c r="I12" s="37" t="str">
        <f>IF('Summary | Sumário'!$D$6=Names!$B$3,Names!BP25,Names!BQ25)</f>
        <v>Net interest income</v>
      </c>
      <c r="J12" s="32">
        <f>SUM(J10:J11)</f>
        <v>711.56182200000012</v>
      </c>
      <c r="K12" s="32">
        <f t="shared" ref="K12:O12" si="1">SUM(K10:K11)</f>
        <v>802.07499999999993</v>
      </c>
      <c r="L12" s="32">
        <f t="shared" si="1"/>
        <v>818.55708874000004</v>
      </c>
      <c r="M12" s="32">
        <f t="shared" si="1"/>
        <v>875.89508425999986</v>
      </c>
      <c r="N12" s="32">
        <f t="shared" si="1"/>
        <v>970.66510969999968</v>
      </c>
      <c r="O12" s="32">
        <f t="shared" si="1"/>
        <v>1029.666729</v>
      </c>
      <c r="P12" s="32">
        <f t="shared" ref="P12" si="2">SUM(P10:P11)</f>
        <v>1134.7622779999999</v>
      </c>
      <c r="Q12" s="35">
        <f>(D12*AVERAGE(Q34,O34)/4)*1000</f>
        <v>1134.7622779999997</v>
      </c>
      <c r="R12" s="32"/>
      <c r="S12" s="101">
        <f>Q12/O12-1</f>
        <v>0.10206753898134324</v>
      </c>
      <c r="T12" s="101">
        <f>P12/O12-1</f>
        <v>0.10206753898134346</v>
      </c>
      <c r="U12" s="101">
        <f>Q12/L12-1</f>
        <v>0.38629582909938809</v>
      </c>
      <c r="V12" s="101">
        <f>P12/L12-1</f>
        <v>0.38629582909938831</v>
      </c>
      <c r="W12" s="633"/>
    </row>
    <row r="13" spans="2:25" ht="15" customHeight="1">
      <c r="B13" s="600"/>
      <c r="C13" s="605" t="str">
        <f>IF('Summary | Sumário'!$D$6=Names!$B$3,Names!BP7,Names!BQ7)</f>
        <v>Net fee income growth (%, QoQ)</v>
      </c>
      <c r="D13" s="100">
        <f t="shared" si="0"/>
        <v>0.20592705152955859</v>
      </c>
      <c r="E13" s="46">
        <f>P14/O14-1</f>
        <v>0.20592705152955859</v>
      </c>
      <c r="F13" s="606"/>
      <c r="H13" s="600"/>
      <c r="I13" s="638"/>
      <c r="J13" s="641"/>
      <c r="K13" s="641"/>
      <c r="L13" s="641"/>
      <c r="M13" s="641"/>
      <c r="N13" s="641"/>
      <c r="O13" s="641"/>
      <c r="P13" s="641"/>
      <c r="Q13" s="642"/>
      <c r="R13" s="641"/>
      <c r="S13" s="643"/>
      <c r="T13" s="643"/>
      <c r="U13" s="643"/>
      <c r="V13" s="643"/>
      <c r="W13" s="633"/>
    </row>
    <row r="14" spans="2:25" ht="15" customHeight="1">
      <c r="B14" s="600"/>
      <c r="C14" s="605" t="str">
        <f>IF('Summary | Sumário'!$D$6=Names!$B$3,Names!BP8,Names!BQ8)</f>
        <v>Cost of risk (%)</v>
      </c>
      <c r="D14" s="100">
        <f t="shared" si="0"/>
        <v>5.1148832185524698E-2</v>
      </c>
      <c r="E14" s="46">
        <f>'7.6. Cost of Risk'!V10</f>
        <v>5.1148832185524698E-2</v>
      </c>
      <c r="F14" s="606"/>
      <c r="H14" s="600"/>
      <c r="I14" s="634" t="str">
        <f>IF('Summary | Sumário'!$D$6=Names!$B$3,Names!BP27,Names!BQ27)</f>
        <v>Net fee revenue + other revenues</v>
      </c>
      <c r="J14" s="644">
        <f>('3. IS | DRE'!P9+'3. IS | DRE'!P10+'3. IS | DRE'!P11)/1000</f>
        <v>312.55200000000002</v>
      </c>
      <c r="K14" s="644">
        <f>('3. IS | DRE'!Q9+'3. IS | DRE'!Q10+'3. IS | DRE'!Q11)/1000</f>
        <v>347.959</v>
      </c>
      <c r="L14" s="644">
        <f>('3. IS | DRE'!R9+'3. IS | DRE'!R10+'3. IS | DRE'!R11)/1000</f>
        <v>446.93850028000003</v>
      </c>
      <c r="M14" s="644">
        <f>('3. IS | DRE'!S9+'3. IS | DRE'!S10+'3. IS | DRE'!S11)/1000</f>
        <v>437.03809971999993</v>
      </c>
      <c r="N14" s="644">
        <f>('3. IS | DRE'!T9+'3. IS | DRE'!T10+'3. IS | DRE'!T11)/1000</f>
        <v>430.27439485153224</v>
      </c>
      <c r="O14" s="644">
        <f>('3. IS | DRE'!U9+'3. IS | DRE'!U10+'3. IS | DRE'!U11)/1000</f>
        <v>448.92954992761997</v>
      </c>
      <c r="P14" s="644">
        <f>('3. IS | DRE'!V9+'3. IS | DRE'!V10+'3. IS | DRE'!V11)/1000</f>
        <v>541.37628848870656</v>
      </c>
      <c r="Q14" s="642">
        <f>O14*(1+D13)</f>
        <v>541.37628848870656</v>
      </c>
      <c r="R14" s="644"/>
      <c r="S14" s="645">
        <f>Q14/O14-1</f>
        <v>0.20592705152955859</v>
      </c>
      <c r="T14" s="645">
        <f>P14/O14-1</f>
        <v>0.20592705152955859</v>
      </c>
      <c r="U14" s="645">
        <f>Q14/L14-1</f>
        <v>0.21129929095287769</v>
      </c>
      <c r="V14" s="645">
        <f>P14/L14-1</f>
        <v>0.21129929095287769</v>
      </c>
      <c r="W14" s="633"/>
    </row>
    <row r="15" spans="2:25" ht="15" customHeight="1">
      <c r="B15" s="600"/>
      <c r="C15" s="605" t="str">
        <f>IF('Summary | Sumário'!$D$6=Names!$B$3,Names!BP9,Names!BQ9)</f>
        <v>Efficiency ratio (%)</v>
      </c>
      <c r="D15" s="100">
        <f t="shared" si="0"/>
        <v>0.50700722132018838</v>
      </c>
      <c r="E15" s="46">
        <f>'7.3. Efficiency | Eficiência'!V14</f>
        <v>0.50700722132018838</v>
      </c>
      <c r="F15" s="606"/>
      <c r="H15" s="600"/>
      <c r="I15" s="38" t="str">
        <f>IF('Summary | Sumário'!$D$6=Names!$B$3,Names!BP28,Names!BQ28)</f>
        <v>Revenues</v>
      </c>
      <c r="J15" s="34">
        <f>J12+SUM(J14:J14)</f>
        <v>1024.1138220000003</v>
      </c>
      <c r="K15" s="34">
        <f t="shared" ref="K15:N15" si="3">K12+SUM(K14:K14)</f>
        <v>1150.0339999999999</v>
      </c>
      <c r="L15" s="34">
        <f t="shared" si="3"/>
        <v>1265.4955890200001</v>
      </c>
      <c r="M15" s="34">
        <f t="shared" si="3"/>
        <v>1312.9331839799997</v>
      </c>
      <c r="N15" s="34">
        <f t="shared" si="3"/>
        <v>1400.9395045515319</v>
      </c>
      <c r="O15" s="34">
        <f>P12+SUM(P14:P14)</f>
        <v>1676.1385664887066</v>
      </c>
      <c r="P15" s="34">
        <f t="shared" ref="P15" si="4">P12+SUM(P14:P14)</f>
        <v>1676.1385664887066</v>
      </c>
      <c r="Q15" s="35">
        <f>SUM(Q12,Q14)</f>
        <v>1676.1385664887061</v>
      </c>
      <c r="R15" s="34"/>
      <c r="S15" s="102">
        <f>Q15/O15-1</f>
        <v>0</v>
      </c>
      <c r="T15" s="102">
        <f>P15/O15-1</f>
        <v>0</v>
      </c>
      <c r="U15" s="102">
        <f>Q15/L15-1</f>
        <v>0.32449182836481327</v>
      </c>
      <c r="V15" s="102">
        <f>P15/L15-1</f>
        <v>0.32449182836481349</v>
      </c>
      <c r="W15" s="633"/>
      <c r="Y15" s="90"/>
    </row>
    <row r="16" spans="2:25" ht="15" customHeight="1">
      <c r="B16" s="600"/>
      <c r="C16" s="605" t="str">
        <f>IF('Summary | Sumário'!$D$6=Names!$B$3,Names!BP10,Names!BQ10)</f>
        <v>Tax expenses as % of total revenues</v>
      </c>
      <c r="D16" s="100">
        <f t="shared" si="0"/>
        <v>7.3761150463232311E-2</v>
      </c>
      <c r="E16" s="46">
        <f>-'3. IS | DRE'!V20/'3. IS | DRE'!V12</f>
        <v>7.3761150463232311E-2</v>
      </c>
      <c r="F16" s="606"/>
      <c r="H16" s="600"/>
      <c r="I16" s="634"/>
      <c r="J16" s="644"/>
      <c r="K16" s="644"/>
      <c r="L16" s="644"/>
      <c r="M16" s="644"/>
      <c r="N16" s="644"/>
      <c r="O16" s="644"/>
      <c r="P16" s="644"/>
      <c r="Q16" s="642"/>
      <c r="R16" s="644"/>
      <c r="S16" s="645"/>
      <c r="T16" s="645"/>
      <c r="U16" s="645"/>
      <c r="V16" s="645"/>
      <c r="W16" s="633"/>
    </row>
    <row r="17" spans="2:23" ht="15" customHeight="1">
      <c r="B17" s="600"/>
      <c r="C17" s="603" t="str">
        <f>IF('Summary | Sumário'!$D$6=Names!$B$3,Names!BP11,Names!BQ11)</f>
        <v>Balance Sheet</v>
      </c>
      <c r="D17" s="99"/>
      <c r="E17" s="103"/>
      <c r="F17" s="604"/>
      <c r="H17" s="600"/>
      <c r="I17" s="638" t="str">
        <f>IF('Summary | Sumário'!$D$6=Names!$B$3,Names!BP30,Names!BQ30)</f>
        <v>Impairment losses on financial assets</v>
      </c>
      <c r="J17" s="641">
        <f>'3. IS | DRE'!P14/1000</f>
        <v>-350.68099999999998</v>
      </c>
      <c r="K17" s="641">
        <f>'3. IS | DRE'!Q14/1000</f>
        <v>-398.56</v>
      </c>
      <c r="L17" s="641">
        <f>'3. IS | DRE'!R14/1000</f>
        <v>-407.899</v>
      </c>
      <c r="M17" s="641">
        <f>'3. IS | DRE'!S14/1000</f>
        <v>-384.44400000000002</v>
      </c>
      <c r="N17" s="641">
        <f>'3. IS | DRE'!T14/1000</f>
        <v>-411.048</v>
      </c>
      <c r="O17" s="641">
        <f>'3. IS | DRE'!U14/1000</f>
        <v>-421.24766099999999</v>
      </c>
      <c r="P17" s="641">
        <f>'3. IS | DRE'!V14/1000</f>
        <v>-471.42765000000003</v>
      </c>
      <c r="Q17" s="642">
        <f>-(D14*AVERAGE(Q35,O35)/4)*1000</f>
        <v>-471.42764999999997</v>
      </c>
      <c r="R17" s="641"/>
      <c r="S17" s="643">
        <f>Q17/O17-1</f>
        <v>0.11912229703751387</v>
      </c>
      <c r="T17" s="643">
        <f>P17/O17-1</f>
        <v>0.11912229703751409</v>
      </c>
      <c r="U17" s="643">
        <f>Q17/L17-1</f>
        <v>0.15574603026729639</v>
      </c>
      <c r="V17" s="643">
        <f>P17/L17-1</f>
        <v>0.15574603026729661</v>
      </c>
      <c r="W17" s="633"/>
    </row>
    <row r="18" spans="2:23" ht="15" customHeight="1">
      <c r="B18" s="600"/>
      <c r="C18" s="605" t="str">
        <f>IF('Summary | Sumário'!$D$6=Names!$B$3,Names!BP12,Names!BQ12)</f>
        <v>IEP growth (%, QoQ)</v>
      </c>
      <c r="D18" s="607">
        <f>E18</f>
        <v>5.6809339127635639E-2</v>
      </c>
      <c r="E18" s="46">
        <f>P34/O34-1</f>
        <v>5.6809339127635639E-2</v>
      </c>
      <c r="F18" s="606"/>
      <c r="H18" s="600"/>
      <c r="I18" s="37" t="str">
        <f>IF('Summary | Sumário'!$D$6=Names!$B$3,Names!BP31,Names!BQ31)</f>
        <v>Net result of losses</v>
      </c>
      <c r="J18" s="32">
        <f t="shared" ref="J18" si="5">J15+J17</f>
        <v>673.43282200000021</v>
      </c>
      <c r="K18" s="32">
        <f t="shared" ref="K18:O18" si="6">K15+K17</f>
        <v>751.47399999999993</v>
      </c>
      <c r="L18" s="32">
        <f t="shared" si="6"/>
        <v>857.59658902000012</v>
      </c>
      <c r="M18" s="32">
        <f t="shared" si="6"/>
        <v>928.48918397999978</v>
      </c>
      <c r="N18" s="32">
        <f t="shared" si="6"/>
        <v>989.89150455153185</v>
      </c>
      <c r="O18" s="32">
        <f t="shared" si="6"/>
        <v>1254.8909054887067</v>
      </c>
      <c r="P18" s="32">
        <f t="shared" ref="P18" si="7">P15+P17</f>
        <v>1204.7109164887065</v>
      </c>
      <c r="Q18" s="35">
        <f>Q15+Q17</f>
        <v>1204.7109164887061</v>
      </c>
      <c r="R18" s="32"/>
      <c r="S18" s="101">
        <f>Q18/O18-1</f>
        <v>-3.9987531012075084E-2</v>
      </c>
      <c r="T18" s="101">
        <f>P18/O18-1</f>
        <v>-3.9987531012074751E-2</v>
      </c>
      <c r="U18" s="101">
        <f>Q18/L18-1</f>
        <v>0.40475245810546334</v>
      </c>
      <c r="V18" s="101">
        <f>P18/L18-1</f>
        <v>0.40475245810546401</v>
      </c>
      <c r="W18" s="633"/>
    </row>
    <row r="19" spans="2:23" ht="15" customHeight="1">
      <c r="B19" s="600"/>
      <c r="C19" s="605" t="str">
        <f>IF('Summary | Sumário'!$D$6=Names!$B$3,Names!BP13,Names!BQ13)</f>
        <v>Funding growth (%, QoQ)</v>
      </c>
      <c r="D19" s="607">
        <f t="shared" ref="D19" si="8">E19</f>
        <v>5.2518133085604157E-2</v>
      </c>
      <c r="E19" s="46">
        <f>P40/O40-1</f>
        <v>5.2518133085604157E-2</v>
      </c>
      <c r="F19" s="606"/>
      <c r="H19" s="600"/>
      <c r="I19" s="638"/>
      <c r="J19" s="641"/>
      <c r="K19" s="641"/>
      <c r="L19" s="641"/>
      <c r="M19" s="641"/>
      <c r="N19" s="641"/>
      <c r="O19" s="641"/>
      <c r="P19" s="641"/>
      <c r="Q19" s="642"/>
      <c r="R19" s="641"/>
      <c r="S19" s="643"/>
      <c r="T19" s="643"/>
      <c r="U19" s="643"/>
      <c r="V19" s="643"/>
      <c r="W19" s="633"/>
    </row>
    <row r="20" spans="2:23" ht="15" customHeight="1" thickBot="1">
      <c r="B20" s="608"/>
      <c r="C20" s="609"/>
      <c r="D20" s="609"/>
      <c r="E20" s="610"/>
      <c r="F20" s="611"/>
      <c r="H20" s="600"/>
      <c r="I20" s="634" t="str">
        <f>IF('Summary | Sumário'!$D$6=Names!$B$3,Names!BP33,Names!BQ33)</f>
        <v>Operational expenses</v>
      </c>
      <c r="J20" s="644">
        <f>('3. IS | DRE'!P18+'3. IS | DRE'!P19+'3. IS | DRE'!P21)/1000</f>
        <v>-595.60400000000004</v>
      </c>
      <c r="K20" s="644">
        <f>('3. IS | DRE'!Q18+'3. IS | DRE'!Q19+'3. IS | DRE'!Q21)/1000</f>
        <v>-575.24699999999996</v>
      </c>
      <c r="L20" s="644">
        <f>('3. IS | DRE'!R18+'3. IS | DRE'!R19+'3. IS | DRE'!R21)/1000</f>
        <v>-614.12900000000002</v>
      </c>
      <c r="M20" s="644">
        <f>('3. IS | DRE'!S18+'3. IS | DRE'!S19+'3. IS | DRE'!S21)/1000</f>
        <v>-627.54700000000003</v>
      </c>
      <c r="N20" s="644">
        <f>('3. IS | DRE'!T18+'3. IS | DRE'!T19+'3. IS | DRE'!T21)/1000</f>
        <v>-627.60699999999997</v>
      </c>
      <c r="O20" s="644">
        <f>('3. IS | DRE'!U18+'3. IS | DRE'!U19+'3. IS | DRE'!U21)/1000</f>
        <v>-660.06869852</v>
      </c>
      <c r="P20" s="644">
        <f>('3. IS | DRE'!V18+'3. IS | DRE'!V19+'3. IS | DRE'!V21)/1000</f>
        <v>-787.13107247999994</v>
      </c>
      <c r="Q20" s="642">
        <f>-D15*SUM(Q12,Q14,Q21)</f>
        <v>-787.13107247999972</v>
      </c>
      <c r="R20" s="644"/>
      <c r="S20" s="645">
        <f>Q20/O20-1</f>
        <v>0.19249871149002784</v>
      </c>
      <c r="T20" s="645">
        <f>P20/O20-1</f>
        <v>0.19249871149002828</v>
      </c>
      <c r="U20" s="645">
        <f>Q20/L20-1</f>
        <v>0.28170314784027406</v>
      </c>
      <c r="V20" s="645">
        <f>P20/L20-1</f>
        <v>0.2817031478402745</v>
      </c>
      <c r="W20" s="633"/>
    </row>
    <row r="21" spans="2:23" ht="15" customHeight="1">
      <c r="H21" s="600"/>
      <c r="I21" s="638" t="str">
        <f>IF('Summary | Sumário'!$D$6=Names!$B$3,Names!BP34,Names!BQ34)</f>
        <v>Tax expenses</v>
      </c>
      <c r="J21" s="641">
        <f>('3. IS | DRE'!P20)/1000</f>
        <v>-68.870999999999995</v>
      </c>
      <c r="K21" s="641">
        <f>('3. IS | DRE'!Q20)/1000</f>
        <v>-72.462999999999994</v>
      </c>
      <c r="L21" s="641">
        <f>('3. IS | DRE'!R20)/1000</f>
        <v>-94.072000000000003</v>
      </c>
      <c r="M21" s="641">
        <f>('3. IS | DRE'!S20)/1000</f>
        <v>-91.177999999999997</v>
      </c>
      <c r="N21" s="641">
        <f>('3. IS | DRE'!T20)/1000</f>
        <v>-86.331000000000003</v>
      </c>
      <c r="O21" s="641">
        <f>('3. IS | DRE'!U20)/1000</f>
        <v>-99.417271</v>
      </c>
      <c r="P21" s="641">
        <f>('3. IS | DRE'!V20)/1000</f>
        <v>-123.633909</v>
      </c>
      <c r="Q21" s="642">
        <f>-D16*Q15</f>
        <v>-123.63390899999997</v>
      </c>
      <c r="R21" s="641"/>
      <c r="S21" s="643">
        <f>Q21/O21-1</f>
        <v>0.24358582524358341</v>
      </c>
      <c r="T21" s="643">
        <f>P21/O21-1</f>
        <v>0.24358582524358363</v>
      </c>
      <c r="U21" s="643">
        <f>Q21/L21-1</f>
        <v>0.31424769325622903</v>
      </c>
      <c r="V21" s="643">
        <f>P21/L21-1</f>
        <v>0.31424769325622925</v>
      </c>
      <c r="W21" s="633"/>
    </row>
    <row r="22" spans="2:23" ht="15" customHeight="1" thickBot="1">
      <c r="H22" s="600"/>
      <c r="I22" s="634" t="str">
        <f>IF('Summary | Sumário'!$D$6=Names!$B$3,Names!BP35,Names!BQ35)</f>
        <v>Other expenses</v>
      </c>
      <c r="J22" s="644">
        <f>'3. IS | DRE'!P22/1000</f>
        <v>-3.0609999999999999</v>
      </c>
      <c r="K22" s="644">
        <f>'3. IS | DRE'!Q22/1000</f>
        <v>-23.465</v>
      </c>
      <c r="L22" s="644">
        <f>'3. IS | DRE'!R22/1000</f>
        <v>-4.0708986899999982</v>
      </c>
      <c r="M22" s="644">
        <f>'3. IS | DRE'!S22/1000</f>
        <v>-1.4431013100000019</v>
      </c>
      <c r="N22" s="644">
        <f>'3. IS | DRE'!T22/1000</f>
        <v>-2.2229999999999999</v>
      </c>
      <c r="O22" s="644">
        <f>'3. IS | DRE'!U22/1000</f>
        <v>-0.25702199999999997</v>
      </c>
      <c r="P22" s="644">
        <f>'3. IS | DRE'!V22/1000</f>
        <v>0</v>
      </c>
      <c r="Q22" s="642">
        <f>IF(D12=0,0,P22)</f>
        <v>0</v>
      </c>
      <c r="R22" s="644"/>
      <c r="S22" s="645">
        <f>Q22/O22-1</f>
        <v>-1</v>
      </c>
      <c r="T22" s="645">
        <f>P22/O22-1</f>
        <v>-1</v>
      </c>
      <c r="U22" s="645">
        <f>Q22/L22-1</f>
        <v>-1</v>
      </c>
      <c r="V22" s="645">
        <f>P22/L22-1</f>
        <v>-1</v>
      </c>
      <c r="W22" s="633"/>
    </row>
    <row r="23" spans="2:23" ht="15" customHeight="1">
      <c r="B23" s="612"/>
      <c r="C23" s="613"/>
      <c r="D23" s="613"/>
      <c r="E23" s="614"/>
      <c r="F23" s="615"/>
      <c r="H23" s="600"/>
      <c r="I23" s="38" t="str">
        <f>IF('Summary | Sumário'!$D$6=Names!$B$3,Names!BP36,Names!BQ36)</f>
        <v>Profit / (loss) before income tax</v>
      </c>
      <c r="J23" s="34">
        <f t="shared" ref="J23:Q23" si="9">J18+SUM(J20:J22)</f>
        <v>5.8968220000001565</v>
      </c>
      <c r="K23" s="34">
        <f t="shared" si="9"/>
        <v>80.298999999999978</v>
      </c>
      <c r="L23" s="34">
        <f t="shared" si="9"/>
        <v>145.32469033000007</v>
      </c>
      <c r="M23" s="34">
        <f t="shared" si="9"/>
        <v>208.32108266999978</v>
      </c>
      <c r="N23" s="34">
        <f t="shared" si="9"/>
        <v>273.73050455153191</v>
      </c>
      <c r="O23" s="34">
        <f t="shared" si="9"/>
        <v>495.14791396870669</v>
      </c>
      <c r="P23" s="34">
        <f t="shared" ref="P23" si="10">P18+SUM(P20:P22)</f>
        <v>293.94593500870656</v>
      </c>
      <c r="Q23" s="35">
        <f t="shared" si="9"/>
        <v>293.94593500870633</v>
      </c>
      <c r="R23" s="34"/>
      <c r="S23" s="102">
        <f>Q23/O23-1</f>
        <v>-0.40634722127238188</v>
      </c>
      <c r="T23" s="102">
        <f>P23/O23-1</f>
        <v>-0.40634722127238143</v>
      </c>
      <c r="U23" s="102">
        <f>Q23/L23-1</f>
        <v>1.0226840624344042</v>
      </c>
      <c r="V23" s="102">
        <f>P23/L23-1</f>
        <v>1.022684062434406</v>
      </c>
      <c r="W23" s="633"/>
    </row>
    <row r="24" spans="2:23" ht="15" customHeight="1">
      <c r="B24" s="600"/>
      <c r="C24" s="319" t="str">
        <f>IF('Summary | Sumário'!$D$6=Names!$B$3,Names!BP14,Names!BQ14)</f>
        <v>KPI Outputs</v>
      </c>
      <c r="D24" s="627" t="str">
        <f>IF('Summary | Sumário'!$D$6=Names!$B$3,Names!BP20,Names!BQ20)</f>
        <v>Output</v>
      </c>
      <c r="E24" s="601" t="str">
        <f>IF('Summary | Sumário'!$D$6=Names!$B$3,Names!BP21,Names!BQ21)</f>
        <v>3Q24 Actual</v>
      </c>
      <c r="F24" s="616"/>
      <c r="H24" s="600"/>
      <c r="I24" s="646"/>
      <c r="J24" s="28"/>
      <c r="K24" s="28"/>
      <c r="L24" s="28"/>
      <c r="M24" s="28"/>
      <c r="N24" s="28"/>
      <c r="O24" s="28"/>
      <c r="P24" s="28"/>
      <c r="Q24" s="36"/>
      <c r="R24" s="28"/>
      <c r="S24" s="104"/>
      <c r="T24" s="104"/>
      <c r="U24" s="104"/>
      <c r="V24" s="104"/>
      <c r="W24" s="633"/>
    </row>
    <row r="25" spans="2:23" ht="15" customHeight="1">
      <c r="B25" s="600"/>
      <c r="C25" s="628" t="str">
        <f>IF('Summary | Sumário'!$D$6=Names!$B$3,Names!BP15,Names!BQ15)</f>
        <v>ROEA (%)</v>
      </c>
      <c r="D25" s="47">
        <f>Q26*4/(AVERAGE(Q42,N42)*1000)</f>
        <v>0.11949448166936724</v>
      </c>
      <c r="E25" s="30">
        <f>P26*4/(AVERAGE(P42,O42)*1000)</f>
        <v>0.11902212094810072</v>
      </c>
      <c r="F25" s="617"/>
      <c r="H25" s="600"/>
      <c r="I25" s="638" t="str">
        <f>IF('Summary | Sumário'!$D$6=Names!$B$3,Names!BP38,Names!BQ38)</f>
        <v>Income tax and social contribution</v>
      </c>
      <c r="J25" s="641">
        <f>'3. IS | DRE'!P25/1000</f>
        <v>18.318999999999999</v>
      </c>
      <c r="K25" s="641">
        <f>'3. IS | DRE'!Q25/1000</f>
        <v>-16.126999999999999</v>
      </c>
      <c r="L25" s="641">
        <f>'3. IS | DRE'!R25/1000</f>
        <v>-41.194000000000003</v>
      </c>
      <c r="M25" s="641">
        <f>'3. IS | DRE'!S25/1000</f>
        <v>-48.579000000000001</v>
      </c>
      <c r="N25" s="641">
        <f>'3. IS | DRE'!T25/1000</f>
        <v>-78.512</v>
      </c>
      <c r="O25" s="641">
        <f>'3. IS | DRE'!U25/1000</f>
        <v>-74.943733999999992</v>
      </c>
      <c r="P25" s="641">
        <f>'3. IS | DRE'!V25/1000</f>
        <v>-33.941832565540402</v>
      </c>
      <c r="Q25" s="642">
        <f>IF(Q23&lt;=P23,P25,P25+((P23-Q23)*0.38))</f>
        <v>-33.941832565540402</v>
      </c>
      <c r="R25" s="641"/>
      <c r="S25" s="643">
        <f>Q25/O25-1</f>
        <v>-0.54710246268833629</v>
      </c>
      <c r="T25" s="643">
        <f>P25/O25-1</f>
        <v>-0.54710246268833629</v>
      </c>
      <c r="U25" s="643">
        <f>Q25/L25-1</f>
        <v>-0.17604911964022918</v>
      </c>
      <c r="V25" s="643">
        <f>P25/L25-1</f>
        <v>-0.17604911964022918</v>
      </c>
      <c r="W25" s="633"/>
    </row>
    <row r="26" spans="2:23" ht="15" customHeight="1">
      <c r="B26" s="600"/>
      <c r="C26" s="628" t="str">
        <f>IF('Summary | Sumário'!$D$6=Names!$B$3,Names!BP16,Names!BQ16)</f>
        <v>ROAA (%)</v>
      </c>
      <c r="D26" s="47">
        <f>(Q26*4)/(AVERAGE(N37,Q37)*1000)</f>
        <v>1.5724659895350317E-2</v>
      </c>
      <c r="E26" s="30">
        <f>(P26*4)/(AVERAGE(P37,O37)*1000)</f>
        <v>1.5238036540363114E-2</v>
      </c>
      <c r="F26" s="617"/>
      <c r="H26" s="600"/>
      <c r="I26" s="37" t="str">
        <f>IF('Summary | Sumário'!$D$6=Names!$B$3,Names!BP39,Names!BQ39)</f>
        <v>Profit / (loss) for the period</v>
      </c>
      <c r="J26" s="32">
        <f>J23+J25</f>
        <v>24.215822000000156</v>
      </c>
      <c r="K26" s="32">
        <f t="shared" ref="K26:M26" si="11">K23+K25</f>
        <v>64.171999999999983</v>
      </c>
      <c r="L26" s="32">
        <f t="shared" si="11"/>
        <v>104.13069033000006</v>
      </c>
      <c r="M26" s="32">
        <f t="shared" si="11"/>
        <v>159.74208266999977</v>
      </c>
      <c r="N26" s="32">
        <f>N23+N25</f>
        <v>195.21850455153191</v>
      </c>
      <c r="O26" s="32">
        <f>O23+O25</f>
        <v>420.20417996870668</v>
      </c>
      <c r="P26" s="32">
        <f>P23+P25</f>
        <v>260.00410244316618</v>
      </c>
      <c r="Q26" s="35">
        <f>Q23+Q25</f>
        <v>260.00410244316595</v>
      </c>
      <c r="R26" s="32"/>
      <c r="S26" s="101">
        <f>Q26/O26-1</f>
        <v>-0.3812434172774557</v>
      </c>
      <c r="T26" s="101">
        <f>P26/O26-1</f>
        <v>-0.38124341727745514</v>
      </c>
      <c r="U26" s="101">
        <f>Q26/L26-1</f>
        <v>1.4969017454814542</v>
      </c>
      <c r="V26" s="101">
        <f>P26/L26-1</f>
        <v>1.4969017454814564</v>
      </c>
      <c r="W26" s="633"/>
    </row>
    <row r="27" spans="2:23" ht="15" customHeight="1" thickBot="1">
      <c r="B27" s="600"/>
      <c r="C27" s="628" t="str">
        <f>IF('Summary | Sumário'!$D$6=Names!$B$3,Names!BP17,Names!BQ17)</f>
        <v>Fee income ratio (%)</v>
      </c>
      <c r="D27" s="47">
        <f>Q14/Q15</f>
        <v>0.32299017474600561</v>
      </c>
      <c r="E27" s="30">
        <f>P14/P15</f>
        <v>0.32299017474600555</v>
      </c>
      <c r="F27" s="617"/>
      <c r="H27" s="608"/>
      <c r="I27" s="647"/>
      <c r="J27" s="647"/>
      <c r="K27" s="647"/>
      <c r="L27" s="647"/>
      <c r="M27" s="647"/>
      <c r="N27" s="647"/>
      <c r="O27" s="647"/>
      <c r="P27" s="647"/>
      <c r="Q27" s="648"/>
      <c r="R27" s="619"/>
      <c r="S27" s="619"/>
      <c r="T27" s="619"/>
      <c r="U27" s="647"/>
      <c r="V27" s="647"/>
      <c r="W27" s="649"/>
    </row>
    <row r="28" spans="2:23" ht="15" customHeight="1" thickBot="1">
      <c r="B28" s="618"/>
      <c r="C28" s="619"/>
      <c r="D28" s="619"/>
      <c r="E28" s="620"/>
      <c r="F28" s="621"/>
      <c r="I28" s="33"/>
      <c r="J28" s="33"/>
      <c r="K28" s="33"/>
      <c r="L28" s="33"/>
      <c r="M28" s="33"/>
      <c r="N28" s="33"/>
      <c r="O28" s="33"/>
      <c r="P28" s="33"/>
      <c r="Q28" s="40"/>
      <c r="U28" s="33"/>
      <c r="V28" s="33"/>
    </row>
    <row r="29" spans="2:23" ht="15" customHeight="1">
      <c r="I29" s="33"/>
      <c r="J29" s="33"/>
      <c r="K29" s="33"/>
      <c r="L29" s="33"/>
      <c r="M29" s="33"/>
      <c r="N29" s="33"/>
      <c r="O29" s="33"/>
      <c r="P29" s="33"/>
      <c r="Q29" s="40"/>
      <c r="U29" s="33"/>
      <c r="V29" s="33"/>
    </row>
    <row r="30" spans="2:23" ht="15" customHeight="1" thickBot="1">
      <c r="I30" s="33"/>
      <c r="J30" s="33"/>
      <c r="K30" s="33"/>
      <c r="L30" s="33"/>
      <c r="M30" s="33"/>
      <c r="N30" s="33"/>
      <c r="O30" s="33"/>
      <c r="P30" s="33"/>
      <c r="Q30" s="40"/>
      <c r="U30" s="33"/>
      <c r="V30" s="33"/>
    </row>
    <row r="31" spans="2:23" ht="15" customHeight="1">
      <c r="H31" s="597"/>
      <c r="I31" s="650"/>
      <c r="J31" s="598"/>
      <c r="K31" s="598"/>
      <c r="L31" s="598"/>
      <c r="M31" s="598"/>
      <c r="N31" s="598"/>
      <c r="O31" s="598"/>
      <c r="P31" s="598"/>
      <c r="Q31" s="651"/>
      <c r="R31" s="630"/>
      <c r="S31" s="692" t="str">
        <f>S8</f>
        <v>Variation %</v>
      </c>
      <c r="T31" s="692"/>
      <c r="U31" s="692"/>
      <c r="V31" s="692"/>
      <c r="W31" s="631"/>
    </row>
    <row r="32" spans="2:23" ht="15" customHeight="1">
      <c r="H32" s="600"/>
      <c r="I32" s="319" t="str">
        <f>IF('Summary | Sumário'!$D$6=Names!$B$3,Names!BP41,Names!BQ41)</f>
        <v>Managerial Balance Sheet (R$ Billions)</v>
      </c>
      <c r="J32" s="601" t="str">
        <f t="shared" ref="J32:Q32" si="12">J9</f>
        <v>1Q23</v>
      </c>
      <c r="K32" s="601" t="str">
        <f t="shared" si="12"/>
        <v>2Q23</v>
      </c>
      <c r="L32" s="601" t="str">
        <f t="shared" si="12"/>
        <v>3Q23</v>
      </c>
      <c r="M32" s="601" t="str">
        <f t="shared" si="12"/>
        <v>4Q23</v>
      </c>
      <c r="N32" s="601" t="str">
        <f t="shared" si="12"/>
        <v>1Q24</v>
      </c>
      <c r="O32" s="601" t="str">
        <f t="shared" si="12"/>
        <v>2Q24</v>
      </c>
      <c r="P32" s="601" t="str">
        <f>P9</f>
        <v>3Q24</v>
      </c>
      <c r="Q32" s="390" t="str">
        <f t="shared" si="12"/>
        <v>3Q24S</v>
      </c>
      <c r="R32" s="632"/>
      <c r="S32" s="98" t="str">
        <f>S9</f>
        <v>Δ QoQS</v>
      </c>
      <c r="T32" s="98" t="str">
        <f>T9</f>
        <v>Δ QoQ Actual</v>
      </c>
      <c r="U32" s="98" t="str">
        <f>U9</f>
        <v>ΔYoYS</v>
      </c>
      <c r="V32" s="98" t="str">
        <f>V9</f>
        <v>ΔYoY Actual</v>
      </c>
      <c r="W32" s="633"/>
    </row>
    <row r="33" spans="2:23" ht="15" customHeight="1">
      <c r="H33" s="600"/>
      <c r="I33" s="652" t="str">
        <f>IF('Summary | Sumário'!$D$6=Names!$B$3,Names!BP42,Names!BQ42)</f>
        <v>Assets</v>
      </c>
      <c r="J33" s="605"/>
      <c r="K33" s="605"/>
      <c r="L33" s="605"/>
      <c r="M33" s="605"/>
      <c r="N33" s="605"/>
      <c r="O33" s="605"/>
      <c r="P33" s="605"/>
      <c r="Q33" s="653"/>
      <c r="R33" s="605"/>
      <c r="S33" s="637"/>
      <c r="T33" s="637"/>
      <c r="U33" s="637"/>
      <c r="V33" s="637"/>
      <c r="W33" s="633"/>
    </row>
    <row r="34" spans="2:23" ht="15" customHeight="1">
      <c r="H34" s="600"/>
      <c r="I34" s="654" t="str">
        <f>IF('Summary | Sumário'!$D$6=Names!$B$3,Names!BP43,Names!BQ43)</f>
        <v>Interest earning portfolio (IEP)</v>
      </c>
      <c r="J34" s="93">
        <f>'7.2. NIMs'!P21/1000000</f>
        <v>32.997445387827476</v>
      </c>
      <c r="K34" s="93">
        <f>'7.2. NIMs'!Q21/1000000</f>
        <v>34.350141767574591</v>
      </c>
      <c r="L34" s="93">
        <f>'7.2. NIMs'!R21/1000000</f>
        <v>36.92061634433</v>
      </c>
      <c r="M34" s="93">
        <f>'7.2. NIMs'!S21/1000000</f>
        <v>41.001388191909996</v>
      </c>
      <c r="N34" s="93">
        <f>'7.2. NIMs'!T21/1000000</f>
        <v>43.117848082490198</v>
      </c>
      <c r="O34" s="93">
        <f>'7.2. NIMs'!U21/1000000</f>
        <v>46.126596310819998</v>
      </c>
      <c r="P34" s="93">
        <f>'7.2. NIMs'!V21/1000000</f>
        <v>48.747017763444923</v>
      </c>
      <c r="Q34" s="91">
        <f>O34*(1+D18)</f>
        <v>48.747017763444916</v>
      </c>
      <c r="R34" s="93"/>
      <c r="S34" s="105">
        <f>Q34/O34-1</f>
        <v>5.6809339127635639E-2</v>
      </c>
      <c r="T34" s="105">
        <f>P34/O34-1</f>
        <v>5.6809339127635639E-2</v>
      </c>
      <c r="U34" s="105">
        <f>Q34/L34-1</f>
        <v>0.32031971808973148</v>
      </c>
      <c r="V34" s="105">
        <f>P34/K34-1</f>
        <v>0.41912129776013063</v>
      </c>
      <c r="W34" s="633"/>
    </row>
    <row r="35" spans="2:23" ht="15" customHeight="1">
      <c r="H35" s="600"/>
      <c r="I35" s="655" t="str">
        <f>IF('Summary | Sumário'!$D$6=Names!$B$3,Names!BP63,Names!BQ63)</f>
        <v>Gross loans and advances to customers</v>
      </c>
      <c r="J35" s="29">
        <f>'7.6. Cost of Risk'!P8/1000000</f>
        <v>25.129297999999999</v>
      </c>
      <c r="K35" s="29">
        <f>'7.6. Cost of Risk'!Q8/1000000</f>
        <v>26.474360000000001</v>
      </c>
      <c r="L35" s="29">
        <f>'7.6. Cost of Risk'!R8/1000000</f>
        <v>28.258742999999999</v>
      </c>
      <c r="M35" s="29">
        <f>'7.6. Cost of Risk'!S8/1000000</f>
        <v>31.020837</v>
      </c>
      <c r="N35" s="29">
        <f>'7.6. Cost of Risk'!T8/1000000</f>
        <v>32.143623531950205</v>
      </c>
      <c r="O35" s="29">
        <f>'7.6. Cost of Risk'!U8/1000000</f>
        <v>35.674371416580001</v>
      </c>
      <c r="P35" s="29">
        <f>'7.6. Cost of Risk'!V8/1000000</f>
        <v>38.059886803049999</v>
      </c>
      <c r="Q35" s="91">
        <f>P35/P34*Q34</f>
        <v>38.059886803049991</v>
      </c>
      <c r="R35" s="29"/>
      <c r="S35" s="106">
        <f>Q35/O35-1</f>
        <v>6.6869163821098088E-2</v>
      </c>
      <c r="T35" s="106">
        <f>P35/O35-1</f>
        <v>6.686916382109831E-2</v>
      </c>
      <c r="U35" s="106">
        <f>Q35/L35-1</f>
        <v>0.34683580239397038</v>
      </c>
      <c r="V35" s="106">
        <f>P35/L35-1</f>
        <v>0.3468358023939706</v>
      </c>
      <c r="W35" s="633"/>
    </row>
    <row r="36" spans="2:23" ht="15" customHeight="1">
      <c r="D36" s="42"/>
      <c r="H36" s="600"/>
      <c r="I36" s="654" t="str">
        <f>IF('Summary | Sumário'!$D$6=Names!$B$3,Names!BP44,Names!BQ44)</f>
        <v>Other assets</v>
      </c>
      <c r="J36" s="93">
        <f>K37-K34</f>
        <v>15.65318723242541</v>
      </c>
      <c r="K36" s="93">
        <f t="shared" ref="K36:N36" si="13">K37-K34</f>
        <v>15.65318723242541</v>
      </c>
      <c r="L36" s="93">
        <f t="shared" si="13"/>
        <v>18.15822365567</v>
      </c>
      <c r="M36" s="93">
        <f t="shared" si="13"/>
        <v>19.350408603000005</v>
      </c>
      <c r="N36" s="93">
        <f t="shared" si="13"/>
        <v>19.231330695039105</v>
      </c>
      <c r="O36" s="93">
        <f t="shared" ref="O36:P36" si="14">O37-O34</f>
        <v>20.446864095180011</v>
      </c>
      <c r="P36" s="93">
        <f t="shared" si="14"/>
        <v>21.182201426817763</v>
      </c>
      <c r="Q36" s="91">
        <f>P36</f>
        <v>21.182201426817763</v>
      </c>
      <c r="R36" s="93"/>
      <c r="S36" s="105">
        <f>Q36/O36-1</f>
        <v>3.5963330524170445E-2</v>
      </c>
      <c r="T36" s="105">
        <f>P36/O36-1</f>
        <v>3.5963330524170445E-2</v>
      </c>
      <c r="U36" s="105">
        <f>Q36/L36-1</f>
        <v>0.1665348895624772</v>
      </c>
      <c r="V36" s="105">
        <f>P36/L36-1</f>
        <v>0.1665348895624772</v>
      </c>
      <c r="W36" s="633"/>
    </row>
    <row r="37" spans="2:23" ht="15" customHeight="1">
      <c r="D37" s="48"/>
      <c r="H37" s="600"/>
      <c r="I37" s="37" t="str">
        <f>IF('Summary | Sumário'!$D$6=Names!$B$3,Names!BP45,Names!BQ45)</f>
        <v>Total assets</v>
      </c>
      <c r="J37" s="32">
        <f>'2. BS | BP'!P17/1000000</f>
        <v>47.701093999999998</v>
      </c>
      <c r="K37" s="32">
        <f>'2. BS | BP'!Q17/1000000</f>
        <v>50.003329000000001</v>
      </c>
      <c r="L37" s="32">
        <f>'2. BS | BP'!R17/1000000</f>
        <v>55.07884</v>
      </c>
      <c r="M37" s="32">
        <f>'2. BS | BP'!S17/1000000</f>
        <v>60.351796794910001</v>
      </c>
      <c r="N37" s="32">
        <f>'2. BS | BP'!T17/1000000</f>
        <v>62.349178777529303</v>
      </c>
      <c r="O37" s="32">
        <f>'2. BS | BP'!U17/1000000</f>
        <v>66.573460406000009</v>
      </c>
      <c r="P37" s="32">
        <f>'2. BS | BP'!V17/1000000</f>
        <v>69.929219190262685</v>
      </c>
      <c r="Q37" s="92">
        <f>Q34+Q36</f>
        <v>69.929219190262671</v>
      </c>
      <c r="R37" s="32"/>
      <c r="S37" s="101">
        <f>Q37/O37-1</f>
        <v>5.0406855281331042E-2</v>
      </c>
      <c r="T37" s="101">
        <f>P37/O37-1</f>
        <v>5.0406855281331264E-2</v>
      </c>
      <c r="U37" s="101">
        <f>Q37/L37-1</f>
        <v>0.26962040577221069</v>
      </c>
      <c r="V37" s="101">
        <f>P37/L37-1</f>
        <v>0.26962040577221091</v>
      </c>
      <c r="W37" s="633"/>
    </row>
    <row r="38" spans="2:23" ht="15" customHeight="1">
      <c r="H38" s="600"/>
      <c r="I38" s="656"/>
      <c r="J38" s="656"/>
      <c r="K38" s="656"/>
      <c r="L38" s="656"/>
      <c r="M38" s="656"/>
      <c r="N38" s="656"/>
      <c r="O38" s="656"/>
      <c r="P38" s="656"/>
      <c r="Q38" s="653"/>
      <c r="R38" s="656"/>
      <c r="S38" s="656"/>
      <c r="T38" s="656"/>
      <c r="U38" s="656"/>
      <c r="V38" s="656"/>
      <c r="W38" s="633"/>
    </row>
    <row r="39" spans="2:23" ht="15" customHeight="1">
      <c r="H39" s="600"/>
      <c r="I39" s="652" t="str">
        <f>IF('Summary | Sumário'!$D$6=Names!$B$3,Names!BP47,Names!BQ47)</f>
        <v>Liabilities + equity</v>
      </c>
      <c r="J39" s="605"/>
      <c r="K39" s="605"/>
      <c r="L39" s="605"/>
      <c r="M39" s="605"/>
      <c r="N39" s="605"/>
      <c r="O39" s="605"/>
      <c r="P39" s="605"/>
      <c r="Q39" s="653"/>
      <c r="R39" s="605"/>
      <c r="S39" s="637"/>
      <c r="T39" s="637"/>
      <c r="U39" s="637"/>
      <c r="V39" s="637"/>
      <c r="W39" s="633"/>
    </row>
    <row r="40" spans="2:23" ht="15" customHeight="1">
      <c r="H40" s="600"/>
      <c r="I40" s="654" t="str">
        <f>IF('Summary | Sumário'!$D$6=Names!$B$3,Names!BP48,Names!BQ48)</f>
        <v>Total funding</v>
      </c>
      <c r="J40" s="93">
        <f>'5. Funding'!P15/1000000</f>
        <v>33.532685000000001</v>
      </c>
      <c r="K40" s="93">
        <f>'5. Funding'!Q15/1000000</f>
        <v>35.665087040739998</v>
      </c>
      <c r="L40" s="93">
        <f>'5. Funding'!Q15/1000000</f>
        <v>35.665087040739998</v>
      </c>
      <c r="M40" s="93">
        <f>'5. Funding'!S15/1000000</f>
        <v>43.513032000000003</v>
      </c>
      <c r="N40" s="93">
        <f>'5. Funding'!T15/1000000</f>
        <v>43.783581005715945</v>
      </c>
      <c r="O40" s="93">
        <f>'5. Funding'!U15/1000000</f>
        <v>47.759601090000004</v>
      </c>
      <c r="P40" s="93">
        <f>'5. Funding'!V15/1000000</f>
        <v>50.267846176159992</v>
      </c>
      <c r="Q40" s="91">
        <f>P40/P34*Q34</f>
        <v>50.267846176159985</v>
      </c>
      <c r="R40" s="93"/>
      <c r="S40" s="105">
        <f>Q40/O40-1</f>
        <v>5.2518133085604157E-2</v>
      </c>
      <c r="T40" s="105">
        <f>P40/O40-1</f>
        <v>5.2518133085604157E-2</v>
      </c>
      <c r="U40" s="105">
        <f>Q40/L40-1</f>
        <v>0.40944128690165127</v>
      </c>
      <c r="V40" s="105">
        <f>P40/L40-1</f>
        <v>0.40944128690165149</v>
      </c>
      <c r="W40" s="633"/>
    </row>
    <row r="41" spans="2:23" ht="15" customHeight="1">
      <c r="H41" s="600"/>
      <c r="I41" s="634" t="str">
        <f>IF('Summary | Sumário'!$D$6=Names!$B$3,Names!BP49,Names!BQ49)</f>
        <v>Other liabilities</v>
      </c>
      <c r="J41" s="29">
        <f>J43-J40-J42</f>
        <v>7.0285029999999971</v>
      </c>
      <c r="K41" s="29">
        <f t="shared" ref="K41:N41" si="15">K43-K40-K42</f>
        <v>7.0205839592600032</v>
      </c>
      <c r="L41" s="29">
        <f t="shared" si="15"/>
        <v>12.096094959260002</v>
      </c>
      <c r="M41" s="29">
        <f t="shared" si="15"/>
        <v>9.2420737949099987</v>
      </c>
      <c r="N41" s="29">
        <f t="shared" si="15"/>
        <v>10.027144770907325</v>
      </c>
      <c r="O41" s="29">
        <f t="shared" ref="O41:P41" si="16">O43-O40-O42</f>
        <v>10.206323754000005</v>
      </c>
      <c r="P41" s="29">
        <f t="shared" si="16"/>
        <v>10.792889807689704</v>
      </c>
      <c r="Q41" s="91">
        <f>Q43-Q40-Q42</f>
        <v>10.792889807689697</v>
      </c>
      <c r="R41" s="29"/>
      <c r="S41" s="106">
        <f>Q41/O41-1</f>
        <v>5.7470845313897456E-2</v>
      </c>
      <c r="T41" s="106">
        <f>P41/O41-1</f>
        <v>5.7470845313898122E-2</v>
      </c>
      <c r="U41" s="106">
        <f>Q41/L41-1</f>
        <v>-0.10773767533733303</v>
      </c>
      <c r="V41" s="106">
        <f>P41/L41-1</f>
        <v>-0.10773767533733247</v>
      </c>
      <c r="W41" s="633"/>
    </row>
    <row r="42" spans="2:23" ht="15" customHeight="1">
      <c r="H42" s="600"/>
      <c r="I42" s="654" t="str">
        <f>IF('Summary | Sumário'!$D$6=Names!$B$3,Names!BP50,Names!BQ50)</f>
        <v>Equity</v>
      </c>
      <c r="J42" s="93">
        <f>'2. BS | BP'!P38/1000000</f>
        <v>7.1399059999999999</v>
      </c>
      <c r="K42" s="93">
        <f>'2. BS | BP'!Q38/1000000</f>
        <v>7.3176579999999998</v>
      </c>
      <c r="L42" s="93">
        <f>'2. BS | BP'!Q38/1000000</f>
        <v>7.3176579999999998</v>
      </c>
      <c r="M42" s="93">
        <f>'2. BS | BP'!S38/1000000</f>
        <v>7.5966909999999999</v>
      </c>
      <c r="N42" s="93">
        <f>'2. BS | BP'!T38/1000000</f>
        <v>8.5384530009060331</v>
      </c>
      <c r="O42" s="93">
        <f>'2. BS | BP'!U38/1000000</f>
        <v>8.6075355620000007</v>
      </c>
      <c r="P42" s="93">
        <f>'2. BS | BP'!V38/1000000</f>
        <v>8.8684832064129893</v>
      </c>
      <c r="Q42" s="91">
        <f>P42+(Q26-P26)/1000</f>
        <v>8.8684832064129893</v>
      </c>
      <c r="R42" s="93"/>
      <c r="S42" s="105">
        <f>Q42/O42-1</f>
        <v>3.0316185455568023E-2</v>
      </c>
      <c r="T42" s="105">
        <f>P42/O42-1</f>
        <v>3.0316185455568023E-2</v>
      </c>
      <c r="U42" s="105">
        <f>Q42/L42-1</f>
        <v>0.21192917275076129</v>
      </c>
      <c r="V42" s="105">
        <f>P42/L42-1</f>
        <v>0.21192917275076129</v>
      </c>
      <c r="W42" s="633"/>
    </row>
    <row r="43" spans="2:23" ht="15" customHeight="1">
      <c r="H43" s="600"/>
      <c r="I43" s="37" t="str">
        <f>IF('Summary | Sumário'!$D$6=Names!$B$3,Names!BP51,Names!BQ51)</f>
        <v>Total liabilities</v>
      </c>
      <c r="J43" s="32">
        <f>J37</f>
        <v>47.701093999999998</v>
      </c>
      <c r="K43" s="32">
        <f t="shared" ref="K43:N43" si="17">K37</f>
        <v>50.003329000000001</v>
      </c>
      <c r="L43" s="32">
        <f t="shared" si="17"/>
        <v>55.07884</v>
      </c>
      <c r="M43" s="32">
        <f t="shared" si="17"/>
        <v>60.351796794910001</v>
      </c>
      <c r="N43" s="32">
        <f t="shared" si="17"/>
        <v>62.349178777529303</v>
      </c>
      <c r="O43" s="32">
        <f t="shared" ref="O43:P43" si="18">O37</f>
        <v>66.573460406000009</v>
      </c>
      <c r="P43" s="32">
        <f t="shared" si="18"/>
        <v>69.929219190262685</v>
      </c>
      <c r="Q43" s="92">
        <f>Q37</f>
        <v>69.929219190262671</v>
      </c>
      <c r="R43" s="89"/>
      <c r="S43" s="107">
        <f>Q43/O43-1</f>
        <v>5.0406855281331042E-2</v>
      </c>
      <c r="T43" s="107">
        <f>P43/O43-1</f>
        <v>5.0406855281331264E-2</v>
      </c>
      <c r="U43" s="107">
        <f>Q43/L43-1</f>
        <v>0.26962040577221069</v>
      </c>
      <c r="V43" s="107">
        <f>P43/L43-1</f>
        <v>0.26962040577221091</v>
      </c>
      <c r="W43" s="633"/>
    </row>
    <row r="44" spans="2:23" ht="15" customHeight="1" thickBot="1">
      <c r="H44" s="608"/>
      <c r="I44" s="609"/>
      <c r="J44" s="609"/>
      <c r="K44" s="609"/>
      <c r="L44" s="609"/>
      <c r="M44" s="609"/>
      <c r="N44" s="609"/>
      <c r="O44" s="609"/>
      <c r="P44" s="609"/>
      <c r="Q44" s="609"/>
      <c r="R44" s="609"/>
      <c r="S44" s="609"/>
      <c r="T44" s="609"/>
      <c r="U44" s="609"/>
      <c r="V44" s="609"/>
      <c r="W44" s="649"/>
    </row>
    <row r="45" spans="2:23" ht="15" customHeight="1" thickBot="1"/>
    <row r="46" spans="2:23" ht="15" customHeight="1">
      <c r="B46" s="612"/>
      <c r="C46" s="613"/>
      <c r="D46" s="613"/>
      <c r="E46" s="614"/>
      <c r="F46" s="614"/>
      <c r="G46" s="613"/>
      <c r="H46" s="613"/>
      <c r="I46" s="613"/>
      <c r="J46" s="613"/>
      <c r="K46" s="613"/>
      <c r="L46" s="613"/>
      <c r="M46" s="613"/>
      <c r="N46" s="613"/>
      <c r="O46" s="613"/>
      <c r="P46" s="613"/>
      <c r="Q46" s="613"/>
      <c r="R46" s="613"/>
      <c r="S46" s="613"/>
      <c r="T46" s="613"/>
      <c r="U46" s="613"/>
      <c r="V46" s="613"/>
      <c r="W46" s="622"/>
    </row>
    <row r="47" spans="2:23" ht="49" customHeight="1">
      <c r="B47" s="623"/>
      <c r="C47" s="693" t="str">
        <f>IF('Summary | Sumário'!$D$6=Names!$B$3,Names!BP60,Names!BQ60)</f>
        <v>Disclaimer:
Please note that this simulation is for illustrative purposes only, does not represent actual financial data and the results may not accurately reflect real-world outcomes. The information provided is based on hypothetical scenarios and assumptions. The simulation is intended as a learning tool and does not provide any investment advice, recommendations, or guidance.
Users are advised to exercise caution when interpreting the results and are encouraged to consult with qualified financial professionals.</v>
      </c>
      <c r="D47" s="693"/>
      <c r="E47" s="693"/>
      <c r="F47" s="693"/>
      <c r="G47" s="693"/>
      <c r="H47" s="693"/>
      <c r="I47" s="693"/>
      <c r="J47" s="693"/>
      <c r="K47" s="693"/>
      <c r="L47" s="693"/>
      <c r="M47" s="693"/>
      <c r="N47" s="693"/>
      <c r="O47" s="693"/>
      <c r="P47" s="693"/>
      <c r="Q47" s="693"/>
      <c r="R47" s="693"/>
      <c r="S47" s="693"/>
      <c r="T47" s="693"/>
      <c r="U47" s="693"/>
      <c r="V47" s="693"/>
      <c r="W47" s="694"/>
    </row>
    <row r="48" spans="2:23" ht="15" customHeight="1" thickBot="1">
      <c r="B48" s="618"/>
      <c r="C48" s="619"/>
      <c r="D48" s="619"/>
      <c r="E48" s="620"/>
      <c r="F48" s="620"/>
      <c r="G48" s="619"/>
      <c r="H48" s="619"/>
      <c r="I48" s="619"/>
      <c r="J48" s="619"/>
      <c r="K48" s="619"/>
      <c r="L48" s="619"/>
      <c r="M48" s="619"/>
      <c r="N48" s="619"/>
      <c r="O48" s="619"/>
      <c r="P48" s="619"/>
      <c r="Q48" s="619"/>
      <c r="R48" s="619"/>
      <c r="S48" s="619"/>
      <c r="T48" s="619"/>
      <c r="U48" s="619"/>
      <c r="V48" s="619"/>
      <c r="W48" s="626"/>
    </row>
    <row r="64" spans="9:9" ht="15" customHeight="1">
      <c r="I64" s="42"/>
    </row>
    <row r="66" spans="3:18" ht="15" customHeight="1">
      <c r="C66" s="691"/>
      <c r="D66" s="691"/>
      <c r="E66" s="691"/>
      <c r="F66" s="691"/>
      <c r="G66" s="691"/>
      <c r="H66" s="691"/>
      <c r="I66" s="691"/>
      <c r="J66" s="691"/>
      <c r="K66" s="691"/>
      <c r="L66" s="691"/>
      <c r="M66" s="691"/>
      <c r="N66" s="691"/>
      <c r="O66" s="691"/>
      <c r="P66" s="691"/>
      <c r="Q66" s="691"/>
      <c r="R66" s="43"/>
    </row>
  </sheetData>
  <sheetProtection algorithmName="SHA-512" hashValue="UUOBMST6Rp0qEtHl3B2R2T/CAFHzpQd1zjs2Zw417WvqTuxwp1xp16wKo96PKh91ZPCKosldJF865H70QnNQPA==" saltValue="v1/HmHPO+j6RsZCbZePKkg==" spinCount="100000" sheet="1" formatCells="0" formatColumns="0" formatRows="0" insertColumns="0" insertRows="0" insertHyperlinks="0" deleteColumns="0" deleteRows="0" sort="0" autoFilter="0" pivotTables="0"/>
  <mergeCells count="6">
    <mergeCell ref="C3:V4"/>
    <mergeCell ref="C5:W5"/>
    <mergeCell ref="C66:Q66"/>
    <mergeCell ref="S8:V8"/>
    <mergeCell ref="S31:V31"/>
    <mergeCell ref="C47:W47"/>
  </mergeCells>
  <pageMargins left="0.511811024" right="0.511811024" top="0.78740157499999996" bottom="0.78740157499999996" header="0.31496062000000002" footer="0.31496062000000002"/>
  <pageSetup paperSize="9" orientation="portrait" horizontalDpi="0" verticalDpi="0"/>
  <ignoredErrors>
    <ignoredError sqref="G64 J64:N64 D64:E64 D27 Q19 Q41 Q23:Q24 J26:M26 Q43 Q13 J12:N12 Q10 Q16 Q20 Q26 Q38:Q39 Q37 J38:N39 J15:N16 J13:N13 J43:N43 J23:N24 J41:N41 J18:N19 K36:N36" unlockedFormula="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3AFE-1A05-E54A-9DA1-4A8675E3D330}">
  <sheetPr>
    <tabColor theme="0" tint="-0.14999847407452621"/>
  </sheetPr>
  <dimension ref="A1:A33"/>
  <sheetViews>
    <sheetView showGridLines="0" zoomScaleNormal="100" workbookViewId="0"/>
  </sheetViews>
  <sheetFormatPr baseColWidth="10" defaultColWidth="10.83203125" defaultRowHeight="15" customHeight="1"/>
  <cols>
    <col min="1" max="16" width="10.83203125" style="2" customWidth="1"/>
    <col min="17" max="16384" width="10.83203125" style="2"/>
  </cols>
  <sheetData>
    <row r="1"/>
    <row r="2"/>
    <row r="3"/>
    <row r="4"/>
    <row r="5"/>
    <row r="6"/>
    <row r="7"/>
    <row r="8"/>
    <row r="9"/>
    <row r="10"/>
    <row r="11"/>
    <row r="12"/>
    <row r="13"/>
    <row r="14"/>
    <row r="15"/>
    <row r="16"/>
    <row r="17"/>
    <row r="18"/>
    <row r="19"/>
    <row r="20"/>
    <row r="21"/>
    <row r="22"/>
    <row r="23"/>
    <row r="24"/>
    <row r="25"/>
    <row r="26"/>
    <row r="27"/>
    <row r="28"/>
    <row r="29"/>
    <row r="30"/>
    <row r="31"/>
    <row r="32"/>
    <row r="33"/>
  </sheetData>
  <sheetProtection algorithmName="SHA-512" hashValue="zKs9tLWYgQ18dhOgHFYiZeGaZKF3aavVRfgAQNgp1lNu1SRxSAP3OhiAVdxbLZvFFuhmcvpvG/UE/tp1UTPJSg==" saltValue="GPmDQsGpXjRKDrtL/bla4Q==" spinCount="100000" sheet="1" scenarios="1" selectLockedCells="1" selectUnlockedCells="1"/>
  <pageMargins left="0.7" right="0.7" top="0.75" bottom="0.75" header="0.3" footer="0.3"/>
  <pageSetup paperSize="9" orientation="portrait" horizontalDpi="0" verticalDpi="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5B4C1-B1C1-1C41-9FFC-03C030DA8A9B}">
  <sheetPr>
    <tabColor theme="0" tint="-0.14999847407452621"/>
  </sheetPr>
  <dimension ref="A1"/>
  <sheetViews>
    <sheetView showGridLines="0" zoomScaleNormal="100" workbookViewId="0"/>
  </sheetViews>
  <sheetFormatPr baseColWidth="10" defaultColWidth="10.83203125" defaultRowHeight="15"/>
  <cols>
    <col min="1" max="31" width="10.83203125" customWidth="1"/>
  </cols>
  <sheetData/>
  <sheetProtection algorithmName="SHA-512" hashValue="RRNHBUSHeOC7ftmaBXDTB50wG5SNZklLl1CSGkRj9V1oEhs9XqFNy4xdKxIP9i0Py7DaBgRU+vL1qA3YNAxIHQ==" saltValue="I5/4EZD+xPcXZOasA3WTtw==" spinCount="100000" sheet="1" scenarios="1" selectLockedCells="1" selectUnlockedCells="1"/>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F2FD-FBF4-9C48-B72B-97B3EE321880}">
  <sheetPr>
    <tabColor rgb="FFEB7100"/>
  </sheetPr>
  <dimension ref="A1:X45"/>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baseColWidth="10" defaultColWidth="10.83203125" defaultRowHeight="13" customHeight="1"/>
  <cols>
    <col min="1" max="1" width="3.33203125" style="187" customWidth="1"/>
    <col min="2" max="2" width="68.33203125" style="15" bestFit="1" customWidth="1"/>
    <col min="3" max="11" width="10.83203125" style="292" customWidth="1"/>
    <col min="12" max="12" width="4.83203125" style="292" customWidth="1"/>
    <col min="13" max="17" width="10.83203125" style="292" customWidth="1"/>
    <col min="18" max="21" width="10.83203125" style="292"/>
    <col min="22" max="16384" width="10.83203125" style="187"/>
  </cols>
  <sheetData>
    <row r="1" spans="1:24" s="280" customFormat="1" ht="13" customHeight="1">
      <c r="B1" s="9"/>
      <c r="C1" s="281"/>
      <c r="D1" s="281"/>
      <c r="E1" s="281"/>
      <c r="F1" s="281"/>
      <c r="G1" s="281"/>
      <c r="H1" s="281"/>
      <c r="I1" s="281"/>
      <c r="J1" s="281"/>
      <c r="K1" s="281"/>
      <c r="L1" s="281"/>
      <c r="M1" s="281"/>
      <c r="N1" s="281"/>
      <c r="O1" s="281"/>
      <c r="P1" s="281"/>
      <c r="Q1" s="281"/>
      <c r="R1" s="281"/>
      <c r="S1" s="281"/>
      <c r="T1" s="281"/>
      <c r="U1" s="281"/>
    </row>
    <row r="2" spans="1:24" s="10" customFormat="1" ht="13" customHeight="1">
      <c r="B2" s="319" t="str">
        <f>IF('Summary | Sumário'!D6=Names!B3,Names!BL1,Names!BM1)</f>
        <v>Highlights of the Quarter | 3Q24</v>
      </c>
      <c r="C2" s="20" t="str">
        <f>IF('Summary | Sumário'!D6=Names!B3,Names!C12,Names!D12)</f>
        <v>3Q22</v>
      </c>
      <c r="D2" s="20" t="str">
        <f>IF('Summary | Sumário'!D6=Names!B3,Names!C13,Names!D13)</f>
        <v>4Q22</v>
      </c>
      <c r="E2" s="20" t="str">
        <f>IF('Summary | Sumário'!D6=Names!B3,Names!C14,Names!D14)</f>
        <v>1Q23</v>
      </c>
      <c r="F2" s="20" t="str">
        <f>IF('Summary | Sumário'!D6=Names!B3,Names!C15,Names!D15)</f>
        <v>2Q23</v>
      </c>
      <c r="G2" s="20" t="str">
        <f>IF('Summary | Sumário'!D6=Names!B3,Names!C16,Names!D16)</f>
        <v>3Q23</v>
      </c>
      <c r="H2" s="20" t="str">
        <f>IF('Summary | Sumário'!D6=Names!B3,Names!C17,Names!D17)</f>
        <v>4Q23</v>
      </c>
      <c r="I2" s="20" t="str">
        <f>IF('Summary | Sumário'!D6=Names!B3,Names!C19,Names!D19)</f>
        <v>1Q24</v>
      </c>
      <c r="J2" s="20" t="str">
        <f>IF('Summary | Sumário'!D6=Names!B3,Names!C20,Names!D20)</f>
        <v>2Q24</v>
      </c>
      <c r="K2" s="321" t="str">
        <f>IF('Summary | Sumário'!D6=Names!B3,Names!C21,Names!D21)</f>
        <v>3Q24</v>
      </c>
      <c r="L2" s="422"/>
      <c r="M2" s="116" t="str">
        <f>IF('Summary | Sumário'!$D$6=Names!$B$3,Names!$I$24,Names!$J$24)</f>
        <v>QoQ Variation</v>
      </c>
      <c r="N2" s="116" t="str">
        <f>IF('Summary | Sumário'!D6=Names!$B$3,Names!$I$25,Names!$J$25)</f>
        <v>YoY Variation</v>
      </c>
      <c r="O2" s="21"/>
      <c r="P2" s="21"/>
      <c r="Q2" s="21"/>
      <c r="R2" s="21"/>
      <c r="S2" s="21"/>
      <c r="T2" s="60"/>
      <c r="U2" s="11"/>
      <c r="W2" s="12"/>
      <c r="X2" s="13"/>
    </row>
    <row r="3" spans="1:24" s="142" customFormat="1" ht="13" customHeight="1">
      <c r="B3" s="19"/>
      <c r="C3" s="137"/>
      <c r="D3" s="137"/>
      <c r="E3" s="137"/>
      <c r="F3" s="138"/>
      <c r="G3" s="138"/>
      <c r="H3" s="138"/>
      <c r="I3" s="138"/>
      <c r="J3" s="138"/>
      <c r="K3" s="138"/>
      <c r="L3" s="138"/>
      <c r="M3" s="137"/>
      <c r="N3" s="137"/>
      <c r="O3" s="138"/>
      <c r="P3" s="138"/>
      <c r="Q3" s="138"/>
      <c r="R3" s="138"/>
      <c r="S3" s="138"/>
      <c r="T3" s="140"/>
      <c r="U3" s="141"/>
      <c r="W3" s="143"/>
      <c r="X3" s="144"/>
    </row>
    <row r="4" spans="1:24" ht="13" customHeight="1">
      <c r="A4" s="276"/>
      <c r="B4" s="322" t="str">
        <f>IF('Summary | Sumário'!D6=Names!B3,Names!BL4,Names!BM4)</f>
        <v>Unit Economics</v>
      </c>
      <c r="C4" s="187"/>
      <c r="D4" s="187"/>
      <c r="E4" s="187"/>
      <c r="F4" s="187"/>
      <c r="G4" s="187"/>
      <c r="H4" s="187"/>
      <c r="I4" s="187"/>
      <c r="J4" s="187"/>
      <c r="K4" s="187"/>
      <c r="L4" s="187"/>
      <c r="M4" s="187"/>
      <c r="N4" s="187"/>
      <c r="P4" s="285"/>
      <c r="Q4" s="285"/>
      <c r="R4" s="285"/>
      <c r="S4" s="285"/>
      <c r="T4" s="285"/>
      <c r="U4" s="285"/>
    </row>
    <row r="5" spans="1:24" ht="13" customHeight="1">
      <c r="A5" s="276"/>
      <c r="B5" s="323" t="str">
        <f>IF('Summary | Sumário'!D6=Names!B3,Names!BL5,Names!BM5)</f>
        <v>Total Clients (mm)</v>
      </c>
      <c r="C5" s="324">
        <f>'5. Oper. KPIs | KPIs Oper.'!K7</f>
        <v>22.766031999999999</v>
      </c>
      <c r="D5" s="324">
        <f>'5. Oper. KPIs | KPIs Oper.'!L7</f>
        <v>24.662092999999999</v>
      </c>
      <c r="E5" s="324">
        <f>'5. Oper. KPIs | KPIs Oper.'!M7</f>
        <v>26.288263000000001</v>
      </c>
      <c r="F5" s="324">
        <f>'5. Oper. KPIs | KPIs Oper.'!N7</f>
        <v>27.774601000000001</v>
      </c>
      <c r="G5" s="324">
        <f>'5. Oper. KPIs | KPIs Oper.'!O7</f>
        <v>29.374635000000001</v>
      </c>
      <c r="H5" s="324">
        <f>'5. Oper. KPIs | KPIs Oper.'!P7</f>
        <v>30.363865000000001</v>
      </c>
      <c r="I5" s="324">
        <f>'5. Oper. KPIs | KPIs Oper.'!Q7</f>
        <v>31.722895999999999</v>
      </c>
      <c r="J5" s="324">
        <f>'5. Oper. KPIs | KPIs Oper.'!R7</f>
        <v>33.270463999999997</v>
      </c>
      <c r="K5" s="324">
        <f>'5. Oper. KPIs | KPIs Oper.'!S7</f>
        <v>34.922488000000001</v>
      </c>
      <c r="L5" s="295"/>
      <c r="M5" s="325">
        <f>K5/J5-1</f>
        <v>4.9654372118164813E-2</v>
      </c>
      <c r="N5" s="325">
        <f>K5/G5-1</f>
        <v>0.18886542760446212</v>
      </c>
      <c r="P5" s="285"/>
      <c r="Q5" s="285"/>
      <c r="R5" s="285"/>
      <c r="S5" s="285"/>
      <c r="T5" s="285"/>
      <c r="U5" s="285"/>
    </row>
    <row r="6" spans="1:24" ht="13" customHeight="1">
      <c r="A6" s="276"/>
      <c r="B6" s="16" t="str">
        <f>IF('Summary | Sumário'!D6=Names!B3,Names!BL6,Names!BM6)</f>
        <v>Active Clients (mm)</v>
      </c>
      <c r="C6" s="295">
        <f>'5. Oper. KPIs | KPIs Oper.'!K8</f>
        <v>11.649274</v>
      </c>
      <c r="D6" s="295">
        <f>'5. Oper. KPIs | KPIs Oper.'!L8</f>
        <v>12.584403999999999</v>
      </c>
      <c r="E6" s="295">
        <f>'5. Oper. KPIs | KPIs Oper.'!M8</f>
        <v>13.540568</v>
      </c>
      <c r="F6" s="295">
        <f>'5. Oper. KPIs | KPIs Oper.'!N8</f>
        <v>14.494907</v>
      </c>
      <c r="G6" s="295">
        <f>'5. Oper. KPIs | KPIs Oper.'!O8</f>
        <v>15.47322</v>
      </c>
      <c r="H6" s="295">
        <f>'5. Oper. KPIs | KPIs Oper.'!P8</f>
        <v>16.405394000000001</v>
      </c>
      <c r="I6" s="295">
        <f>'5. Oper. KPIs | KPIs Oper.'!Q8</f>
        <v>17.413702000000001</v>
      </c>
      <c r="J6" s="295">
        <f>'5. Oper. KPIs | KPIs Oper.'!R8</f>
        <v>18.401989</v>
      </c>
      <c r="K6" s="295">
        <f>'5. Oper. KPIs | KPIs Oper.'!S8</f>
        <v>19.538504</v>
      </c>
      <c r="L6" s="295"/>
      <c r="M6" s="296">
        <f t="shared" ref="M6:M9" si="0">K6/J6-1</f>
        <v>6.1760443395548092E-2</v>
      </c>
      <c r="N6" s="296">
        <f t="shared" ref="N6:N9" si="1">K6/G6-1</f>
        <v>0.26273031728366814</v>
      </c>
      <c r="P6" s="285"/>
      <c r="Q6" s="285"/>
      <c r="R6" s="285"/>
      <c r="S6" s="285"/>
      <c r="T6" s="285"/>
      <c r="U6" s="285"/>
    </row>
    <row r="7" spans="1:24" ht="13" customHeight="1">
      <c r="A7" s="276"/>
      <c r="B7" s="22" t="str">
        <f>IF('Summary | Sumário'!D6=Names!B3,Names!BL7,Names!BM7)</f>
        <v>Gross ARPAC (R$)</v>
      </c>
      <c r="C7" s="293">
        <f>'7.5. ARPAC'!N16</f>
        <v>45.89827789545167</v>
      </c>
      <c r="D7" s="293">
        <f>'7.5. ARPAC'!O16</f>
        <v>46.871330110655649</v>
      </c>
      <c r="E7" s="293">
        <f>'7.5. ARPAC'!P16</f>
        <v>45.928746437189162</v>
      </c>
      <c r="F7" s="293">
        <f>'7.5. ARPAC'!Q16</f>
        <v>46.097358198258931</v>
      </c>
      <c r="G7" s="293">
        <f>'7.5. ARPAC'!R16</f>
        <v>47.683228896709714</v>
      </c>
      <c r="H7" s="293">
        <f>'7.5. ARPAC'!S16</f>
        <v>45.943992190292001</v>
      </c>
      <c r="I7" s="293">
        <f>'7.5. ARPAC'!T16</f>
        <v>45.155479395825644</v>
      </c>
      <c r="J7" s="293">
        <f>'7.5. ARPAC'!U16</f>
        <v>44.744959491034628</v>
      </c>
      <c r="K7" s="293">
        <f>'7.5. ARPAC'!V16</f>
        <v>47.164607079454768</v>
      </c>
      <c r="L7" s="295"/>
      <c r="M7" s="294">
        <f t="shared" si="0"/>
        <v>5.4076428181926373E-2</v>
      </c>
      <c r="N7" s="294">
        <f t="shared" si="1"/>
        <v>-1.0876398877650906E-2</v>
      </c>
      <c r="Q7" s="285"/>
      <c r="R7" s="285"/>
      <c r="S7" s="285"/>
      <c r="T7" s="285"/>
      <c r="U7" s="285"/>
    </row>
    <row r="8" spans="1:24" ht="13" customHeight="1">
      <c r="A8" s="276"/>
      <c r="B8" s="16" t="str">
        <f>IF('Summary | Sumário'!D6=Names!B3,Names!BL8,Names!BM8)</f>
        <v>CTS (R$)</v>
      </c>
      <c r="C8" s="295">
        <f>'7.4. CTS | Custo de servir'!N14</f>
        <v>15.811985206549455</v>
      </c>
      <c r="D8" s="295">
        <f>'7.4. CTS | Custo de servir'!O14</f>
        <v>17.144369708964526</v>
      </c>
      <c r="E8" s="295">
        <f>'7.4. CTS | Custo de servir'!P14</f>
        <v>13.841844617734584</v>
      </c>
      <c r="F8" s="295">
        <f>'7.4. CTS | Custo de servir'!Q14</f>
        <v>12.525885414818189</v>
      </c>
      <c r="G8" s="295">
        <f>'7.4. CTS | Custo de servir'!R14</f>
        <v>12.654836511248545</v>
      </c>
      <c r="H8" s="295">
        <f>'7.4. CTS | Custo de servir'!S14</f>
        <v>12.494674203389399</v>
      </c>
      <c r="I8" s="295">
        <f>'7.4. CTS | Custo de servir'!T14</f>
        <v>11.676346720405142</v>
      </c>
      <c r="J8" s="295">
        <f>'7.4. CTS | Custo de servir'!U14</f>
        <v>11.126182837386365</v>
      </c>
      <c r="K8" s="295">
        <f>'7.4. CTS | Custo de servir'!V14</f>
        <v>12.609296798541864</v>
      </c>
      <c r="L8" s="295"/>
      <c r="M8" s="296">
        <f t="shared" si="0"/>
        <v>0.13329944176109687</v>
      </c>
      <c r="N8" s="296">
        <f t="shared" si="1"/>
        <v>-3.5986014253287513E-3</v>
      </c>
      <c r="Q8" s="285"/>
      <c r="R8" s="285"/>
      <c r="S8" s="285"/>
      <c r="T8" s="285"/>
      <c r="U8" s="285"/>
    </row>
    <row r="9" spans="1:24" ht="13" customHeight="1">
      <c r="A9" s="276"/>
      <c r="B9" s="22" t="str">
        <f>IF('Summary | Sumário'!D6=Names!B3,Names!BL9,Names!BM9)</f>
        <v>CAC (R$)</v>
      </c>
      <c r="C9" s="293">
        <f>'5. Oper. KPIs | KPIs Oper.'!K5</f>
        <v>28.25</v>
      </c>
      <c r="D9" s="293">
        <f>'5. Oper. KPIs | KPIs Oper.'!L5</f>
        <v>30.44</v>
      </c>
      <c r="E9" s="293">
        <f>'5. Oper. KPIs | KPIs Oper.'!M5</f>
        <v>29.799999999999997</v>
      </c>
      <c r="F9" s="293">
        <f>'5. Oper. KPIs | KPIs Oper.'!N5</f>
        <v>27.06</v>
      </c>
      <c r="G9" s="293">
        <f>'5. Oper. KPIs | KPIs Oper.'!O5</f>
        <v>25.86</v>
      </c>
      <c r="H9" s="293">
        <f>'5. Oper. KPIs | KPIs Oper.'!P5</f>
        <v>24.645735842009003</v>
      </c>
      <c r="I9" s="293">
        <f>'5. Oper. KPIs | KPIs Oper.'!Q5</f>
        <v>28.91</v>
      </c>
      <c r="J9" s="293">
        <f>'5. Oper. KPIs | KPIs Oper.'!R5</f>
        <v>32.549999999999997</v>
      </c>
      <c r="K9" s="293">
        <f>'5. Oper. KPIs | KPIs Oper.'!S5</f>
        <v>34.35</v>
      </c>
      <c r="L9" s="295"/>
      <c r="M9" s="294">
        <f t="shared" si="0"/>
        <v>5.5299539170507117E-2</v>
      </c>
      <c r="N9" s="294">
        <f t="shared" si="1"/>
        <v>0.32830626450116007</v>
      </c>
      <c r="Q9" s="285"/>
      <c r="R9" s="285"/>
      <c r="S9" s="285"/>
      <c r="T9" s="285"/>
      <c r="U9" s="285"/>
    </row>
    <row r="10" spans="1:24" ht="13" customHeight="1">
      <c r="A10" s="276"/>
      <c r="B10" s="16"/>
      <c r="C10" s="285"/>
      <c r="D10" s="285"/>
      <c r="E10" s="285"/>
      <c r="F10" s="285"/>
      <c r="G10" s="285"/>
      <c r="H10" s="285"/>
      <c r="I10" s="285"/>
      <c r="J10" s="285"/>
      <c r="K10" s="285"/>
      <c r="L10" s="285"/>
      <c r="M10" s="297"/>
      <c r="N10" s="297"/>
      <c r="Q10" s="285"/>
      <c r="R10" s="285"/>
      <c r="S10" s="285"/>
      <c r="T10" s="285"/>
      <c r="U10" s="285"/>
    </row>
    <row r="11" spans="1:24" ht="13" customHeight="1">
      <c r="A11" s="276"/>
      <c r="B11" s="326" t="str">
        <f>IF('Summary | Sumário'!$D$6=Names!$B$3,Names!BL11,Names!BM11)</f>
        <v>Income Statement</v>
      </c>
      <c r="C11" s="327"/>
      <c r="D11" s="327"/>
      <c r="E11" s="327"/>
      <c r="F11" s="327"/>
      <c r="G11" s="327"/>
      <c r="H11" s="327"/>
      <c r="I11" s="327"/>
      <c r="J11" s="327"/>
      <c r="K11" s="327"/>
      <c r="M11" s="328"/>
      <c r="N11" s="328"/>
      <c r="Q11" s="285"/>
      <c r="R11" s="285"/>
      <c r="S11" s="285"/>
      <c r="T11" s="285"/>
      <c r="U11" s="285"/>
    </row>
    <row r="12" spans="1:24" ht="13" customHeight="1">
      <c r="A12" s="276"/>
      <c r="B12" s="331" t="str">
        <f>IF('Summary | Sumário'!$D$6=Names!$B$3,Names!BL12,Names!BM12)</f>
        <v>Gross Revenue (R$ mm)</v>
      </c>
      <c r="C12" s="332">
        <f>'7.5. ARPAC'!N6/1000</f>
        <v>1539.8057310000002</v>
      </c>
      <c r="D12" s="332">
        <f>'7.5. ARPAC'!O6/1000</f>
        <v>1703.797082</v>
      </c>
      <c r="E12" s="332">
        <f>'7.5. ARPAC'!P6/1000</f>
        <v>1799.8308220000001</v>
      </c>
      <c r="F12" s="332">
        <f>'7.5. ARPAC'!Q6/1000</f>
        <v>1938.5419999999999</v>
      </c>
      <c r="G12" s="332">
        <f>'7.5. ARPAC'!R6/1000</f>
        <v>2143.4655890199997</v>
      </c>
      <c r="H12" s="332">
        <f>'7.5. ARPAC'!S6/1000</f>
        <v>2196.94618898</v>
      </c>
      <c r="I12" s="332">
        <f>'7.5. ARPAC'!T6/1000</f>
        <v>2290.6762389201745</v>
      </c>
      <c r="J12" s="332">
        <f>'7.5. ARPAC'!U6/1000</f>
        <v>2403.8574644076207</v>
      </c>
      <c r="K12" s="332">
        <f>'7.5. ARPAC'!V6/1000</f>
        <v>2684.1726671187062</v>
      </c>
      <c r="L12" s="285"/>
      <c r="M12" s="333">
        <f t="shared" ref="M12:M15" si="2">K12/J12-1</f>
        <v>0.11661057565248067</v>
      </c>
      <c r="N12" s="333">
        <f t="shared" ref="N12:N15" si="3">K12/G12-1</f>
        <v>0.25225834315629014</v>
      </c>
      <c r="Q12" s="285"/>
      <c r="R12" s="285"/>
      <c r="S12" s="285"/>
      <c r="T12" s="285"/>
      <c r="U12" s="285"/>
    </row>
    <row r="13" spans="1:24" ht="13" customHeight="1">
      <c r="A13" s="276"/>
      <c r="B13" s="22" t="str">
        <f>IF('Summary | Sumário'!$D$6=Names!$B$3,Names!BL13,Names!BM13)</f>
        <v>Net Revenues (R$ mm)</v>
      </c>
      <c r="C13" s="252">
        <f>'3. IS | DRE'!N12/1000</f>
        <v>850.30373100000008</v>
      </c>
      <c r="D13" s="252">
        <f>'3. IS | DRE'!O12/1000</f>
        <v>1001.8520819999999</v>
      </c>
      <c r="E13" s="252">
        <f>'3. IS | DRE'!P12/1000</f>
        <v>1024.113822</v>
      </c>
      <c r="F13" s="252">
        <f>'3. IS | DRE'!Q12/1000</f>
        <v>1150.0340000000001</v>
      </c>
      <c r="G13" s="252">
        <f>'3. IS | DRE'!R12/1000</f>
        <v>1265.4955890200001</v>
      </c>
      <c r="H13" s="252">
        <f>'3. IS | DRE'!S12/1000</f>
        <v>1312.9341839799997</v>
      </c>
      <c r="I13" s="252">
        <f>'3. IS | DRE'!T12/1000</f>
        <v>1400.9405045515321</v>
      </c>
      <c r="J13" s="252">
        <f>'3. IS | DRE'!U12/1000</f>
        <v>1478.59627892762</v>
      </c>
      <c r="K13" s="252">
        <f>'3. IS | DRE'!V12/1000</f>
        <v>1676.1385664887066</v>
      </c>
      <c r="L13" s="253"/>
      <c r="M13" s="298">
        <f t="shared" si="2"/>
        <v>0.13360123407341318</v>
      </c>
      <c r="N13" s="298">
        <f t="shared" si="3"/>
        <v>0.32449182836481349</v>
      </c>
      <c r="Q13" s="285"/>
      <c r="R13" s="285"/>
      <c r="S13" s="285"/>
      <c r="T13" s="285"/>
      <c r="U13" s="285"/>
    </row>
    <row r="14" spans="1:24" ht="13" customHeight="1">
      <c r="A14" s="276"/>
      <c r="B14" s="16" t="str">
        <f>IF('Summary | Sumário'!$D$6=Names!$B$3,Names!BL14,Names!BM14)</f>
        <v>Pre Tax Net Income (R$ mm)</v>
      </c>
      <c r="C14" s="299">
        <f>'3. IS | DRE'!N23/1000</f>
        <v>-70.043268999999967</v>
      </c>
      <c r="D14" s="299">
        <f>'3. IS | DRE'!O23/1000</f>
        <v>-20.306918000000064</v>
      </c>
      <c r="E14" s="299">
        <f>'3. IS | DRE'!P23/1000</f>
        <v>5.8968220000000438</v>
      </c>
      <c r="F14" s="299">
        <f>'3. IS | DRE'!Q23/1000</f>
        <v>80.299000000000007</v>
      </c>
      <c r="G14" s="299">
        <f>'3. IS | DRE'!R23/1000</f>
        <v>145.35400000000001</v>
      </c>
      <c r="H14" s="299">
        <f>'3. IS | DRE'!S23/1000</f>
        <v>208.29117799999995</v>
      </c>
      <c r="I14" s="299">
        <f>'3. IS | DRE'!T23/1000</f>
        <v>273.73200000000003</v>
      </c>
      <c r="J14" s="299">
        <f>'3. IS | DRE'!U23/1000</f>
        <v>297.60562640762004</v>
      </c>
      <c r="K14" s="299">
        <f>'3. IS | DRE'!V23/1000</f>
        <v>293.94593500870667</v>
      </c>
      <c r="L14" s="299"/>
      <c r="M14" s="300">
        <f t="shared" si="2"/>
        <v>-1.22971176421941E-2</v>
      </c>
      <c r="N14" s="300">
        <f t="shared" si="3"/>
        <v>1.0222762016092206</v>
      </c>
      <c r="Q14" s="285"/>
      <c r="R14" s="285"/>
      <c r="S14" s="285"/>
      <c r="T14" s="285"/>
      <c r="U14" s="285"/>
    </row>
    <row r="15" spans="1:24" ht="13" customHeight="1">
      <c r="A15" s="276"/>
      <c r="B15" s="22" t="str">
        <f>IF('Summary | Sumário'!$D$6=Names!$B$3,Names!BL15,Names!BM15)</f>
        <v>Net Income (R$ mm)</v>
      </c>
      <c r="C15" s="252">
        <f>'3. IS | DRE'!N26/1000</f>
        <v>-29.59526899999997</v>
      </c>
      <c r="D15" s="252">
        <f>'3. IS | DRE'!O26/1000</f>
        <v>28.813081999999355</v>
      </c>
      <c r="E15" s="252">
        <f>'3. IS | DRE'!P26/1000</f>
        <v>24.216000000000001</v>
      </c>
      <c r="F15" s="252">
        <f>'3. IS | DRE'!Q26/1000</f>
        <v>64.171999999999997</v>
      </c>
      <c r="G15" s="252">
        <f>'3. IS | DRE'!R26/1000</f>
        <v>104.161</v>
      </c>
      <c r="H15" s="252">
        <f>'3. IS | DRE'!S26/1000</f>
        <v>159.71217799999997</v>
      </c>
      <c r="I15" s="252">
        <f>'3. IS | DRE'!T26/1000</f>
        <v>195.22</v>
      </c>
      <c r="J15" s="252">
        <f>'3. IS | DRE'!U26/1000</f>
        <v>222.66189240762003</v>
      </c>
      <c r="K15" s="252">
        <f>'3. IS | DRE'!V26/1000</f>
        <v>260.00410244316623</v>
      </c>
      <c r="L15" s="253"/>
      <c r="M15" s="298">
        <f t="shared" si="2"/>
        <v>0.1677081319653253</v>
      </c>
      <c r="N15" s="298">
        <f t="shared" si="3"/>
        <v>1.4961751753839367</v>
      </c>
      <c r="Q15" s="253"/>
      <c r="R15" s="253"/>
      <c r="S15" s="253"/>
      <c r="T15" s="253"/>
      <c r="U15" s="253"/>
    </row>
    <row r="16" spans="1:24" ht="13" customHeight="1">
      <c r="A16" s="276"/>
      <c r="B16" s="117"/>
      <c r="C16" s="285"/>
      <c r="D16" s="285"/>
      <c r="E16" s="285"/>
      <c r="F16" s="285"/>
      <c r="G16" s="285"/>
      <c r="H16" s="285"/>
      <c r="I16" s="285"/>
      <c r="J16" s="285"/>
      <c r="K16" s="285"/>
      <c r="L16" s="285"/>
      <c r="M16" s="301"/>
      <c r="N16" s="302"/>
      <c r="Q16" s="289"/>
      <c r="R16" s="289"/>
      <c r="S16" s="289"/>
      <c r="T16" s="289"/>
      <c r="U16" s="265"/>
    </row>
    <row r="17" spans="1:22" ht="13" customHeight="1">
      <c r="A17" s="276"/>
      <c r="B17" s="24" t="str">
        <f>IF('Summary | Sumário'!$D$6=Names!$B$3,Names!BL17,Names!BM17)</f>
        <v>Balance Sheet &amp; Capital</v>
      </c>
      <c r="C17" s="327"/>
      <c r="D17" s="327"/>
      <c r="E17" s="327"/>
      <c r="F17" s="327"/>
      <c r="G17" s="327"/>
      <c r="H17" s="327"/>
      <c r="I17" s="327"/>
      <c r="J17" s="327"/>
      <c r="K17" s="327"/>
      <c r="M17" s="329"/>
      <c r="N17" s="329"/>
      <c r="Q17" s="265"/>
      <c r="R17" s="265"/>
      <c r="S17" s="265"/>
      <c r="T17" s="265"/>
      <c r="U17" s="265"/>
      <c r="V17" s="286"/>
    </row>
    <row r="18" spans="1:22" ht="13" customHeight="1">
      <c r="A18" s="276"/>
      <c r="B18" s="334" t="str">
        <f>IF('Summary | Sumário'!$D$6=Names!$B$3,Names!BL18,Names!BM18)</f>
        <v>Gross Loan Portfolio (R$ bn)</v>
      </c>
      <c r="C18" s="406">
        <f>'4. Credit | Crédito'!N12/1000000</f>
        <v>22.035053999999999</v>
      </c>
      <c r="D18" s="406">
        <f>'4. Credit | Crédito'!O12/1000000</f>
        <v>24.543993</v>
      </c>
      <c r="E18" s="406">
        <f>'4. Credit | Crédito'!P12/1000000</f>
        <v>25.129297999999999</v>
      </c>
      <c r="F18" s="406">
        <f>'4. Credit | Crédito'!Q12/1000000</f>
        <v>26.474360000000001</v>
      </c>
      <c r="G18" s="406">
        <f>'4. Credit | Crédito'!R12/1000000</f>
        <v>28.258742999999999</v>
      </c>
      <c r="H18" s="406">
        <f>'4. Credit | Crédito'!S12/1000000</f>
        <v>31.020837</v>
      </c>
      <c r="I18" s="406">
        <f>'4. Credit | Crédito'!T12/1000000</f>
        <v>32.143623531950205</v>
      </c>
      <c r="J18" s="406">
        <f>'4. Credit | Crédito'!U12/1000000</f>
        <v>35.674371416580001</v>
      </c>
      <c r="K18" s="406">
        <f>'4. Credit | Crédito'!V12/1000000</f>
        <v>38.059886803049999</v>
      </c>
      <c r="L18" s="295"/>
      <c r="M18" s="333">
        <f t="shared" ref="M18:M20" si="4">K18/J18-1</f>
        <v>6.686916382109831E-2</v>
      </c>
      <c r="N18" s="335">
        <f t="shared" ref="N18:N20" si="5">K18/G18-1</f>
        <v>0.3468358023939706</v>
      </c>
      <c r="Q18" s="265"/>
      <c r="R18" s="265"/>
      <c r="S18" s="265"/>
      <c r="T18" s="265"/>
      <c r="U18" s="265"/>
    </row>
    <row r="19" spans="1:22" ht="13" customHeight="1">
      <c r="A19" s="276"/>
      <c r="B19" s="22" t="str">
        <f>IF('Summary | Sumário'!$D$6=Names!$B$3,Names!BL19,Names!BM19)</f>
        <v>Funding (R$ bn)</v>
      </c>
      <c r="C19" s="293">
        <f>'5. Funding'!N15/1000000</f>
        <v>30.688589</v>
      </c>
      <c r="D19" s="293">
        <f>'5. Funding'!O15/1000000</f>
        <v>32.516818000000001</v>
      </c>
      <c r="E19" s="293">
        <f>'5. Funding'!P15/1000000</f>
        <v>33.532685000000001</v>
      </c>
      <c r="F19" s="293">
        <f>'5. Funding'!Q15/1000000</f>
        <v>35.665087040739998</v>
      </c>
      <c r="G19" s="293">
        <f>'5. Funding'!R15/1000000</f>
        <v>39.571626560479999</v>
      </c>
      <c r="H19" s="293">
        <f>'5. Funding'!S15/1000000</f>
        <v>43.513032000000003</v>
      </c>
      <c r="I19" s="293">
        <f>'5. Funding'!T15/1000000</f>
        <v>43.783581005715945</v>
      </c>
      <c r="J19" s="293">
        <f>'5. Funding'!U15/1000000</f>
        <v>47.759601090000004</v>
      </c>
      <c r="K19" s="293">
        <f>'5. Funding'!V15/1000000</f>
        <v>50.267846176159992</v>
      </c>
      <c r="L19" s="295"/>
      <c r="M19" s="294">
        <f t="shared" si="4"/>
        <v>5.2518133085604157E-2</v>
      </c>
      <c r="N19" s="298">
        <f t="shared" si="5"/>
        <v>0.27030022633343709</v>
      </c>
      <c r="Q19" s="253"/>
      <c r="R19" s="253"/>
      <c r="S19" s="253"/>
      <c r="T19" s="253"/>
      <c r="U19" s="253"/>
    </row>
    <row r="20" spans="1:22" ht="13" customHeight="1">
      <c r="A20" s="276"/>
      <c r="B20" s="16" t="str">
        <f>IF('Summary | Sumário'!$D$6=Names!$B$3,Names!BL20,Names!BM20)</f>
        <v>Shareholders` Equity (R$ bn)</v>
      </c>
      <c r="C20" s="295">
        <f>'2. BS | BP'!N38/1000000</f>
        <v>7.1403949999999998</v>
      </c>
      <c r="D20" s="295">
        <f>'2. BS | BP'!O38/1000000</f>
        <v>7.0891039999999998</v>
      </c>
      <c r="E20" s="295">
        <f>'2. BS | BP'!P38/1000000</f>
        <v>7.1399059999999999</v>
      </c>
      <c r="F20" s="295">
        <f>'2. BS | BP'!Q38/1000000</f>
        <v>7.3176579999999998</v>
      </c>
      <c r="G20" s="295">
        <f>'2. BS | BP'!R38/1000000</f>
        <v>7.3682270000000001</v>
      </c>
      <c r="H20" s="295">
        <f>'2. BS | BP'!S38/1000000</f>
        <v>7.5966909999999999</v>
      </c>
      <c r="I20" s="295">
        <f>'2. BS | BP'!T38/1000000</f>
        <v>8.5384530009060331</v>
      </c>
      <c r="J20" s="295">
        <f>'2. BS | BP'!U38/1000000</f>
        <v>8.6075355620000007</v>
      </c>
      <c r="K20" s="295">
        <f>'2. BS | BP'!V38/1000000</f>
        <v>8.8684832064129893</v>
      </c>
      <c r="L20" s="295"/>
      <c r="M20" s="296">
        <f t="shared" si="4"/>
        <v>3.0316185455568023E-2</v>
      </c>
      <c r="N20" s="303">
        <f t="shared" si="5"/>
        <v>0.20361156169767702</v>
      </c>
      <c r="Q20" s="253"/>
      <c r="R20" s="253"/>
      <c r="S20" s="253"/>
      <c r="T20" s="253"/>
      <c r="U20" s="253"/>
      <c r="V20" s="287"/>
    </row>
    <row r="21" spans="1:22" ht="13" customHeight="1">
      <c r="A21" s="276"/>
      <c r="B21" s="22" t="str">
        <f>IF('Summary | Sumário'!$D$6=Names!$B$3,Names!BL21,Names!BM21)</f>
        <v>Tier 1 Ratio (%)</v>
      </c>
      <c r="C21" s="304">
        <f>'7.1. Tier I Ratio | Basileia'!N21</f>
        <v>0.29799999999999999</v>
      </c>
      <c r="D21" s="304">
        <f>'7.1. Tier I Ratio | Basileia'!O21</f>
        <v>0.24099999999999999</v>
      </c>
      <c r="E21" s="304">
        <f>'7.1. Tier I Ratio | Basileia'!P21</f>
        <v>0.23</v>
      </c>
      <c r="F21" s="304">
        <f>'7.1. Tier I Ratio | Basileia'!Q21</f>
        <v>0.22800000000000001</v>
      </c>
      <c r="G21" s="304">
        <f>'7.1. Tier I Ratio | Basileia'!R21</f>
        <v>0.2374</v>
      </c>
      <c r="H21" s="304">
        <f>'7.1. Tier I Ratio | Basileia'!S21</f>
        <v>0.229501027251763</v>
      </c>
      <c r="I21" s="304">
        <f>'7.1. Tier I Ratio | Basileia'!T21</f>
        <v>0.20276529979036845</v>
      </c>
      <c r="J21" s="304">
        <f>'7.1. Tier I Ratio | Basileia'!U21</f>
        <v>0.19289246116070838</v>
      </c>
      <c r="K21" s="304">
        <f>'7.1. Tier I Ratio | Basileia'!V21</f>
        <v>0.17004172684835503</v>
      </c>
      <c r="L21" s="310"/>
      <c r="M21" s="305">
        <f>(K21-J21)*100</f>
        <v>-2.2850734312353351</v>
      </c>
      <c r="N21" s="306">
        <f>(K21-G21)*100</f>
        <v>-6.7358273151644967</v>
      </c>
      <c r="Q21" s="253"/>
      <c r="R21" s="253"/>
      <c r="S21" s="253"/>
      <c r="T21" s="253"/>
      <c r="U21" s="253"/>
    </row>
    <row r="22" spans="1:22" ht="13" customHeight="1">
      <c r="A22" s="276"/>
      <c r="B22" s="16"/>
      <c r="C22" s="285"/>
      <c r="D22" s="285"/>
      <c r="E22" s="285"/>
      <c r="F22" s="285"/>
      <c r="G22" s="285"/>
      <c r="H22" s="285"/>
      <c r="I22" s="285"/>
      <c r="J22" s="285"/>
      <c r="K22" s="285"/>
      <c r="L22" s="285"/>
      <c r="M22" s="297"/>
      <c r="N22" s="307"/>
      <c r="Q22" s="253"/>
      <c r="R22" s="253"/>
      <c r="S22" s="253"/>
      <c r="T22" s="253"/>
      <c r="U22" s="253"/>
    </row>
    <row r="23" spans="1:22" ht="13" customHeight="1">
      <c r="A23" s="276"/>
      <c r="B23" s="326" t="str">
        <f>IF('Summary | Sumário'!$D$6=Names!$B$3,Names!BL23,Names!BM23)</f>
        <v>Volume KPIs</v>
      </c>
      <c r="C23" s="327"/>
      <c r="D23" s="327"/>
      <c r="E23" s="327"/>
      <c r="F23" s="327"/>
      <c r="G23" s="327"/>
      <c r="H23" s="327"/>
      <c r="I23" s="327"/>
      <c r="J23" s="327"/>
      <c r="K23" s="327"/>
      <c r="M23" s="328"/>
      <c r="N23" s="328"/>
      <c r="Q23" s="253"/>
      <c r="R23" s="253"/>
      <c r="S23" s="253"/>
      <c r="T23" s="253"/>
      <c r="U23" s="253"/>
    </row>
    <row r="24" spans="1:22" ht="13" customHeight="1">
      <c r="A24" s="276"/>
      <c r="B24" s="331" t="str">
        <f>IF('Summary | Sumário'!$D$6=Names!$B$3,Names!BL24,Names!BM24)</f>
        <v>Cards + PIX TPV (R$ bn)</v>
      </c>
      <c r="C24" s="332">
        <f>'4. Digital Acou. | Conta Dig.'!K13/1000</f>
        <v>155.436500177</v>
      </c>
      <c r="D24" s="332">
        <f>'4. Digital Acou. | Conta Dig.'!L13/1000</f>
        <v>177.51524952346</v>
      </c>
      <c r="E24" s="332">
        <f>'4. Digital Acou. | Conta Dig.'!M13/1000</f>
        <v>181.36133153205003</v>
      </c>
      <c r="F24" s="332">
        <f>'4. Digital Acou. | Conta Dig.'!N13/1000</f>
        <v>196.99198220933999</v>
      </c>
      <c r="G24" s="332">
        <f>'4. Digital Acou. | Conta Dig.'!O13/1000</f>
        <v>219.41885998934995</v>
      </c>
      <c r="H24" s="332">
        <f>'4. Digital Acou. | Conta Dig.'!P13/1000</f>
        <v>253.47963343943999</v>
      </c>
      <c r="I24" s="332">
        <f>'4. Digital Acou. | Conta Dig.'!Q13/1000</f>
        <v>257.10899231503004</v>
      </c>
      <c r="J24" s="332">
        <f>'4. Digital Acou. | Conta Dig.'!R13/1000</f>
        <v>290.18742066855003</v>
      </c>
      <c r="K24" s="332">
        <f>'4. Digital Acou. | Conta Dig.'!S13/1000</f>
        <v>319.71058588529996</v>
      </c>
      <c r="L24" s="285"/>
      <c r="M24" s="333">
        <f t="shared" ref="M24:M26" si="6">K24/J24-1</f>
        <v>0.10173826676819009</v>
      </c>
      <c r="N24" s="335">
        <f t="shared" ref="N24:N26" si="7">K24/G24-1</f>
        <v>0.4570788759946065</v>
      </c>
      <c r="Q24" s="253"/>
      <c r="R24" s="253"/>
      <c r="S24" s="253"/>
      <c r="T24" s="253"/>
      <c r="U24" s="253"/>
    </row>
    <row r="25" spans="1:22" ht="13" customHeight="1">
      <c r="A25" s="276"/>
      <c r="B25" s="22" t="str">
        <f>IF('Summary | Sumário'!$D$6=Names!$B$3,Names!BL25,Names!BM25)</f>
        <v>GMV Inter Shop (R$ mm)</v>
      </c>
      <c r="C25" s="252">
        <f>'3. Inter Shop'!J5</f>
        <v>938.66564000000005</v>
      </c>
      <c r="D25" s="252">
        <f>'3. Inter Shop'!K5</f>
        <v>1003.4261218400001</v>
      </c>
      <c r="E25" s="252">
        <f>'3. Inter Shop'!L5</f>
        <v>829.25831872000003</v>
      </c>
      <c r="F25" s="252">
        <f>'3. Inter Shop'!M5</f>
        <v>755.63938086500002</v>
      </c>
      <c r="G25" s="252">
        <f>'3. Inter Shop'!N5</f>
        <v>869.35878100000002</v>
      </c>
      <c r="H25" s="252">
        <f>'3. Inter Shop'!O5</f>
        <v>1049.8873619999999</v>
      </c>
      <c r="I25" s="252">
        <f>'3. Inter Shop'!P5</f>
        <v>993.72802863999993</v>
      </c>
      <c r="J25" s="252">
        <f>'3. Inter Shop'!Q5</f>
        <v>1136.3548290000001</v>
      </c>
      <c r="K25" s="252">
        <f>'3. Inter Shop'!R5</f>
        <v>1381.38672453</v>
      </c>
      <c r="L25" s="253"/>
      <c r="M25" s="298">
        <f t="shared" si="6"/>
        <v>0.21562973930038187</v>
      </c>
      <c r="N25" s="298">
        <f t="shared" si="7"/>
        <v>0.58897195809194924</v>
      </c>
      <c r="Q25" s="253"/>
      <c r="R25" s="253"/>
      <c r="S25" s="253"/>
      <c r="T25" s="253"/>
      <c r="U25" s="253"/>
    </row>
    <row r="26" spans="1:22" ht="13" customHeight="1">
      <c r="A26" s="276"/>
      <c r="B26" s="16" t="str">
        <f>IF('Summary | Sumário'!$D$6=Names!$B$3,Names!BL26,Names!BM26)</f>
        <v>AUC  (R$ bn)</v>
      </c>
      <c r="C26" s="308">
        <f>'1. Inter Invest'!K5/1000</f>
        <v>62.349211153180001</v>
      </c>
      <c r="D26" s="308">
        <f>'1. Inter Invest'!L5/1000</f>
        <v>66.723736438719996</v>
      </c>
      <c r="E26" s="308">
        <f>'1. Inter Invest'!M5/1000</f>
        <v>67.986417997459967</v>
      </c>
      <c r="F26" s="308">
        <f>'1. Inter Invest'!N5/1000</f>
        <v>76.842170568875446</v>
      </c>
      <c r="G26" s="308">
        <f>'1. Inter Invest'!O5/1000</f>
        <v>82.892927662269997</v>
      </c>
      <c r="H26" s="308">
        <f>'1. Inter Invest'!P5/1000</f>
        <v>91.798553433999999</v>
      </c>
      <c r="I26" s="308">
        <f>'1. Inter Invest'!Q5/1000</f>
        <v>94.882291527389754</v>
      </c>
      <c r="J26" s="308">
        <f>'1. Inter Invest'!R5/1000</f>
        <v>105.21894690225135</v>
      </c>
      <c r="K26" s="308">
        <f>'1. Inter Invest'!S5/1000</f>
        <v>122.48950214693321</v>
      </c>
      <c r="L26" s="308"/>
      <c r="M26" s="300">
        <f t="shared" si="6"/>
        <v>0.16413921402127563</v>
      </c>
      <c r="N26" s="300">
        <f t="shared" si="7"/>
        <v>0.47768338748983763</v>
      </c>
      <c r="Q26" s="253"/>
      <c r="R26" s="253"/>
      <c r="S26" s="253"/>
      <c r="T26" s="253"/>
      <c r="U26" s="253"/>
    </row>
    <row r="27" spans="1:22" ht="13" customHeight="1">
      <c r="A27" s="276"/>
      <c r="B27" s="22"/>
      <c r="C27" s="252"/>
      <c r="D27" s="252"/>
      <c r="E27" s="252"/>
      <c r="F27" s="252"/>
      <c r="G27" s="252"/>
      <c r="H27" s="252"/>
      <c r="I27" s="252"/>
      <c r="J27" s="252"/>
      <c r="K27" s="252"/>
      <c r="L27" s="253"/>
      <c r="M27" s="309"/>
      <c r="N27" s="309"/>
      <c r="Q27" s="253"/>
      <c r="R27" s="253"/>
      <c r="S27" s="253"/>
      <c r="T27" s="253"/>
      <c r="U27" s="253"/>
    </row>
    <row r="28" spans="1:22" ht="13" customHeight="1">
      <c r="A28" s="276"/>
      <c r="B28" s="117" t="str">
        <f>IF('Summary | Sumário'!$D$6=Names!$B$3,Names!BL28,Names!BM28)</f>
        <v>Asset Quality</v>
      </c>
      <c r="M28" s="330"/>
      <c r="N28" s="330"/>
      <c r="Q28" s="289"/>
      <c r="R28" s="289"/>
      <c r="S28" s="289"/>
      <c r="T28" s="289"/>
      <c r="U28" s="265"/>
    </row>
    <row r="29" spans="1:22" ht="13" customHeight="1">
      <c r="A29" s="276"/>
      <c r="B29" s="336" t="str">
        <f>IF('Summary | Sumário'!$D$6=Names!$B$3,Names!BL29,Names!BM29)</f>
        <v>NPL &gt; 90 days (%)</v>
      </c>
      <c r="C29" s="337">
        <f>'4. Credit | Crédito'!N22</f>
        <v>3.8069376847907885E-2</v>
      </c>
      <c r="D29" s="337">
        <f>'4. Credit | Crédito'!O22</f>
        <v>4.07236995153967E-2</v>
      </c>
      <c r="E29" s="337">
        <f>'4. Credit | Crédito'!P22</f>
        <v>4.425561390533074E-2</v>
      </c>
      <c r="F29" s="337">
        <f>'4. Credit | Crédito'!Q22</f>
        <v>4.6937273988870744E-2</v>
      </c>
      <c r="G29" s="337">
        <f>'4. Credit | Crédito'!R22</f>
        <v>4.6873218175344886E-2</v>
      </c>
      <c r="H29" s="337">
        <f>'4. Credit | Crédito'!S22</f>
        <v>4.5948866208864708E-2</v>
      </c>
      <c r="I29" s="337">
        <f>'4. Credit | Crédito'!T22</f>
        <v>4.8307930395170035E-2</v>
      </c>
      <c r="J29" s="337">
        <f>'4. Credit | Crédito'!U22</f>
        <v>4.6618172011492563E-2</v>
      </c>
      <c r="K29" s="337">
        <f>'4. Credit | Crédito'!V22</f>
        <v>4.5182000499596732E-2</v>
      </c>
      <c r="L29" s="310"/>
      <c r="M29" s="338">
        <f t="shared" ref="M29:M31" si="8">(K29-J29)*100</f>
        <v>-0.14361715118958313</v>
      </c>
      <c r="N29" s="339">
        <f t="shared" ref="N29:N31" si="9">(K29-G29)*100</f>
        <v>-0.16912176757481537</v>
      </c>
      <c r="Q29" s="265"/>
      <c r="R29" s="265"/>
      <c r="S29" s="265"/>
      <c r="T29" s="265"/>
      <c r="U29" s="265"/>
    </row>
    <row r="30" spans="1:22" ht="13" customHeight="1">
      <c r="A30" s="276"/>
      <c r="B30" s="123" t="str">
        <f>IF('Summary | Sumário'!$D$6=Names!$B$3,Names!BL30,Names!BM30)</f>
        <v>NPL 15-90 days (%)</v>
      </c>
      <c r="C30" s="310">
        <f>'4. Credit | Crédito'!N28</f>
        <v>4.314105737204002E-2</v>
      </c>
      <c r="D30" s="310">
        <f>'4. Credit | Crédito'!O28</f>
        <v>4.1430841865461747E-2</v>
      </c>
      <c r="E30" s="310">
        <f>'4. Credit | Crédito'!P28</f>
        <v>4.3458095606172524E-2</v>
      </c>
      <c r="F30" s="310">
        <f>'4. Credit | Crédito'!Q28</f>
        <v>4.1964720582480561E-2</v>
      </c>
      <c r="G30" s="310">
        <f>'4. Credit | Crédito'!R28</f>
        <v>4.2636576262433189E-2</v>
      </c>
      <c r="H30" s="310">
        <f>'4. Credit | Crédito'!S28</f>
        <v>4.0071198175600488E-2</v>
      </c>
      <c r="I30" s="310">
        <f>'4. Credit | Crédito'!T28</f>
        <v>4.4087392795071748E-2</v>
      </c>
      <c r="J30" s="310">
        <f>'4. Credit | Crédito'!U28</f>
        <v>3.9289590020879214E-2</v>
      </c>
      <c r="K30" s="310">
        <f>'4. Credit | Crédito'!V28</f>
        <v>3.6008983670181932E-2</v>
      </c>
      <c r="L30" s="310"/>
      <c r="M30" s="311">
        <f t="shared" si="8"/>
        <v>-0.32806063506972821</v>
      </c>
      <c r="N30" s="312">
        <f t="shared" si="9"/>
        <v>-0.66275925922512569</v>
      </c>
      <c r="Q30" s="265"/>
      <c r="R30" s="265"/>
      <c r="S30" s="265"/>
      <c r="T30" s="265"/>
      <c r="U30" s="265"/>
    </row>
    <row r="31" spans="1:22" ht="13" customHeight="1">
      <c r="A31" s="276"/>
      <c r="B31" s="22" t="str">
        <f>IF('Summary | Sumário'!$D$6=Names!$B$3,Names!BL31,Names!BM31)</f>
        <v>Coverage Ratio (%)</v>
      </c>
      <c r="C31" s="304">
        <f>'4. Credit | Crédito'!N23</f>
        <v>1.4118731449552733</v>
      </c>
      <c r="D31" s="304">
        <f>'4. Credit | Crédito'!O23</f>
        <v>1.3190422438713376</v>
      </c>
      <c r="E31" s="304">
        <f>'4. Credit | Crédito'!P23</f>
        <v>1.3143517286753656</v>
      </c>
      <c r="F31" s="304">
        <f>'4. Credit | Crédito'!Q23</f>
        <v>1.3015905116392614</v>
      </c>
      <c r="G31" s="304">
        <f>'4. Credit | Crédito'!R23</f>
        <v>1.3188960574080884</v>
      </c>
      <c r="H31" s="304">
        <f>'4. Credit | Crédito'!S23</f>
        <v>1.3215901659780338</v>
      </c>
      <c r="I31" s="304">
        <f>'4. Credit | Crédito'!T23</f>
        <v>1.3083710464130354</v>
      </c>
      <c r="J31" s="304">
        <f>'4. Credit | Crédito'!U23</f>
        <v>1.3017531336546826</v>
      </c>
      <c r="K31" s="304">
        <f>'4. Credit | Crédito'!V23</f>
        <v>1.2953230440503141</v>
      </c>
      <c r="L31" s="310"/>
      <c r="M31" s="305">
        <f t="shared" si="8"/>
        <v>-0.64300896043685274</v>
      </c>
      <c r="N31" s="306">
        <f t="shared" si="9"/>
        <v>-2.3573013357774286</v>
      </c>
      <c r="Q31" s="285"/>
      <c r="R31" s="285"/>
      <c r="S31" s="285"/>
      <c r="T31" s="285"/>
      <c r="U31" s="285"/>
    </row>
    <row r="32" spans="1:22" ht="13" customHeight="1">
      <c r="A32" s="276"/>
      <c r="B32" s="124"/>
      <c r="C32" s="285"/>
      <c r="D32" s="285"/>
      <c r="E32" s="285"/>
      <c r="F32" s="285"/>
      <c r="G32" s="285"/>
      <c r="H32" s="285"/>
      <c r="I32" s="285"/>
      <c r="J32" s="285"/>
      <c r="K32" s="285"/>
      <c r="L32" s="285"/>
      <c r="M32" s="297"/>
      <c r="N32" s="307"/>
      <c r="Q32" s="253"/>
      <c r="R32" s="253"/>
      <c r="S32" s="253"/>
      <c r="T32" s="253"/>
      <c r="U32" s="253"/>
    </row>
    <row r="33" spans="1:21" ht="13" customHeight="1">
      <c r="A33" s="276"/>
      <c r="B33" s="326" t="str">
        <f>IF('Summary | Sumário'!$D$6=Names!$B$3,Names!BL33,Names!BM33)</f>
        <v>Performance KPIs</v>
      </c>
      <c r="C33" s="327"/>
      <c r="D33" s="327"/>
      <c r="E33" s="327"/>
      <c r="F33" s="327"/>
      <c r="G33" s="327"/>
      <c r="H33" s="327"/>
      <c r="I33" s="327"/>
      <c r="J33" s="327"/>
      <c r="K33" s="327"/>
      <c r="M33" s="328"/>
      <c r="N33" s="328"/>
      <c r="Q33" s="253"/>
      <c r="R33" s="253"/>
      <c r="S33" s="253"/>
      <c r="T33" s="253"/>
      <c r="U33" s="253"/>
    </row>
    <row r="34" spans="1:21" ht="13" customHeight="1">
      <c r="A34" s="276"/>
      <c r="B34" s="331" t="str">
        <f>IF('Summary | Sumário'!$D$6=Names!$B$3,Names!BL34,Names!BM34)</f>
        <v>NIM 1.0 (%)</v>
      </c>
      <c r="C34" s="340">
        <f>'7.2. NIMs'!N14</f>
        <v>6.3804563889878999E-2</v>
      </c>
      <c r="D34" s="340">
        <f>'7.2. NIMs'!O14</f>
        <v>7.2326106208657676E-2</v>
      </c>
      <c r="E34" s="340">
        <f>'7.2. NIMs'!P14</f>
        <v>7.4154768372393848E-2</v>
      </c>
      <c r="F34" s="340">
        <f>'7.2. NIMs'!Q14</f>
        <v>8.1292947827274115E-2</v>
      </c>
      <c r="G34" s="340">
        <f>'7.2. NIMs'!R14</f>
        <v>7.8011077819640784E-2</v>
      </c>
      <c r="H34" s="340">
        <f>'7.2. NIMs'!S14</f>
        <v>7.6016105585943614E-2</v>
      </c>
      <c r="I34" s="340">
        <f>'7.2. NIMs'!T14</f>
        <v>7.8008672381001315E-2</v>
      </c>
      <c r="J34" s="340">
        <f>'7.2. NIMs'!U14</f>
        <v>7.8135655650361471E-2</v>
      </c>
      <c r="K34" s="340">
        <f>'7.2. NIMs'!V14</f>
        <v>8.1286365750537298E-2</v>
      </c>
      <c r="L34" s="310"/>
      <c r="M34" s="341">
        <f t="shared" ref="M34:M40" si="10">(K34-J34)*100</f>
        <v>0.3150710100175827</v>
      </c>
      <c r="N34" s="342">
        <f t="shared" ref="N34:N40" si="11">(K34-G34)*100</f>
        <v>0.32752879308965144</v>
      </c>
      <c r="Q34" s="253"/>
      <c r="R34" s="253"/>
      <c r="S34" s="253"/>
      <c r="T34" s="253"/>
      <c r="U34" s="253"/>
    </row>
    <row r="35" spans="1:21" ht="13" customHeight="1">
      <c r="A35" s="276"/>
      <c r="B35" s="414" t="str">
        <f>IF('Summary | Sumário'!$D$6=Names!$B$3,Names!BL39,Names!BM39)</f>
        <v>Risk-Adjusted NIM 1.0 (%)</v>
      </c>
      <c r="C35" s="415">
        <f>'7.2. NIMs'!N41</f>
        <v>3.3588255497788655E-2</v>
      </c>
      <c r="D35" s="415">
        <f>'7.2. NIMs'!O41</f>
        <v>4.3976466759891378E-2</v>
      </c>
      <c r="E35" s="415">
        <f>'7.2. NIMs'!P41</f>
        <v>3.7608866774543018E-2</v>
      </c>
      <c r="F35" s="415">
        <f>'7.2. NIMs'!Q41</f>
        <v>4.0897576713552368E-2</v>
      </c>
      <c r="G35" s="415">
        <f>'7.2. NIMs'!R41</f>
        <v>3.9137013848690422E-2</v>
      </c>
      <c r="H35" s="415">
        <f>'7.2. NIMs'!S41</f>
        <v>4.2651452420236727E-2</v>
      </c>
      <c r="I35" s="415">
        <f>'7.2. NIMs'!T41</f>
        <v>4.4974304044865125E-2</v>
      </c>
      <c r="J35" s="415">
        <f>'7.2. NIMs'!U41</f>
        <v>4.6169524030878789E-2</v>
      </c>
      <c r="K35" s="415">
        <f>'7.2. NIMs'!V41</f>
        <v>4.7516614036234812E-2</v>
      </c>
      <c r="L35" s="310"/>
      <c r="M35" s="416">
        <f t="shared" si="10"/>
        <v>0.13470900053560234</v>
      </c>
      <c r="N35" s="417">
        <f t="shared" si="11"/>
        <v>0.83796001875443904</v>
      </c>
      <c r="Q35" s="253"/>
      <c r="R35" s="253"/>
      <c r="S35" s="253"/>
      <c r="T35" s="253"/>
      <c r="U35" s="253"/>
    </row>
    <row r="36" spans="1:21" ht="13" customHeight="1">
      <c r="A36" s="276"/>
      <c r="B36" s="16" t="str">
        <f>IF('Summary | Sumário'!$D$6=Names!$B$3,Names!BL35,Names!BM35)</f>
        <v>NIM 2.0 - IEP Only (%)</v>
      </c>
      <c r="C36" s="413">
        <f>'7.2. NIMs'!N28</f>
        <v>7.4497874078582174E-2</v>
      </c>
      <c r="D36" s="413">
        <f>'7.2. NIMs'!O28</f>
        <v>8.4173192464300134E-2</v>
      </c>
      <c r="E36" s="413">
        <f>'7.2. NIMs'!P28</f>
        <v>8.6679395326141259E-2</v>
      </c>
      <c r="F36" s="413">
        <f>'7.2. NIMs'!Q28</f>
        <v>9.5275870614249816E-2</v>
      </c>
      <c r="G36" s="413">
        <f>'7.2. NIMs'!R28</f>
        <v>9.1881395447457576E-2</v>
      </c>
      <c r="H36" s="413">
        <f>'7.2. NIMs'!S28</f>
        <v>8.9925313340997362E-2</v>
      </c>
      <c r="I36" s="413">
        <f>'7.2. NIMs'!T28</f>
        <v>9.2313259386583357E-2</v>
      </c>
      <c r="J36" s="413">
        <f>'7.2. NIMs'!U28</f>
        <v>9.2300802453283856E-2</v>
      </c>
      <c r="K36" s="413">
        <f>'7.2. NIMs'!V28</f>
        <v>9.5686227541557228E-2</v>
      </c>
      <c r="L36" s="413"/>
      <c r="M36" s="311">
        <f t="shared" si="10"/>
        <v>0.33854250882733722</v>
      </c>
      <c r="N36" s="312">
        <f t="shared" si="11"/>
        <v>0.38048320940996527</v>
      </c>
      <c r="Q36" s="253"/>
      <c r="R36" s="253"/>
      <c r="S36" s="253"/>
      <c r="T36" s="253"/>
      <c r="U36" s="253"/>
    </row>
    <row r="37" spans="1:21" ht="13" customHeight="1">
      <c r="A37" s="276"/>
      <c r="B37" s="414" t="str">
        <f>IF('Summary | Sumário'!$D$6=Names!$B$3,Names!BL40,Names!BM40)</f>
        <v>Risk-Adjusted NIM 2.0 (%)</v>
      </c>
      <c r="C37" s="418">
        <f>'7.2. NIMs'!N56</f>
        <v>3.9217470914967335E-2</v>
      </c>
      <c r="D37" s="418">
        <f>'7.2. NIMs'!O56</f>
        <v>5.1179854612954906E-2</v>
      </c>
      <c r="E37" s="418">
        <f>'7.2. NIMs'!P56</f>
        <v>4.3960946847652567E-2</v>
      </c>
      <c r="F37" s="418">
        <f>'7.2. NIMs'!Q56</f>
        <v>4.7932229443517146E-2</v>
      </c>
      <c r="G37" s="418">
        <f>'7.2. NIMs'!R56</f>
        <v>4.6095548819078042E-2</v>
      </c>
      <c r="H37" s="418">
        <f>'7.2. NIMs'!S56</f>
        <v>5.0455692169103339E-2</v>
      </c>
      <c r="I37" s="418">
        <f>'7.2. NIMs'!T56</f>
        <v>5.322132101860811E-2</v>
      </c>
      <c r="J37" s="418">
        <f>'7.2. NIMs'!U56</f>
        <v>5.4539557919695662E-2</v>
      </c>
      <c r="K37" s="418">
        <f>'7.2. NIMs'!V56</f>
        <v>5.5934171748174923E-2</v>
      </c>
      <c r="L37" s="413"/>
      <c r="M37" s="416">
        <f t="shared" si="10"/>
        <v>0.13946138284792603</v>
      </c>
      <c r="N37" s="417">
        <f t="shared" si="11"/>
        <v>0.98386229290968807</v>
      </c>
      <c r="Q37" s="253"/>
      <c r="R37" s="253"/>
      <c r="S37" s="253"/>
      <c r="T37" s="253"/>
      <c r="U37" s="253"/>
    </row>
    <row r="38" spans="1:21" ht="13" customHeight="1">
      <c r="A38" s="276"/>
      <c r="B38" s="16" t="str">
        <f>IF('Summary | Sumário'!$D$6=Names!$B$3,Names!BL36,Names!BM36)</f>
        <v>All-in Cost of Funding (% of CDI)</v>
      </c>
      <c r="C38" s="260">
        <f>'5. Funding'!N25</f>
        <v>0.59005529184779504</v>
      </c>
      <c r="D38" s="260">
        <f>'5. Funding'!O25</f>
        <v>0.54834646565066081</v>
      </c>
      <c r="E38" s="260">
        <f>'5. Funding'!P25</f>
        <v>0.59697348816995932</v>
      </c>
      <c r="F38" s="260">
        <f>'5. Funding'!Q25</f>
        <v>0.5862739307988849</v>
      </c>
      <c r="G38" s="260">
        <f>'5. Funding'!R25</f>
        <v>0.61707902823666128</v>
      </c>
      <c r="H38" s="260">
        <f>'5. Funding'!S25</f>
        <v>0.59171705967014232</v>
      </c>
      <c r="I38" s="260">
        <f>'5. Funding'!T25</f>
        <v>0.61920574215306567</v>
      </c>
      <c r="J38" s="260">
        <f>'5. Funding'!U25</f>
        <v>0.64262556661987569</v>
      </c>
      <c r="K38" s="260">
        <f>'5. Funding'!V25</f>
        <v>0.65381218096200522</v>
      </c>
      <c r="L38" s="260"/>
      <c r="M38" s="311">
        <f t="shared" si="10"/>
        <v>1.1186614342129531</v>
      </c>
      <c r="N38" s="312">
        <f t="shared" si="11"/>
        <v>3.6733152725343943</v>
      </c>
      <c r="Q38" s="253"/>
      <c r="R38" s="253"/>
      <c r="S38" s="253"/>
      <c r="T38" s="253"/>
      <c r="U38" s="253"/>
    </row>
    <row r="39" spans="1:21" ht="13" customHeight="1">
      <c r="A39" s="276"/>
      <c r="B39" s="419" t="str">
        <f>IF('Summary | Sumário'!$D$6=Names!$B$3,Names!BL37,Names!BM37)</f>
        <v>Efficiency Ratio (%)</v>
      </c>
      <c r="C39" s="420">
        <f>'7.3. Efficiency | Eficiência'!N14</f>
        <v>0.75028931719132097</v>
      </c>
      <c r="D39" s="420">
        <f>'7.3. Efficiency | Eficiência'!O14</f>
        <v>0.73439417574268773</v>
      </c>
      <c r="E39" s="420">
        <f>'7.3. Efficiency | Eficiência'!P14</f>
        <v>0.62351057373347107</v>
      </c>
      <c r="F39" s="420">
        <f>'7.3. Efficiency | Eficiência'!Q14</f>
        <v>0.53383674950420901</v>
      </c>
      <c r="G39" s="420">
        <f>'7.3. Efficiency | Eficiência'!R14</f>
        <v>0.52425869323134722</v>
      </c>
      <c r="H39" s="420">
        <f>'7.3. Efficiency | Eficiência'!S14</f>
        <v>0.51364339974584727</v>
      </c>
      <c r="I39" s="420">
        <f>'7.3. Efficiency | Eficiência'!T14</f>
        <v>0.47740981275189837</v>
      </c>
      <c r="J39" s="420">
        <f>'7.3. Efficiency | Eficiência'!U14</f>
        <v>0.47859537792112389</v>
      </c>
      <c r="K39" s="420">
        <f>'7.3. Efficiency | Eficiência'!V14</f>
        <v>0.50700722132018838</v>
      </c>
      <c r="L39" s="313"/>
      <c r="M39" s="416">
        <f t="shared" si="10"/>
        <v>2.8411843399064498</v>
      </c>
      <c r="N39" s="417">
        <f t="shared" si="11"/>
        <v>-1.7251471911158833</v>
      </c>
      <c r="Q39" s="289"/>
      <c r="R39" s="289"/>
      <c r="S39" s="289"/>
      <c r="T39" s="289"/>
      <c r="U39" s="265"/>
    </row>
    <row r="40" spans="1:21" ht="13" customHeight="1">
      <c r="A40" s="276"/>
      <c r="B40" s="123" t="str">
        <f>IF('Summary | Sumário'!$D$6=Names!$B$3,Names!BL38,Names!BM38)</f>
        <v>ROE (%)</v>
      </c>
      <c r="C40" s="313">
        <f>'7. Financial KPIs (Financeiros)'!N14</f>
        <v>-1.6608156020408833E-2</v>
      </c>
      <c r="D40" s="313">
        <f>'7. Financial KPIs (Financeiros)'!O14</f>
        <v>1.6199070395942601E-2</v>
      </c>
      <c r="E40" s="313">
        <f>'7. Financial KPIs (Financeiros)'!P14</f>
        <v>1.3615002027547946E-2</v>
      </c>
      <c r="F40" s="313">
        <f>'7. Financial KPIs (Financeiros)'!Q14</f>
        <v>3.5509163231094806E-2</v>
      </c>
      <c r="G40" s="313">
        <f>'7. Financial KPIs (Financeiros)'!R14</f>
        <v>5.6740741194691365E-2</v>
      </c>
      <c r="H40" s="313">
        <f>'7. Financial KPIs (Financeiros)'!S14</f>
        <v>8.537951387371448E-2</v>
      </c>
      <c r="I40" s="313">
        <f>'7. Financial KPIs (Financeiros)'!T14</f>
        <v>9.6792442627862685E-2</v>
      </c>
      <c r="J40" s="313">
        <f>'7. Financial KPIs (Financeiros)'!U14</f>
        <v>0.10388990595238404</v>
      </c>
      <c r="K40" s="313">
        <f>'7. Financial KPIs (Financeiros)'!V14</f>
        <v>0.11902212094810076</v>
      </c>
      <c r="L40" s="313"/>
      <c r="M40" s="311">
        <f t="shared" si="10"/>
        <v>1.5132214995716722</v>
      </c>
      <c r="N40" s="312">
        <f t="shared" si="11"/>
        <v>6.2281379753409398</v>
      </c>
      <c r="Q40" s="289"/>
      <c r="R40" s="289"/>
      <c r="S40" s="289"/>
      <c r="T40" s="289"/>
      <c r="U40" s="265"/>
    </row>
    <row r="41" spans="1:21" ht="13" customHeight="1">
      <c r="A41" s="276"/>
      <c r="B41" s="18"/>
      <c r="Q41" s="289"/>
      <c r="R41" s="289"/>
      <c r="S41" s="289"/>
      <c r="T41" s="289"/>
      <c r="U41" s="265"/>
    </row>
    <row r="42" spans="1:21" ht="13" customHeight="1">
      <c r="B42" s="18"/>
      <c r="C42" s="290"/>
      <c r="D42" s="290"/>
      <c r="E42" s="290"/>
      <c r="F42" s="290"/>
      <c r="G42" s="290"/>
      <c r="H42" s="290"/>
      <c r="I42" s="290"/>
      <c r="J42" s="290"/>
      <c r="K42" s="290"/>
      <c r="L42" s="290"/>
      <c r="M42" s="290"/>
      <c r="N42" s="290"/>
      <c r="O42" s="290"/>
      <c r="P42" s="290"/>
      <c r="Q42" s="290"/>
      <c r="R42" s="290"/>
      <c r="S42" s="290"/>
      <c r="T42" s="290"/>
      <c r="U42" s="290"/>
    </row>
    <row r="43" spans="1:21" ht="13" customHeight="1">
      <c r="B43" s="18"/>
      <c r="C43" s="290"/>
      <c r="D43" s="290"/>
      <c r="E43" s="290"/>
      <c r="F43" s="290"/>
      <c r="G43" s="290"/>
      <c r="H43" s="290"/>
      <c r="I43" s="290"/>
      <c r="J43" s="290"/>
      <c r="K43" s="290"/>
      <c r="L43" s="290"/>
      <c r="M43" s="290"/>
      <c r="N43" s="290"/>
      <c r="O43" s="290"/>
      <c r="P43" s="290"/>
      <c r="Q43" s="290"/>
      <c r="R43" s="290"/>
      <c r="S43" s="290"/>
      <c r="T43" s="290"/>
      <c r="U43" s="290"/>
    </row>
    <row r="45" spans="1:21" ht="13" customHeight="1">
      <c r="E45" s="291"/>
    </row>
  </sheetData>
  <sheetProtection algorithmName="SHA-512" hashValue="Wuq8IlCc2gvquNjIvzXyrn7o7qItoTcI2dE9tHsp8dYVwdBpz99ViWnqRJIarQ3ShqkklCO6ZBQBp8b9l9bSDw==" saltValue="JdCe8aV88jZTsPNYQ2g6jw=="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03347-86B6-1F4F-BD4E-8994EF4F3A57}">
  <sheetPr codeName="Sheet3">
    <tabColor rgb="FFEB7100"/>
  </sheetPr>
  <dimension ref="A1:AC47"/>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87" customWidth="1"/>
    <col min="2" max="2" width="68.33203125" style="15" bestFit="1" customWidth="1"/>
    <col min="3" max="22" width="10.83203125" style="292" customWidth="1"/>
    <col min="23" max="23" width="4.83203125" style="292" customWidth="1"/>
    <col min="24" max="26" width="10.83203125" style="292" customWidth="1"/>
    <col min="27" max="27" width="10.83203125" style="187"/>
    <col min="28" max="29" width="10.83203125" style="187" customWidth="1"/>
    <col min="30" max="16384" width="10.83203125" style="187"/>
  </cols>
  <sheetData>
    <row r="1" spans="1:29" s="280" customFormat="1" ht="13" customHeight="1">
      <c r="B1" s="9"/>
      <c r="C1" s="281"/>
      <c r="D1" s="281"/>
      <c r="E1" s="281"/>
      <c r="F1" s="281"/>
      <c r="G1" s="281"/>
      <c r="H1" s="281"/>
      <c r="I1" s="281"/>
      <c r="J1" s="281"/>
      <c r="K1" s="281"/>
      <c r="L1" s="281"/>
      <c r="M1" s="281"/>
      <c r="N1" s="281"/>
      <c r="O1" s="281"/>
      <c r="P1" s="281"/>
      <c r="Q1" s="281"/>
      <c r="R1" s="281"/>
      <c r="S1" s="281"/>
      <c r="T1" s="281"/>
      <c r="U1" s="281"/>
      <c r="V1" s="281"/>
      <c r="W1" s="281"/>
      <c r="X1" s="281"/>
      <c r="Y1" s="281"/>
      <c r="Z1" s="281"/>
    </row>
    <row r="2" spans="1:29" s="10" customFormat="1" ht="13" customHeight="1">
      <c r="B2" s="319" t="str">
        <f>IF('Summary | Sumário'!D6=Names!B3,Names!K1,Names!L1)</f>
        <v>Balance Sheet (IFRS, R$ Thousands)</v>
      </c>
      <c r="C2" s="133">
        <f>IF('Summary | Sumário'!D6=Names!B3,Names!C2,Names!D2)</f>
        <v>2019</v>
      </c>
      <c r="D2" s="133">
        <f>IF('Summary | Sumário'!D6=Names!B3,Names!C3,Names!D3)</f>
        <v>2020</v>
      </c>
      <c r="E2" s="133">
        <f>IF('Summary | Sumário'!D6=Names!B3,Names!C4,Names!D4)</f>
        <v>2021</v>
      </c>
      <c r="F2" s="133">
        <f>IF('Summary | Sumário'!D6=Names!B3,Names!C5,Names!D5)</f>
        <v>2022</v>
      </c>
      <c r="G2" s="348">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1"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1:29" s="280" customFormat="1" ht="13" customHeight="1">
      <c r="B3" s="14"/>
      <c r="C3" s="146"/>
      <c r="D3" s="146"/>
      <c r="E3" s="146"/>
      <c r="F3" s="146"/>
      <c r="G3" s="147"/>
      <c r="H3" s="147"/>
      <c r="I3" s="147"/>
      <c r="J3" s="147"/>
      <c r="K3" s="147"/>
      <c r="L3" s="147"/>
      <c r="M3" s="147"/>
      <c r="N3" s="147"/>
      <c r="O3" s="147"/>
      <c r="P3" s="147"/>
      <c r="Q3" s="147"/>
      <c r="R3" s="147"/>
      <c r="S3" s="147"/>
      <c r="T3" s="147"/>
      <c r="U3" s="147"/>
      <c r="V3" s="147"/>
      <c r="W3" s="147"/>
      <c r="X3" s="137"/>
      <c r="Y3" s="137"/>
      <c r="Z3" s="147"/>
    </row>
    <row r="4" spans="1:29" ht="13" customHeight="1">
      <c r="A4" s="276"/>
      <c r="B4" s="9" t="str">
        <f>IF('Summary | Sumário'!D6=Names!B3,Names!K2,Names!L2)</f>
        <v>Assets</v>
      </c>
      <c r="C4" s="282"/>
      <c r="D4" s="282"/>
      <c r="E4" s="282"/>
      <c r="F4" s="282"/>
      <c r="G4" s="283"/>
      <c r="H4" s="282"/>
      <c r="I4" s="282"/>
      <c r="J4" s="282"/>
      <c r="K4" s="282"/>
      <c r="L4" s="282"/>
      <c r="M4" s="282"/>
      <c r="N4" s="283"/>
      <c r="O4" s="283"/>
      <c r="P4" s="283"/>
      <c r="Q4" s="283"/>
      <c r="R4" s="283"/>
      <c r="S4" s="283"/>
      <c r="T4" s="283"/>
      <c r="U4" s="283"/>
      <c r="V4" s="283"/>
      <c r="W4" s="283"/>
      <c r="X4" s="187"/>
      <c r="Y4" s="187"/>
      <c r="Z4" s="283"/>
    </row>
    <row r="5" spans="1:29" ht="13" customHeight="1">
      <c r="A5" s="276"/>
      <c r="B5" s="22" t="str">
        <f>IF('Summary | Sumário'!D6=Names!B3,Names!K3,Names!L3)</f>
        <v>Cash and cash equivalents</v>
      </c>
      <c r="C5" s="284">
        <v>3114789</v>
      </c>
      <c r="D5" s="284">
        <v>2154687</v>
      </c>
      <c r="E5" s="284">
        <f>K5</f>
        <v>500446</v>
      </c>
      <c r="F5" s="284">
        <f>O5</f>
        <v>1331648</v>
      </c>
      <c r="G5" s="284">
        <f>S5</f>
        <v>4259379</v>
      </c>
      <c r="H5" s="284">
        <v>906123</v>
      </c>
      <c r="I5" s="284">
        <v>5731007.0010000002</v>
      </c>
      <c r="J5" s="284">
        <v>451774.29800000001</v>
      </c>
      <c r="K5" s="284">
        <v>500446</v>
      </c>
      <c r="L5" s="284">
        <v>1171654</v>
      </c>
      <c r="M5" s="284">
        <v>1549158</v>
      </c>
      <c r="N5" s="284">
        <v>838310</v>
      </c>
      <c r="O5" s="284">
        <v>1331648</v>
      </c>
      <c r="P5" s="284">
        <v>1791707</v>
      </c>
      <c r="Q5" s="284">
        <v>3672219</v>
      </c>
      <c r="R5" s="284">
        <v>4297077.8057988677</v>
      </c>
      <c r="S5" s="284">
        <v>4259379</v>
      </c>
      <c r="T5" s="284">
        <v>2830309.989293688</v>
      </c>
      <c r="U5" s="284">
        <v>2797339.324</v>
      </c>
      <c r="V5" s="284">
        <v>2273564.7124805576</v>
      </c>
      <c r="W5" s="285"/>
      <c r="X5" s="304">
        <f t="shared" ref="X5:X17" si="0">V5/U5-1</f>
        <v>-0.18724028473259413</v>
      </c>
      <c r="Y5" s="304">
        <f t="shared" ref="Y5:Y17" si="1">V5/R5-1</f>
        <v>-0.47090445757989241</v>
      </c>
      <c r="Z5" s="285"/>
    </row>
    <row r="6" spans="1:29" ht="13" customHeight="1">
      <c r="A6" s="276"/>
      <c r="B6" s="16" t="str">
        <f>IF('Summary | Sumário'!D6=Names!B3,Names!K4,Names!L4)</f>
        <v>Amounts due from financial institutions</v>
      </c>
      <c r="C6" s="285">
        <v>256097</v>
      </c>
      <c r="D6" s="285">
        <v>502369</v>
      </c>
      <c r="E6" s="285">
        <f t="shared" ref="E6:E17" si="2">K6</f>
        <v>2051862</v>
      </c>
      <c r="F6" s="285">
        <f t="shared" ref="F6:F17" si="3">O6</f>
        <v>4258856</v>
      </c>
      <c r="G6" s="285">
        <f t="shared" ref="G6:G17" si="4">S6</f>
        <v>3718505.7949100002</v>
      </c>
      <c r="H6" s="285">
        <v>578499</v>
      </c>
      <c r="I6" s="285">
        <v>646905</v>
      </c>
      <c r="J6" s="285">
        <v>1408183</v>
      </c>
      <c r="K6" s="285">
        <v>2051862</v>
      </c>
      <c r="L6" s="285">
        <v>1807258</v>
      </c>
      <c r="M6" s="285">
        <v>1825289</v>
      </c>
      <c r="N6" s="285">
        <v>3417500</v>
      </c>
      <c r="O6" s="285">
        <v>4258856</v>
      </c>
      <c r="P6" s="285">
        <v>3770074</v>
      </c>
      <c r="Q6" s="285">
        <v>2556811</v>
      </c>
      <c r="R6" s="285">
        <v>3474243.8523399998</v>
      </c>
      <c r="S6" s="285">
        <v>3718505.7949100002</v>
      </c>
      <c r="T6" s="285">
        <v>4051287.3041199995</v>
      </c>
      <c r="U6" s="285">
        <v>5280321.6449999996</v>
      </c>
      <c r="V6" s="285">
        <v>5225481.9997899998</v>
      </c>
      <c r="W6" s="285"/>
      <c r="X6" s="310">
        <f t="shared" si="0"/>
        <v>-1.0385663771434794E-2</v>
      </c>
      <c r="Y6" s="310">
        <f t="shared" si="1"/>
        <v>0.50406310606853122</v>
      </c>
      <c r="Z6" s="285"/>
    </row>
    <row r="7" spans="1:29" ht="13" customHeight="1">
      <c r="A7" s="276"/>
      <c r="B7" s="22" t="str">
        <f>IF('Summary | Sumário'!D6=Names!B3,Names!K5,Names!L5)</f>
        <v>Compulsory deposits at Central Bank of Brazil</v>
      </c>
      <c r="C7" s="284">
        <v>392280</v>
      </c>
      <c r="D7" s="284">
        <v>1709729</v>
      </c>
      <c r="E7" s="284">
        <f t="shared" si="2"/>
        <v>2399488</v>
      </c>
      <c r="F7" s="284">
        <f t="shared" si="3"/>
        <v>2854778</v>
      </c>
      <c r="G7" s="284">
        <f t="shared" si="4"/>
        <v>2664415</v>
      </c>
      <c r="H7" s="284">
        <v>1644359</v>
      </c>
      <c r="I7" s="284">
        <v>1593298</v>
      </c>
      <c r="J7" s="284">
        <v>2331697</v>
      </c>
      <c r="K7" s="284">
        <v>2399488</v>
      </c>
      <c r="L7" s="284">
        <v>2361774</v>
      </c>
      <c r="M7" s="284">
        <v>2580989</v>
      </c>
      <c r="N7" s="284">
        <v>2686243</v>
      </c>
      <c r="O7" s="284">
        <v>2854778</v>
      </c>
      <c r="P7" s="284">
        <v>2993616</v>
      </c>
      <c r="Q7" s="284">
        <v>1703869</v>
      </c>
      <c r="R7" s="284">
        <v>2190872.3033499997</v>
      </c>
      <c r="S7" s="284">
        <v>2664415</v>
      </c>
      <c r="T7" s="284">
        <v>2925658.3690599999</v>
      </c>
      <c r="U7" s="284">
        <v>3725774.7710000002</v>
      </c>
      <c r="V7" s="284">
        <v>4185155.9511100003</v>
      </c>
      <c r="W7" s="285"/>
      <c r="X7" s="304">
        <f t="shared" si="0"/>
        <v>0.12329816168321472</v>
      </c>
      <c r="Y7" s="304">
        <f t="shared" si="1"/>
        <v>0.91026923144292748</v>
      </c>
      <c r="Z7" s="285"/>
    </row>
    <row r="8" spans="1:29" ht="13" customHeight="1">
      <c r="A8" s="276"/>
      <c r="B8" s="16" t="str">
        <f>IF('Summary | Sumário'!D6=Names!B3,Names!K6,Names!L6)</f>
        <v>Securities</v>
      </c>
      <c r="C8" s="285">
        <v>1155094</v>
      </c>
      <c r="D8" s="285">
        <v>5812622</v>
      </c>
      <c r="E8" s="285">
        <f t="shared" si="2"/>
        <v>12757687</v>
      </c>
      <c r="F8" s="285">
        <f t="shared" si="3"/>
        <v>12448565</v>
      </c>
      <c r="G8" s="285">
        <f t="shared" si="4"/>
        <v>16868112</v>
      </c>
      <c r="H8" s="285">
        <v>6619726</v>
      </c>
      <c r="I8" s="285">
        <v>8230481</v>
      </c>
      <c r="J8" s="285">
        <v>13241180</v>
      </c>
      <c r="K8" s="285">
        <v>12757687</v>
      </c>
      <c r="L8" s="285">
        <v>12335401</v>
      </c>
      <c r="M8" s="285">
        <v>12710051</v>
      </c>
      <c r="N8" s="285">
        <v>13373465</v>
      </c>
      <c r="O8" s="285">
        <v>12448565</v>
      </c>
      <c r="P8" s="285">
        <v>12535351</v>
      </c>
      <c r="Q8" s="285">
        <v>14169684</v>
      </c>
      <c r="R8" s="285">
        <v>14908297</v>
      </c>
      <c r="S8" s="285">
        <v>16868112</v>
      </c>
      <c r="T8" s="285">
        <v>18167251</v>
      </c>
      <c r="U8" s="285">
        <v>18276425.519000001</v>
      </c>
      <c r="V8" s="285">
        <v>20587496.485247668</v>
      </c>
      <c r="W8" s="285"/>
      <c r="X8" s="310">
        <f t="shared" si="0"/>
        <v>0.12645092793692614</v>
      </c>
      <c r="Y8" s="310">
        <f t="shared" si="1"/>
        <v>0.3809422018656905</v>
      </c>
      <c r="Z8" s="285"/>
    </row>
    <row r="9" spans="1:29" ht="13" customHeight="1">
      <c r="A9" s="276"/>
      <c r="B9" s="22" t="str">
        <f>IF('Summary | Sumário'!D6=Names!B3,Names!K7,Names!L7)</f>
        <v>Derivative financial assets</v>
      </c>
      <c r="C9" s="284">
        <v>0</v>
      </c>
      <c r="D9" s="284">
        <v>27513</v>
      </c>
      <c r="E9" s="284">
        <f t="shared" si="2"/>
        <v>86948</v>
      </c>
      <c r="F9" s="284">
        <f t="shared" si="3"/>
        <v>0</v>
      </c>
      <c r="G9" s="284">
        <f t="shared" si="4"/>
        <v>4238</v>
      </c>
      <c r="H9" s="284">
        <v>18603</v>
      </c>
      <c r="I9" s="284">
        <v>11684</v>
      </c>
      <c r="J9" s="284">
        <v>7643</v>
      </c>
      <c r="K9" s="284">
        <v>86948</v>
      </c>
      <c r="L9" s="284">
        <v>10410</v>
      </c>
      <c r="M9" s="284">
        <v>3212</v>
      </c>
      <c r="N9" s="284">
        <v>581</v>
      </c>
      <c r="O9" s="284">
        <v>0</v>
      </c>
      <c r="P9" s="284">
        <v>1122</v>
      </c>
      <c r="Q9" s="284">
        <v>3625</v>
      </c>
      <c r="R9" s="284">
        <v>9388.5369900000005</v>
      </c>
      <c r="S9" s="284">
        <v>4238</v>
      </c>
      <c r="T9" s="284">
        <v>7392.1129600000004</v>
      </c>
      <c r="U9" s="284">
        <v>7177.4260000000004</v>
      </c>
      <c r="V9" s="284">
        <v>18488.908119999996</v>
      </c>
      <c r="W9" s="285"/>
      <c r="X9" s="304">
        <f t="shared" si="0"/>
        <v>1.5759803194069844</v>
      </c>
      <c r="Y9" s="304">
        <f t="shared" si="1"/>
        <v>0.96930662782636556</v>
      </c>
      <c r="Z9" s="285"/>
    </row>
    <row r="10" spans="1:29" ht="13" customHeight="1">
      <c r="A10" s="276"/>
      <c r="B10" s="16" t="str">
        <f>IF('Summary | Sumário'!D$6=Names!B$3,Names!K8,Names!L8)</f>
        <v>Net loans and advances to customers</v>
      </c>
      <c r="C10" s="285">
        <v>4561824</v>
      </c>
      <c r="D10" s="285">
        <v>8507703</v>
      </c>
      <c r="E10" s="285">
        <f t="shared" si="2"/>
        <v>16535430</v>
      </c>
      <c r="F10" s="285">
        <f t="shared" si="3"/>
        <v>21379916</v>
      </c>
      <c r="G10" s="285">
        <f t="shared" si="4"/>
        <v>27900543</v>
      </c>
      <c r="H10" s="285">
        <v>9908120</v>
      </c>
      <c r="I10" s="285">
        <v>12040483</v>
      </c>
      <c r="J10" s="285">
        <v>14301537</v>
      </c>
      <c r="K10" s="285">
        <v>16535430</v>
      </c>
      <c r="L10" s="285">
        <v>17374632</v>
      </c>
      <c r="M10" s="285">
        <v>18510189</v>
      </c>
      <c r="N10" s="285">
        <v>19820903</v>
      </c>
      <c r="O10" s="285">
        <v>21379916</v>
      </c>
      <c r="P10" s="285">
        <v>22371167</v>
      </c>
      <c r="Q10" s="285">
        <v>23523982</v>
      </c>
      <c r="R10" s="285">
        <v>25296620</v>
      </c>
      <c r="S10" s="285">
        <v>27900543</v>
      </c>
      <c r="T10" s="285">
        <v>28826998.881090201</v>
      </c>
      <c r="U10" s="285">
        <v>30806640.206</v>
      </c>
      <c r="V10" s="285">
        <v>31478421.724357259</v>
      </c>
      <c r="W10" s="285"/>
      <c r="X10" s="310">
        <f t="shared" si="0"/>
        <v>2.1806386995308236E-2</v>
      </c>
      <c r="Y10" s="310">
        <f t="shared" si="1"/>
        <v>0.24437263651654884</v>
      </c>
      <c r="Z10" s="285"/>
    </row>
    <row r="11" spans="1:29" ht="13" customHeight="1">
      <c r="A11" s="276"/>
      <c r="B11" s="22" t="str">
        <f>IF('Summary | Sumário'!D$6=Names!B$3,Names!K9,Names!L9)</f>
        <v>Non-current assets held for sale</v>
      </c>
      <c r="C11" s="284">
        <v>121632</v>
      </c>
      <c r="D11" s="284">
        <v>119929</v>
      </c>
      <c r="E11" s="284">
        <f t="shared" si="2"/>
        <v>129793</v>
      </c>
      <c r="F11" s="284">
        <f t="shared" si="3"/>
        <v>166943</v>
      </c>
      <c r="G11" s="284">
        <f t="shared" si="4"/>
        <v>174355</v>
      </c>
      <c r="H11" s="284">
        <v>114385</v>
      </c>
      <c r="I11" s="284">
        <v>136305</v>
      </c>
      <c r="J11" s="284">
        <v>134931</v>
      </c>
      <c r="K11" s="284">
        <v>129793</v>
      </c>
      <c r="L11" s="284">
        <v>136641</v>
      </c>
      <c r="M11" s="284">
        <v>161254</v>
      </c>
      <c r="N11" s="284">
        <v>165703</v>
      </c>
      <c r="O11" s="284">
        <v>166943</v>
      </c>
      <c r="P11" s="284">
        <v>178413</v>
      </c>
      <c r="Q11" s="284">
        <v>176866</v>
      </c>
      <c r="R11" s="284">
        <v>169346.87808000002</v>
      </c>
      <c r="S11" s="284">
        <v>174355</v>
      </c>
      <c r="T11" s="284">
        <v>173712.38881</v>
      </c>
      <c r="U11" s="284">
        <v>179954.223</v>
      </c>
      <c r="V11" s="284">
        <v>184823.49188999998</v>
      </c>
      <c r="W11" s="285"/>
      <c r="X11" s="304">
        <f t="shared" si="0"/>
        <v>2.7058375229126908E-2</v>
      </c>
      <c r="Y11" s="304">
        <f t="shared" si="1"/>
        <v>9.1390015484600573E-2</v>
      </c>
      <c r="Z11" s="285"/>
    </row>
    <row r="12" spans="1:29" ht="13" customHeight="1">
      <c r="A12" s="276"/>
      <c r="B12" s="16" t="str">
        <f>IF('Summary | Sumário'!D$6=Names!B$3,Names!K10,Names!L10)</f>
        <v>Equity accounted investees</v>
      </c>
      <c r="C12" s="285">
        <v>0</v>
      </c>
      <c r="D12" s="285">
        <v>0</v>
      </c>
      <c r="E12" s="285">
        <f t="shared" si="2"/>
        <v>82445</v>
      </c>
      <c r="F12" s="285">
        <f t="shared" si="3"/>
        <v>72090</v>
      </c>
      <c r="G12" s="285">
        <f t="shared" si="4"/>
        <v>90634</v>
      </c>
      <c r="H12" s="285">
        <v>91162</v>
      </c>
      <c r="I12" s="285">
        <v>95055</v>
      </c>
      <c r="J12" s="285">
        <v>148434</v>
      </c>
      <c r="K12" s="285">
        <v>82445</v>
      </c>
      <c r="L12" s="285">
        <v>85231</v>
      </c>
      <c r="M12" s="285">
        <v>80741</v>
      </c>
      <c r="N12" s="285">
        <v>76849</v>
      </c>
      <c r="O12" s="285">
        <v>72090</v>
      </c>
      <c r="P12" s="285">
        <v>70820</v>
      </c>
      <c r="Q12" s="285">
        <v>71900</v>
      </c>
      <c r="R12" s="285">
        <v>71884.022609999229</v>
      </c>
      <c r="S12" s="285">
        <v>90634</v>
      </c>
      <c r="T12" s="285">
        <v>89569</v>
      </c>
      <c r="U12" s="285">
        <v>88154.67</v>
      </c>
      <c r="V12" s="285">
        <v>10402.331405203819</v>
      </c>
      <c r="W12" s="285"/>
      <c r="X12" s="310">
        <f t="shared" si="0"/>
        <v>-0.88199908858822995</v>
      </c>
      <c r="Y12" s="310">
        <f t="shared" si="1"/>
        <v>-0.85529007660518941</v>
      </c>
      <c r="Z12" s="285"/>
    </row>
    <row r="13" spans="1:29" ht="13" customHeight="1">
      <c r="A13" s="276"/>
      <c r="B13" s="22" t="str">
        <f>IF('Summary | Sumário'!D$6=Names!B$3,Names!K11,Names!L11)</f>
        <v>Property and equipment</v>
      </c>
      <c r="C13" s="284">
        <v>91851</v>
      </c>
      <c r="D13" s="284">
        <v>137846</v>
      </c>
      <c r="E13" s="284">
        <f t="shared" si="2"/>
        <v>163475</v>
      </c>
      <c r="F13" s="284">
        <f t="shared" si="3"/>
        <v>188019</v>
      </c>
      <c r="G13" s="284">
        <f t="shared" si="4"/>
        <v>167547</v>
      </c>
      <c r="H13" s="284">
        <v>149132</v>
      </c>
      <c r="I13" s="284">
        <v>158686</v>
      </c>
      <c r="J13" s="284">
        <v>379252</v>
      </c>
      <c r="K13" s="284">
        <v>163475</v>
      </c>
      <c r="L13" s="284">
        <v>204039</v>
      </c>
      <c r="M13" s="284">
        <v>200804</v>
      </c>
      <c r="N13" s="284">
        <v>193905</v>
      </c>
      <c r="O13" s="284">
        <v>188019</v>
      </c>
      <c r="P13" s="284">
        <v>180923</v>
      </c>
      <c r="Q13" s="284">
        <v>179317</v>
      </c>
      <c r="R13" s="284">
        <v>173677</v>
      </c>
      <c r="S13" s="284">
        <v>167547</v>
      </c>
      <c r="T13" s="284">
        <v>187076.45079360603</v>
      </c>
      <c r="U13" s="284">
        <v>193646.723</v>
      </c>
      <c r="V13" s="284">
        <v>360062.75075838889</v>
      </c>
      <c r="W13" s="285"/>
      <c r="X13" s="304">
        <f t="shared" si="0"/>
        <v>0.85937951946849567</v>
      </c>
      <c r="Y13" s="304">
        <f t="shared" si="1"/>
        <v>1.0731746331315541</v>
      </c>
      <c r="Z13" s="285"/>
    </row>
    <row r="14" spans="1:29" ht="13" customHeight="1">
      <c r="A14" s="276"/>
      <c r="B14" s="16" t="str">
        <f>IF('Summary | Sumário'!D$6=Names!B$3,Names!K12,Names!L12)</f>
        <v>Intangible assets</v>
      </c>
      <c r="C14" s="285">
        <v>79248</v>
      </c>
      <c r="D14" s="285">
        <v>224516</v>
      </c>
      <c r="E14" s="285">
        <f t="shared" si="2"/>
        <v>430504</v>
      </c>
      <c r="F14" s="285">
        <f t="shared" si="3"/>
        <v>1238629</v>
      </c>
      <c r="G14" s="285">
        <f t="shared" si="4"/>
        <v>1345304</v>
      </c>
      <c r="H14" s="285">
        <v>303418</v>
      </c>
      <c r="I14" s="285">
        <v>348745</v>
      </c>
      <c r="J14" s="285">
        <v>569127.75</v>
      </c>
      <c r="K14" s="285">
        <v>430504</v>
      </c>
      <c r="L14" s="285">
        <v>1316366</v>
      </c>
      <c r="M14" s="285">
        <v>1189909</v>
      </c>
      <c r="N14" s="285">
        <v>1209471</v>
      </c>
      <c r="O14" s="285">
        <v>1238629</v>
      </c>
      <c r="P14" s="285">
        <v>1274423</v>
      </c>
      <c r="Q14" s="285">
        <v>1303182</v>
      </c>
      <c r="R14" s="285">
        <v>1322350</v>
      </c>
      <c r="S14" s="285">
        <v>1345304</v>
      </c>
      <c r="T14" s="285">
        <v>1398792.2814018102</v>
      </c>
      <c r="U14" s="285">
        <v>1661858.0249999999</v>
      </c>
      <c r="V14" s="285">
        <v>1711148.2688300004</v>
      </c>
      <c r="W14" s="285"/>
      <c r="X14" s="310">
        <f t="shared" si="0"/>
        <v>2.9659720077471974E-2</v>
      </c>
      <c r="Y14" s="310">
        <f t="shared" si="1"/>
        <v>0.29402069711498502</v>
      </c>
      <c r="Z14" s="285"/>
    </row>
    <row r="15" spans="1:29" ht="13" customHeight="1">
      <c r="A15" s="276"/>
      <c r="B15" s="22" t="str">
        <f>IF('Summary | Sumário'!D$6=Names!B$3,Names!K13,Names!L13)</f>
        <v>Deferred tax assets</v>
      </c>
      <c r="C15" s="284">
        <v>112217</v>
      </c>
      <c r="D15" s="284">
        <v>206018</v>
      </c>
      <c r="E15" s="284">
        <f t="shared" si="2"/>
        <v>695525.47689649905</v>
      </c>
      <c r="F15" s="284">
        <f t="shared" si="3"/>
        <v>978148</v>
      </c>
      <c r="G15" s="284">
        <f t="shared" si="4"/>
        <v>1033535</v>
      </c>
      <c r="H15" s="284">
        <v>374673</v>
      </c>
      <c r="I15" s="284">
        <v>512637</v>
      </c>
      <c r="J15" s="284">
        <v>89648</v>
      </c>
      <c r="K15" s="284">
        <v>695525.47689649905</v>
      </c>
      <c r="L15" s="284">
        <v>831698</v>
      </c>
      <c r="M15" s="284">
        <v>931537</v>
      </c>
      <c r="N15" s="284">
        <v>872798</v>
      </c>
      <c r="O15" s="284">
        <v>978148</v>
      </c>
      <c r="P15" s="284">
        <v>1008370</v>
      </c>
      <c r="Q15" s="284">
        <v>940399</v>
      </c>
      <c r="R15" s="284">
        <v>1071248</v>
      </c>
      <c r="S15" s="284">
        <v>1033535</v>
      </c>
      <c r="T15" s="284">
        <v>1082102</v>
      </c>
      <c r="U15" s="284">
        <v>1218264.611</v>
      </c>
      <c r="V15" s="284">
        <v>1411485.3399596093</v>
      </c>
      <c r="W15" s="285"/>
      <c r="X15" s="304">
        <f t="shared" si="0"/>
        <v>0.1586032518838465</v>
      </c>
      <c r="Y15" s="304">
        <f t="shared" si="1"/>
        <v>0.31760837822764598</v>
      </c>
      <c r="Z15" s="285"/>
    </row>
    <row r="16" spans="1:29" ht="13" customHeight="1">
      <c r="A16" s="276"/>
      <c r="B16" s="16" t="str">
        <f>IF('Summary | Sumário'!D$6=Names!B$3,Names!K14,Names!L14)</f>
        <v>Other assets</v>
      </c>
      <c r="C16" s="253">
        <v>192054</v>
      </c>
      <c r="D16" s="253">
        <v>518681</v>
      </c>
      <c r="E16" s="253">
        <f t="shared" si="2"/>
        <v>792734.63349000004</v>
      </c>
      <c r="F16" s="253">
        <f t="shared" si="3"/>
        <v>1425508</v>
      </c>
      <c r="G16" s="253">
        <f t="shared" si="4"/>
        <v>2125231</v>
      </c>
      <c r="H16" s="253">
        <v>728467</v>
      </c>
      <c r="I16" s="253">
        <v>804207.20399999991</v>
      </c>
      <c r="J16" s="253">
        <v>699185.75381999998</v>
      </c>
      <c r="K16" s="253">
        <v>792734.63349000004</v>
      </c>
      <c r="L16" s="253">
        <v>977090</v>
      </c>
      <c r="M16" s="253">
        <v>1190646</v>
      </c>
      <c r="N16" s="253">
        <v>1188339</v>
      </c>
      <c r="O16" s="253">
        <v>1425508</v>
      </c>
      <c r="P16" s="253">
        <v>1525108</v>
      </c>
      <c r="Q16" s="253">
        <v>1701475</v>
      </c>
      <c r="R16" s="253">
        <v>2093833</v>
      </c>
      <c r="S16" s="253">
        <v>2125231</v>
      </c>
      <c r="T16" s="253">
        <v>2609029</v>
      </c>
      <c r="U16" s="253">
        <v>2337903.2629999998</v>
      </c>
      <c r="V16" s="253">
        <v>2482687.2263140087</v>
      </c>
      <c r="W16" s="253"/>
      <c r="X16" s="260">
        <f t="shared" si="0"/>
        <v>6.1928979528529382E-2</v>
      </c>
      <c r="Y16" s="260">
        <f t="shared" si="1"/>
        <v>0.1857140594851685</v>
      </c>
      <c r="Z16" s="253"/>
    </row>
    <row r="17" spans="1:27" ht="13" customHeight="1">
      <c r="A17" s="276"/>
      <c r="B17" s="343" t="str">
        <f>IF('Summary | Sumário'!D$6=Names!B$3,Names!K15,Names!L15)</f>
        <v>Total assets</v>
      </c>
      <c r="C17" s="344">
        <v>10077086</v>
      </c>
      <c r="D17" s="344">
        <v>19921613</v>
      </c>
      <c r="E17" s="344">
        <f t="shared" si="2"/>
        <v>36626337.428616509</v>
      </c>
      <c r="F17" s="344">
        <f t="shared" si="3"/>
        <v>46343100</v>
      </c>
      <c r="G17" s="344">
        <f t="shared" si="4"/>
        <v>60351796.794909999</v>
      </c>
      <c r="H17" s="344">
        <v>21436667</v>
      </c>
      <c r="I17" s="344">
        <v>30309493.204999998</v>
      </c>
      <c r="J17" s="344">
        <v>33762592.801820002</v>
      </c>
      <c r="K17" s="344">
        <v>36626337.428616509</v>
      </c>
      <c r="L17" s="344">
        <v>38612194</v>
      </c>
      <c r="M17" s="344">
        <v>40933779</v>
      </c>
      <c r="N17" s="344">
        <v>43844067</v>
      </c>
      <c r="O17" s="344">
        <v>46343100</v>
      </c>
      <c r="P17" s="344">
        <v>47701094</v>
      </c>
      <c r="Q17" s="344">
        <v>50003329</v>
      </c>
      <c r="R17" s="344">
        <v>55078840</v>
      </c>
      <c r="S17" s="344">
        <v>60351796.794909999</v>
      </c>
      <c r="T17" s="344">
        <v>62349178.777529307</v>
      </c>
      <c r="U17" s="344">
        <v>66573460.406000003</v>
      </c>
      <c r="V17" s="344">
        <v>69929219.19026269</v>
      </c>
      <c r="W17" s="289"/>
      <c r="X17" s="430">
        <f t="shared" si="0"/>
        <v>5.0406855281331486E-2</v>
      </c>
      <c r="Y17" s="430">
        <f t="shared" si="1"/>
        <v>0.26962040577221114</v>
      </c>
      <c r="Z17" s="265"/>
    </row>
    <row r="18" spans="1:27" ht="13" customHeight="1">
      <c r="A18" s="276"/>
      <c r="B18" s="3"/>
      <c r="C18" s="265"/>
      <c r="D18" s="265"/>
      <c r="E18" s="265"/>
      <c r="F18" s="265"/>
      <c r="G18" s="265"/>
      <c r="H18" s="265"/>
      <c r="I18" s="265"/>
      <c r="J18" s="265"/>
      <c r="K18" s="265"/>
      <c r="L18" s="265"/>
      <c r="M18" s="265"/>
      <c r="N18" s="265"/>
      <c r="O18" s="265"/>
      <c r="P18" s="265"/>
      <c r="Q18" s="265"/>
      <c r="R18" s="265"/>
      <c r="S18" s="265"/>
      <c r="T18" s="265"/>
      <c r="U18" s="265"/>
      <c r="V18" s="265"/>
      <c r="W18" s="265"/>
      <c r="X18" s="431"/>
      <c r="Y18" s="431"/>
      <c r="Z18" s="265"/>
      <c r="AA18" s="286"/>
    </row>
    <row r="19" spans="1:27" ht="13" customHeight="1">
      <c r="A19" s="276"/>
      <c r="B19" s="31" t="str">
        <f>IF('Summary | Sumário'!D$6=Names!B$3,Names!K16,Names!L16)</f>
        <v>Liabilities</v>
      </c>
      <c r="C19" s="277"/>
      <c r="D19" s="277"/>
      <c r="E19" s="277"/>
      <c r="F19" s="277"/>
      <c r="G19" s="277"/>
      <c r="H19" s="277"/>
      <c r="I19" s="277"/>
      <c r="J19" s="277"/>
      <c r="K19" s="277"/>
      <c r="L19" s="277"/>
      <c r="M19" s="277"/>
      <c r="N19" s="277"/>
      <c r="O19" s="277"/>
      <c r="P19" s="277"/>
      <c r="Q19" s="277"/>
      <c r="R19" s="277"/>
      <c r="S19" s="277"/>
      <c r="T19" s="277"/>
      <c r="U19" s="277"/>
      <c r="V19" s="277"/>
      <c r="W19" s="265"/>
      <c r="X19" s="426"/>
      <c r="Y19" s="426"/>
      <c r="Z19" s="265"/>
    </row>
    <row r="20" spans="1:27" ht="13" customHeight="1">
      <c r="A20" s="276"/>
      <c r="B20" s="16" t="str">
        <f>IF('Summary | Sumário'!D$6=Names!B$3,Names!K17,Names!L17)</f>
        <v xml:space="preserve">Liabilities with financial and similar institutions </v>
      </c>
      <c r="C20" s="285">
        <v>1152492</v>
      </c>
      <c r="D20" s="285">
        <v>1756913</v>
      </c>
      <c r="E20" s="285">
        <f t="shared" ref="E20:E28" si="5">K20</f>
        <v>5341464</v>
      </c>
      <c r="F20" s="285">
        <f t="shared" ref="F20:F28" si="6">O20</f>
        <v>7906897</v>
      </c>
      <c r="G20" s="253">
        <f t="shared" ref="G20:G29" si="7">S20</f>
        <v>9522469</v>
      </c>
      <c r="H20" s="285">
        <v>2236178</v>
      </c>
      <c r="I20" s="285">
        <v>3003367</v>
      </c>
      <c r="J20" s="285">
        <v>4235618</v>
      </c>
      <c r="K20" s="285">
        <v>5341464</v>
      </c>
      <c r="L20" s="285">
        <v>5917844</v>
      </c>
      <c r="M20" s="253">
        <v>6945236</v>
      </c>
      <c r="N20" s="253">
        <v>7349464</v>
      </c>
      <c r="O20" s="253">
        <v>7906897</v>
      </c>
      <c r="P20" s="253">
        <v>8216538</v>
      </c>
      <c r="Q20" s="253">
        <v>8023953</v>
      </c>
      <c r="R20" s="253">
        <v>9418244.5561900008</v>
      </c>
      <c r="S20" s="253">
        <v>9522469</v>
      </c>
      <c r="T20" s="253">
        <v>10483086.949449999</v>
      </c>
      <c r="U20" s="253">
        <v>10913779.435000001</v>
      </c>
      <c r="V20" s="253">
        <v>10403852.794290001</v>
      </c>
      <c r="W20" s="253"/>
      <c r="X20" s="260">
        <f t="shared" ref="X20:X29" si="8">V20/U20-1</f>
        <v>-4.6723194631796194E-2</v>
      </c>
      <c r="Y20" s="260">
        <f>V20/R20-1</f>
        <v>0.10464882624567484</v>
      </c>
      <c r="Z20" s="253"/>
    </row>
    <row r="21" spans="1:27" ht="13" customHeight="1">
      <c r="A21" s="276"/>
      <c r="B21" s="22" t="str">
        <f>IF('Summary | Sumário'!D$6=Names!B$3,Names!K18,Names!L18)</f>
        <v>Liabilities with customers</v>
      </c>
      <c r="C21" s="284">
        <v>4714439</v>
      </c>
      <c r="D21" s="284">
        <v>12436632</v>
      </c>
      <c r="E21" s="284">
        <f t="shared" si="5"/>
        <v>18333543</v>
      </c>
      <c r="F21" s="284">
        <f t="shared" si="6"/>
        <v>23642804</v>
      </c>
      <c r="G21" s="252">
        <f t="shared" si="7"/>
        <v>32651620</v>
      </c>
      <c r="H21" s="284">
        <v>13392679</v>
      </c>
      <c r="I21" s="284">
        <v>15629130.619999999</v>
      </c>
      <c r="J21" s="284">
        <v>17093473.298</v>
      </c>
      <c r="K21" s="284">
        <v>18333543</v>
      </c>
      <c r="L21" s="284">
        <v>18958118</v>
      </c>
      <c r="M21" s="252">
        <v>19746409</v>
      </c>
      <c r="N21" s="252">
        <v>21452026</v>
      </c>
      <c r="O21" s="252">
        <v>23642804</v>
      </c>
      <c r="P21" s="252">
        <v>24182006</v>
      </c>
      <c r="Q21" s="252">
        <v>26299326</v>
      </c>
      <c r="R21" s="252">
        <v>29063988</v>
      </c>
      <c r="S21" s="252">
        <v>32651620</v>
      </c>
      <c r="T21" s="252">
        <v>32643444.086135942</v>
      </c>
      <c r="U21" s="252">
        <v>35978318.071000002</v>
      </c>
      <c r="V21" s="252">
        <v>39129758.61366</v>
      </c>
      <c r="W21" s="253"/>
      <c r="X21" s="263">
        <f t="shared" si="8"/>
        <v>8.759277008004962E-2</v>
      </c>
      <c r="Y21" s="263">
        <f t="shared" ref="Y21:Y29" si="9">V21/R21-1</f>
        <v>0.34633136421815203</v>
      </c>
      <c r="Z21" s="253"/>
      <c r="AA21" s="287"/>
    </row>
    <row r="22" spans="1:27" ht="13" customHeight="1">
      <c r="A22" s="276"/>
      <c r="B22" s="16" t="str">
        <f>IF('Summary | Sumário'!D$6=Names!B$3,Names!K19,Names!L19)</f>
        <v>Securities issued</v>
      </c>
      <c r="C22" s="285">
        <v>1719580</v>
      </c>
      <c r="D22" s="285">
        <v>1729436</v>
      </c>
      <c r="E22" s="285">
        <f t="shared" si="5"/>
        <v>3572093</v>
      </c>
      <c r="F22" s="285">
        <f t="shared" si="6"/>
        <v>6202165</v>
      </c>
      <c r="G22" s="253">
        <f t="shared" si="7"/>
        <v>8095042</v>
      </c>
      <c r="H22" s="285">
        <v>1704892</v>
      </c>
      <c r="I22" s="285">
        <v>2081723</v>
      </c>
      <c r="J22" s="285">
        <v>3093320</v>
      </c>
      <c r="K22" s="285">
        <v>3572093</v>
      </c>
      <c r="L22" s="285">
        <v>4280956</v>
      </c>
      <c r="M22" s="253">
        <v>6104223</v>
      </c>
      <c r="N22" s="253">
        <v>6916919</v>
      </c>
      <c r="O22" s="253">
        <v>6202165</v>
      </c>
      <c r="P22" s="253">
        <v>6640557</v>
      </c>
      <c r="Q22" s="253">
        <v>7006191.0407400001</v>
      </c>
      <c r="R22" s="253">
        <v>7462564.5372699993</v>
      </c>
      <c r="S22" s="253">
        <v>8095042</v>
      </c>
      <c r="T22" s="253">
        <v>8249142.2142699994</v>
      </c>
      <c r="U22" s="253">
        <v>8543248.1730000004</v>
      </c>
      <c r="V22" s="253">
        <v>9047655.9166099988</v>
      </c>
      <c r="W22" s="253"/>
      <c r="X22" s="260">
        <f t="shared" si="8"/>
        <v>5.9041682202809476E-2</v>
      </c>
      <c r="Y22" s="260">
        <f t="shared" si="9"/>
        <v>0.21240571809109832</v>
      </c>
      <c r="Z22" s="253"/>
    </row>
    <row r="23" spans="1:27" ht="13" customHeight="1">
      <c r="A23" s="276"/>
      <c r="B23" s="22" t="str">
        <f>IF('Summary | Sumário'!D$6=Names!B$3,Names!K20,Names!L20)</f>
        <v>Derivative financial liabilities</v>
      </c>
      <c r="C23" s="284">
        <v>20941</v>
      </c>
      <c r="D23" s="284">
        <v>56758</v>
      </c>
      <c r="E23" s="284">
        <f t="shared" si="5"/>
        <v>66545</v>
      </c>
      <c r="F23" s="284">
        <f t="shared" si="6"/>
        <v>37768</v>
      </c>
      <c r="G23" s="252">
        <f t="shared" si="7"/>
        <v>15063</v>
      </c>
      <c r="H23" s="284">
        <v>83222</v>
      </c>
      <c r="I23" s="284">
        <v>78887</v>
      </c>
      <c r="J23" s="284">
        <v>81359</v>
      </c>
      <c r="K23" s="284">
        <v>66545</v>
      </c>
      <c r="L23" s="284">
        <v>76042</v>
      </c>
      <c r="M23" s="252">
        <v>65888</v>
      </c>
      <c r="N23" s="252">
        <v>40347</v>
      </c>
      <c r="O23" s="252">
        <v>37768</v>
      </c>
      <c r="P23" s="252">
        <v>32614</v>
      </c>
      <c r="Q23" s="252">
        <v>27996</v>
      </c>
      <c r="R23" s="252">
        <v>21058.658820000001</v>
      </c>
      <c r="S23" s="252">
        <v>15063</v>
      </c>
      <c r="T23" s="252">
        <v>13892.998310000001</v>
      </c>
      <c r="U23" s="252">
        <v>14039.200999999999</v>
      </c>
      <c r="V23" s="252">
        <v>8778.0989800000007</v>
      </c>
      <c r="W23" s="253"/>
      <c r="X23" s="263">
        <f t="shared" si="8"/>
        <v>-0.37474369232266125</v>
      </c>
      <c r="Y23" s="263">
        <f t="shared" si="9"/>
        <v>-0.58315963732394993</v>
      </c>
      <c r="Z23" s="253"/>
    </row>
    <row r="24" spans="1:27" ht="13" customHeight="1">
      <c r="A24" s="276"/>
      <c r="B24" s="16" t="str">
        <f>IF('Summary | Sumário'!D$6=Names!B$3,Names!K21,Names!L21)</f>
        <v>Borrowing and onlending</v>
      </c>
      <c r="C24" s="285">
        <v>29800</v>
      </c>
      <c r="D24" s="285">
        <v>27405</v>
      </c>
      <c r="E24" s="285">
        <f t="shared" si="5"/>
        <v>25071</v>
      </c>
      <c r="F24" s="285">
        <f t="shared" si="6"/>
        <v>36448</v>
      </c>
      <c r="G24" s="253">
        <f t="shared" si="7"/>
        <v>107412</v>
      </c>
      <c r="H24" s="285">
        <v>27179</v>
      </c>
      <c r="I24" s="285">
        <v>26325</v>
      </c>
      <c r="J24" s="285">
        <v>25580</v>
      </c>
      <c r="K24" s="285">
        <v>25071</v>
      </c>
      <c r="L24" s="285">
        <v>33002</v>
      </c>
      <c r="M24" s="253">
        <v>31855</v>
      </c>
      <c r="N24" s="253">
        <v>33119</v>
      </c>
      <c r="O24" s="253">
        <v>36448</v>
      </c>
      <c r="P24" s="253">
        <v>36632</v>
      </c>
      <c r="Q24" s="253">
        <v>38753</v>
      </c>
      <c r="R24" s="253">
        <v>87649</v>
      </c>
      <c r="S24" s="253">
        <v>107412</v>
      </c>
      <c r="T24" s="253">
        <v>102019.6489</v>
      </c>
      <c r="U24" s="253">
        <v>101630.08100000001</v>
      </c>
      <c r="V24" s="253">
        <v>114823.55414999998</v>
      </c>
      <c r="W24" s="253"/>
      <c r="X24" s="260">
        <f t="shared" si="8"/>
        <v>0.12981858343692521</v>
      </c>
      <c r="Y24" s="260">
        <f t="shared" si="9"/>
        <v>0.31003838206939016</v>
      </c>
      <c r="Z24" s="253"/>
    </row>
    <row r="25" spans="1:27" ht="13" customHeight="1">
      <c r="A25" s="276"/>
      <c r="B25" s="22" t="str">
        <f>IF('Summary | Sumário'!D$6=Names!B$3,Names!K22,Names!L22)</f>
        <v>Tax liabilities</v>
      </c>
      <c r="C25" s="284">
        <v>18202</v>
      </c>
      <c r="D25" s="284">
        <v>30271</v>
      </c>
      <c r="E25" s="284">
        <f t="shared" si="5"/>
        <v>78406</v>
      </c>
      <c r="F25" s="284">
        <f t="shared" si="6"/>
        <v>166865</v>
      </c>
      <c r="G25" s="252">
        <f t="shared" si="7"/>
        <v>363262</v>
      </c>
      <c r="H25" s="284">
        <v>50880</v>
      </c>
      <c r="I25" s="284">
        <v>42517</v>
      </c>
      <c r="J25" s="284">
        <v>55514.155149999999</v>
      </c>
      <c r="K25" s="284">
        <v>78406</v>
      </c>
      <c r="L25" s="284">
        <v>102495</v>
      </c>
      <c r="M25" s="252">
        <v>163665</v>
      </c>
      <c r="N25" s="252">
        <v>153726</v>
      </c>
      <c r="O25" s="252">
        <v>166865</v>
      </c>
      <c r="P25" s="252">
        <v>154341</v>
      </c>
      <c r="Q25" s="252">
        <v>206021</v>
      </c>
      <c r="R25" s="252">
        <v>332844.93984000006</v>
      </c>
      <c r="S25" s="252">
        <v>363262</v>
      </c>
      <c r="T25" s="252">
        <v>439126</v>
      </c>
      <c r="U25" s="252">
        <v>357818.261</v>
      </c>
      <c r="V25" s="252">
        <v>457853.49381000001</v>
      </c>
      <c r="W25" s="253"/>
      <c r="X25" s="263">
        <f t="shared" si="8"/>
        <v>0.2795699485275851</v>
      </c>
      <c r="Y25" s="263">
        <f t="shared" si="9"/>
        <v>0.37557594845843867</v>
      </c>
      <c r="Z25" s="253"/>
    </row>
    <row r="26" spans="1:27" ht="13" customHeight="1">
      <c r="A26" s="276"/>
      <c r="B26" s="16" t="str">
        <f>IF('Summary | Sumário'!D$6=Names!B$3,Names!K25,Names!L25)</f>
        <v>Provisions</v>
      </c>
      <c r="C26" s="285">
        <v>22055</v>
      </c>
      <c r="D26" s="285">
        <v>23637</v>
      </c>
      <c r="E26" s="285">
        <f t="shared" si="5"/>
        <v>52848</v>
      </c>
      <c r="F26" s="285">
        <f t="shared" si="6"/>
        <v>57449</v>
      </c>
      <c r="G26" s="253">
        <f t="shared" si="7"/>
        <v>70452</v>
      </c>
      <c r="H26" s="285">
        <v>25182</v>
      </c>
      <c r="I26" s="285">
        <v>37558</v>
      </c>
      <c r="J26" s="285">
        <v>41873</v>
      </c>
      <c r="K26" s="285">
        <v>52848</v>
      </c>
      <c r="L26" s="285">
        <v>55607</v>
      </c>
      <c r="M26" s="253">
        <v>61118</v>
      </c>
      <c r="N26" s="253">
        <v>59219</v>
      </c>
      <c r="O26" s="253">
        <v>57449</v>
      </c>
      <c r="P26" s="253">
        <v>63213</v>
      </c>
      <c r="Q26" s="253">
        <v>65931</v>
      </c>
      <c r="R26" s="253">
        <v>35040.451930000003</v>
      </c>
      <c r="S26" s="253">
        <v>70452</v>
      </c>
      <c r="T26" s="253">
        <v>70003.378370004008</v>
      </c>
      <c r="U26" s="253">
        <v>45712.063000000002</v>
      </c>
      <c r="V26" s="253">
        <v>54374.721580000005</v>
      </c>
      <c r="W26" s="253"/>
      <c r="X26" s="260">
        <f t="shared" si="8"/>
        <v>0.18950487051962628</v>
      </c>
      <c r="Y26" s="260">
        <f t="shared" si="9"/>
        <v>0.55176998540498001</v>
      </c>
      <c r="Z26" s="253"/>
    </row>
    <row r="27" spans="1:27" ht="13" customHeight="1">
      <c r="A27" s="276"/>
      <c r="B27" s="22" t="str">
        <f>IF('Summary | Sumário'!D$6=Names!B$3,Names!K26,Names!L26)</f>
        <v>Deferred tax liabilities</v>
      </c>
      <c r="C27" s="284">
        <v>21524</v>
      </c>
      <c r="D27" s="284">
        <v>60926</v>
      </c>
      <c r="E27" s="284">
        <f t="shared" si="5"/>
        <v>89235</v>
      </c>
      <c r="F27" s="284">
        <f t="shared" si="6"/>
        <v>30073</v>
      </c>
      <c r="G27" s="252">
        <f t="shared" si="7"/>
        <v>32539</v>
      </c>
      <c r="H27" s="284">
        <v>90691</v>
      </c>
      <c r="I27" s="284">
        <v>85656</v>
      </c>
      <c r="J27" s="284">
        <v>27373.95</v>
      </c>
      <c r="K27" s="284">
        <v>89235</v>
      </c>
      <c r="L27" s="284">
        <v>92379</v>
      </c>
      <c r="M27" s="252">
        <v>81915</v>
      </c>
      <c r="N27" s="252">
        <v>0</v>
      </c>
      <c r="O27" s="252">
        <v>30073</v>
      </c>
      <c r="P27" s="252">
        <v>29638</v>
      </c>
      <c r="Q27" s="252">
        <v>32670</v>
      </c>
      <c r="R27" s="252">
        <v>28894.89588</v>
      </c>
      <c r="S27" s="252">
        <v>32539</v>
      </c>
      <c r="T27" s="252">
        <v>49912</v>
      </c>
      <c r="U27" s="252">
        <v>29640.036</v>
      </c>
      <c r="V27" s="252">
        <v>46182.526589999994</v>
      </c>
      <c r="W27" s="253"/>
      <c r="X27" s="263">
        <f t="shared" si="8"/>
        <v>0.55811303974124704</v>
      </c>
      <c r="Y27" s="263">
        <f t="shared" si="9"/>
        <v>0.59829358035395686</v>
      </c>
      <c r="Z27" s="253"/>
    </row>
    <row r="28" spans="1:27" ht="13" customHeight="1">
      <c r="A28" s="276"/>
      <c r="B28" s="16" t="str">
        <f>IF('Summary | Sumário'!D$6=Names!B$3,Names!K27,Names!L27)</f>
        <v>Other liabilities</v>
      </c>
      <c r="C28" s="253">
        <v>216115</v>
      </c>
      <c r="D28" s="253">
        <v>475420</v>
      </c>
      <c r="E28" s="253">
        <f t="shared" si="5"/>
        <v>617348.59181000001</v>
      </c>
      <c r="F28" s="253">
        <f t="shared" si="6"/>
        <v>1173527</v>
      </c>
      <c r="G28" s="253">
        <f t="shared" si="7"/>
        <v>1897248</v>
      </c>
      <c r="H28" s="253">
        <v>575148</v>
      </c>
      <c r="I28" s="253">
        <v>631703.80099999998</v>
      </c>
      <c r="J28" s="253">
        <v>570154</v>
      </c>
      <c r="K28" s="253">
        <v>617348.59181000001</v>
      </c>
      <c r="L28" s="253">
        <v>741385</v>
      </c>
      <c r="M28" s="253">
        <v>618089</v>
      </c>
      <c r="N28" s="253">
        <v>698852</v>
      </c>
      <c r="O28" s="253">
        <v>1173527</v>
      </c>
      <c r="P28" s="253">
        <v>1205649</v>
      </c>
      <c r="Q28" s="253">
        <v>984830</v>
      </c>
      <c r="R28" s="253">
        <v>1260329</v>
      </c>
      <c r="S28" s="253">
        <v>1897248</v>
      </c>
      <c r="T28" s="253">
        <v>1760099</v>
      </c>
      <c r="U28" s="253">
        <v>1981740.4820000001</v>
      </c>
      <c r="V28" s="253">
        <v>1797457.4572821411</v>
      </c>
      <c r="W28" s="253"/>
      <c r="X28" s="260">
        <f t="shared" si="8"/>
        <v>-9.2990493150686415E-2</v>
      </c>
      <c r="Y28" s="260">
        <f t="shared" si="9"/>
        <v>0.42618114578188804</v>
      </c>
      <c r="Z28" s="253"/>
    </row>
    <row r="29" spans="1:27" ht="13" customHeight="1">
      <c r="A29" s="276"/>
      <c r="B29" s="343" t="str">
        <f>IF('Summary | Sumário'!D$6=Names!B$3,Names!K28,Names!L28)</f>
        <v>Total liabilities</v>
      </c>
      <c r="C29" s="344">
        <v>7915148</v>
      </c>
      <c r="D29" s="344">
        <v>16597398</v>
      </c>
      <c r="E29" s="344">
        <f>K29</f>
        <v>28176553.591809999</v>
      </c>
      <c r="F29" s="344">
        <f>O29</f>
        <v>39253996</v>
      </c>
      <c r="G29" s="344">
        <f t="shared" si="7"/>
        <v>52755107</v>
      </c>
      <c r="H29" s="344">
        <v>18186051</v>
      </c>
      <c r="I29" s="344">
        <v>21616867.421</v>
      </c>
      <c r="J29" s="344">
        <v>25224265.40315</v>
      </c>
      <c r="K29" s="344">
        <v>28176553.591809999</v>
      </c>
      <c r="L29" s="344">
        <v>30257828</v>
      </c>
      <c r="M29" s="344">
        <v>33818398</v>
      </c>
      <c r="N29" s="344">
        <v>36703672</v>
      </c>
      <c r="O29" s="344">
        <v>39253996</v>
      </c>
      <c r="P29" s="344">
        <v>40561188</v>
      </c>
      <c r="Q29" s="344">
        <v>42685671</v>
      </c>
      <c r="R29" s="344">
        <v>47710613</v>
      </c>
      <c r="S29" s="344">
        <v>52755107</v>
      </c>
      <c r="T29" s="344">
        <v>53810726.275435939</v>
      </c>
      <c r="U29" s="344">
        <v>57965925.803000003</v>
      </c>
      <c r="V29" s="344">
        <v>61060737.176952139</v>
      </c>
      <c r="W29" s="289"/>
      <c r="X29" s="430">
        <f t="shared" si="8"/>
        <v>5.3390182785486795E-2</v>
      </c>
      <c r="Y29" s="430">
        <f t="shared" si="9"/>
        <v>0.27981455985384507</v>
      </c>
      <c r="Z29" s="265"/>
    </row>
    <row r="30" spans="1:27" ht="13" customHeight="1">
      <c r="A30" s="276"/>
      <c r="B30" s="3"/>
      <c r="C30" s="265"/>
      <c r="D30" s="265"/>
      <c r="E30" s="265"/>
      <c r="F30" s="265"/>
      <c r="G30" s="265"/>
      <c r="H30" s="265"/>
      <c r="I30" s="265"/>
      <c r="J30" s="265"/>
      <c r="K30" s="265"/>
      <c r="L30" s="265"/>
      <c r="M30" s="265"/>
      <c r="N30" s="265"/>
      <c r="O30" s="265"/>
      <c r="P30" s="265"/>
      <c r="Q30" s="265"/>
      <c r="R30" s="265"/>
      <c r="S30" s="265"/>
      <c r="T30" s="265"/>
      <c r="U30" s="265"/>
      <c r="V30" s="265"/>
      <c r="W30" s="265"/>
      <c r="X30" s="431"/>
      <c r="Y30" s="431"/>
      <c r="Z30" s="265"/>
    </row>
    <row r="31" spans="1:27" ht="13" customHeight="1">
      <c r="A31" s="276"/>
      <c r="B31" s="31" t="str">
        <f>IF('Summary | Sumário'!D$6=Names!B$3,Names!K29,Names!L29)</f>
        <v>Equity</v>
      </c>
      <c r="C31" s="277"/>
      <c r="D31" s="277"/>
      <c r="E31" s="277"/>
      <c r="F31" s="277"/>
      <c r="G31" s="277"/>
      <c r="H31" s="277"/>
      <c r="I31" s="277"/>
      <c r="J31" s="277"/>
      <c r="K31" s="277"/>
      <c r="L31" s="277"/>
      <c r="M31" s="277"/>
      <c r="N31" s="277"/>
      <c r="O31" s="277"/>
      <c r="P31" s="277"/>
      <c r="Q31" s="277"/>
      <c r="R31" s="277"/>
      <c r="S31" s="277"/>
      <c r="T31" s="277"/>
      <c r="U31" s="277"/>
      <c r="V31" s="277"/>
      <c r="W31" s="265"/>
      <c r="X31" s="426"/>
      <c r="Y31" s="426"/>
      <c r="Z31" s="265"/>
    </row>
    <row r="32" spans="1:27" ht="13" customHeight="1">
      <c r="A32" s="276"/>
      <c r="B32" s="16" t="str">
        <f>IF('Summary | Sumário'!D$6=Names!B$3,Names!K30,Names!L30)</f>
        <v>Equity attributable to owners of the Company</v>
      </c>
      <c r="C32" s="285">
        <f>SUM(C33:C36)</f>
        <v>2157761</v>
      </c>
      <c r="D32" s="285">
        <f t="shared" ref="D32:O32" si="10">SUM(D33:D36)</f>
        <v>3275634</v>
      </c>
      <c r="E32" s="285">
        <f t="shared" si="10"/>
        <v>2656124.8541782</v>
      </c>
      <c r="F32" s="285">
        <f t="shared" si="10"/>
        <v>6992382</v>
      </c>
      <c r="G32" s="285">
        <f t="shared" ref="G32:G38" si="11">S32</f>
        <v>7471810</v>
      </c>
      <c r="H32" s="285">
        <f t="shared" si="10"/>
        <v>3200971</v>
      </c>
      <c r="I32" s="285">
        <f t="shared" si="10"/>
        <v>2725582.0000000005</v>
      </c>
      <c r="J32" s="285">
        <f t="shared" si="10"/>
        <v>2684449.7805932802</v>
      </c>
      <c r="K32" s="285">
        <f t="shared" si="10"/>
        <v>2656124.8541782</v>
      </c>
      <c r="L32" s="285">
        <f t="shared" si="10"/>
        <v>2615835.2391781998</v>
      </c>
      <c r="M32" s="285">
        <f t="shared" si="10"/>
        <v>7034059</v>
      </c>
      <c r="N32" s="285">
        <f t="shared" si="10"/>
        <v>7044410</v>
      </c>
      <c r="O32" s="285">
        <f t="shared" si="10"/>
        <v>6992382</v>
      </c>
      <c r="P32" s="285">
        <f t="shared" ref="P32:U32" si="12">SUM(P33:P36)</f>
        <v>7030966</v>
      </c>
      <c r="Q32" s="285">
        <f t="shared" si="12"/>
        <v>7203957</v>
      </c>
      <c r="R32" s="285">
        <f t="shared" si="12"/>
        <v>7260368</v>
      </c>
      <c r="S32" s="285">
        <f t="shared" si="12"/>
        <v>7471810</v>
      </c>
      <c r="T32" s="285">
        <f t="shared" si="12"/>
        <v>8392475.0009060334</v>
      </c>
      <c r="U32" s="285">
        <f t="shared" si="12"/>
        <v>8461990.9470000006</v>
      </c>
      <c r="V32" s="285">
        <f t="shared" ref="V32" si="13">SUM(V33:V36)</f>
        <v>8707251.9870082885</v>
      </c>
      <c r="W32" s="285"/>
      <c r="X32" s="310">
        <f t="shared" ref="X32:X38" si="14">V32/U32-1</f>
        <v>2.8983845710120804E-2</v>
      </c>
      <c r="Y32" s="310">
        <f t="shared" ref="Y32:Y38" si="15">V32/R32-1</f>
        <v>0.19928521350547079</v>
      </c>
      <c r="Z32" s="285"/>
    </row>
    <row r="33" spans="1:26" ht="13" customHeight="1">
      <c r="A33" s="276"/>
      <c r="B33" s="23" t="str">
        <f>IF('Summary | Sumário'!D$6=Names!B$3,Names!K31,Names!L31)</f>
        <v>Share capital</v>
      </c>
      <c r="C33" s="284">
        <v>2068305</v>
      </c>
      <c r="D33" s="284">
        <v>3216455</v>
      </c>
      <c r="E33" s="284">
        <f t="shared" ref="E33:E38" si="16">K33</f>
        <v>13.23917819999042</v>
      </c>
      <c r="F33" s="284">
        <f t="shared" ref="F33:F38" si="17">O33</f>
        <v>13</v>
      </c>
      <c r="G33" s="252">
        <f t="shared" si="11"/>
        <v>13</v>
      </c>
      <c r="H33" s="284">
        <v>3216455</v>
      </c>
      <c r="I33" s="284">
        <v>12.78059328001109</v>
      </c>
      <c r="J33" s="284">
        <v>12.78059328001109</v>
      </c>
      <c r="K33" s="284">
        <v>13.23917819999042</v>
      </c>
      <c r="L33" s="284">
        <v>13.23917819999042</v>
      </c>
      <c r="M33" s="252">
        <v>13</v>
      </c>
      <c r="N33" s="252">
        <v>13</v>
      </c>
      <c r="O33" s="252">
        <v>13</v>
      </c>
      <c r="P33" s="252">
        <v>13</v>
      </c>
      <c r="Q33" s="252">
        <v>13</v>
      </c>
      <c r="R33" s="252">
        <v>13</v>
      </c>
      <c r="S33" s="252">
        <v>13</v>
      </c>
      <c r="T33" s="252">
        <v>13.000906033441424</v>
      </c>
      <c r="U33" s="252">
        <v>13.002000000000001</v>
      </c>
      <c r="V33" s="252">
        <v>13.204929417967797</v>
      </c>
      <c r="W33" s="253"/>
      <c r="X33" s="263">
        <f t="shared" si="14"/>
        <v>1.5607554066128015E-2</v>
      </c>
      <c r="Y33" s="263">
        <f t="shared" si="15"/>
        <v>1.5763801382138176E-2</v>
      </c>
      <c r="Z33" s="253"/>
    </row>
    <row r="34" spans="1:26" ht="13" customHeight="1">
      <c r="A34" s="276"/>
      <c r="B34" s="17" t="str">
        <f>IF('Summary | Sumário'!D$6=Names!B$3,Names!K32,Names!L32)</f>
        <v>Reserves</v>
      </c>
      <c r="C34" s="285">
        <v>90152</v>
      </c>
      <c r="D34" s="285">
        <v>150709</v>
      </c>
      <c r="E34" s="285">
        <f t="shared" si="16"/>
        <v>2728396</v>
      </c>
      <c r="F34" s="285">
        <f t="shared" si="17"/>
        <v>7817670</v>
      </c>
      <c r="G34" s="253">
        <f t="shared" si="11"/>
        <v>8147285</v>
      </c>
      <c r="H34" s="285">
        <v>57846</v>
      </c>
      <c r="I34" s="285">
        <v>2744512.2194067203</v>
      </c>
      <c r="J34" s="285">
        <v>2733223</v>
      </c>
      <c r="K34" s="285">
        <v>2728396</v>
      </c>
      <c r="L34" s="285">
        <v>2700579</v>
      </c>
      <c r="M34" s="253">
        <v>7842630</v>
      </c>
      <c r="N34" s="253">
        <v>7870186</v>
      </c>
      <c r="O34" s="253">
        <v>7817670</v>
      </c>
      <c r="P34" s="253">
        <v>7855472</v>
      </c>
      <c r="Q34" s="253">
        <v>7902577</v>
      </c>
      <c r="R34" s="253">
        <v>7998214</v>
      </c>
      <c r="S34" s="253">
        <v>8147285</v>
      </c>
      <c r="T34" s="253">
        <v>9116496</v>
      </c>
      <c r="U34" s="253">
        <v>9232289.6119999997</v>
      </c>
      <c r="V34" s="253">
        <v>9508076.4920023978</v>
      </c>
      <c r="W34" s="253"/>
      <c r="X34" s="260">
        <f t="shared" si="14"/>
        <v>2.9871991845222601E-2</v>
      </c>
      <c r="Y34" s="260">
        <f t="shared" si="15"/>
        <v>0.18877495550911716</v>
      </c>
      <c r="Z34" s="253"/>
    </row>
    <row r="35" spans="1:26" ht="13" customHeight="1">
      <c r="A35" s="276"/>
      <c r="B35" s="23" t="str">
        <f>IF('Summary | Sumário'!D$6=Names!B$3,Names!K33,Names!L33)</f>
        <v>Other comprehensive income</v>
      </c>
      <c r="C35" s="284">
        <v>-696</v>
      </c>
      <c r="D35" s="284">
        <v>25991</v>
      </c>
      <c r="E35" s="284">
        <f t="shared" si="16"/>
        <v>-72284.384999999995</v>
      </c>
      <c r="F35" s="284">
        <f t="shared" si="17"/>
        <v>-825301</v>
      </c>
      <c r="G35" s="252">
        <f t="shared" si="11"/>
        <v>-675488</v>
      </c>
      <c r="H35" s="284">
        <v>-36968</v>
      </c>
      <c r="I35" s="284">
        <v>-18943</v>
      </c>
      <c r="J35" s="284">
        <v>-48786</v>
      </c>
      <c r="K35" s="284">
        <v>-72284.384999999995</v>
      </c>
      <c r="L35" s="284">
        <v>-84757</v>
      </c>
      <c r="M35" s="252">
        <v>-808584</v>
      </c>
      <c r="N35" s="252">
        <v>-825789</v>
      </c>
      <c r="O35" s="252">
        <v>-825301</v>
      </c>
      <c r="P35" s="252">
        <v>-808110</v>
      </c>
      <c r="Q35" s="252">
        <v>-682224</v>
      </c>
      <c r="R35" s="252">
        <v>-729442</v>
      </c>
      <c r="S35" s="252">
        <v>-675488</v>
      </c>
      <c r="T35" s="252">
        <v>-711251</v>
      </c>
      <c r="U35" s="252">
        <v>-756624.66700000002</v>
      </c>
      <c r="V35" s="252">
        <v>-800225.50590014691</v>
      </c>
      <c r="W35" s="253"/>
      <c r="X35" s="263">
        <f t="shared" si="14"/>
        <v>5.7625452621077322E-2</v>
      </c>
      <c r="Y35" s="263">
        <f t="shared" si="15"/>
        <v>9.7037880873526383E-2</v>
      </c>
      <c r="Z35" s="253"/>
    </row>
    <row r="36" spans="1:26" ht="13" customHeight="1">
      <c r="A36" s="276"/>
      <c r="B36" s="17" t="str">
        <f>IF('Summary | Sumário'!D$6=Names!B$3,Names!K34,Names!L34)</f>
        <v>Treasury shares</v>
      </c>
      <c r="C36" s="285">
        <v>0</v>
      </c>
      <c r="D36" s="285">
        <v>-117521</v>
      </c>
      <c r="E36" s="285">
        <f t="shared" si="16"/>
        <v>0</v>
      </c>
      <c r="F36" s="285">
        <f t="shared" si="17"/>
        <v>0</v>
      </c>
      <c r="G36" s="253">
        <f t="shared" si="11"/>
        <v>0</v>
      </c>
      <c r="H36" s="285">
        <v>-36362</v>
      </c>
      <c r="I36" s="285">
        <v>0</v>
      </c>
      <c r="J36" s="285">
        <v>0</v>
      </c>
      <c r="K36" s="285">
        <v>0</v>
      </c>
      <c r="L36" s="285">
        <v>0</v>
      </c>
      <c r="M36" s="253">
        <v>0</v>
      </c>
      <c r="N36" s="253">
        <v>0</v>
      </c>
      <c r="O36" s="253">
        <v>0</v>
      </c>
      <c r="P36" s="253">
        <v>-16409</v>
      </c>
      <c r="Q36" s="253">
        <v>-16409</v>
      </c>
      <c r="R36" s="253">
        <v>-8417</v>
      </c>
      <c r="S36" s="253">
        <v>0</v>
      </c>
      <c r="T36" s="253">
        <v>-12783</v>
      </c>
      <c r="U36" s="253">
        <v>-13687</v>
      </c>
      <c r="V36" s="253">
        <v>-612.20402338123324</v>
      </c>
      <c r="W36" s="253"/>
      <c r="X36" s="260">
        <f t="shared" si="14"/>
        <v>-0.95527113148379972</v>
      </c>
      <c r="Y36" s="260">
        <f t="shared" si="15"/>
        <v>-0.92726576887474954</v>
      </c>
      <c r="Z36" s="253"/>
    </row>
    <row r="37" spans="1:26" ht="13" customHeight="1">
      <c r="A37" s="276"/>
      <c r="B37" s="22" t="str">
        <f>IF('Summary | Sumário'!D$6=Names!B$3,Names!K35,Names!L35)</f>
        <v>Non-controlling interest</v>
      </c>
      <c r="C37" s="284">
        <v>4177</v>
      </c>
      <c r="D37" s="284">
        <v>48581</v>
      </c>
      <c r="E37" s="284">
        <f t="shared" si="16"/>
        <v>5793658.7330626091</v>
      </c>
      <c r="F37" s="284">
        <f t="shared" si="17"/>
        <v>96722</v>
      </c>
      <c r="G37" s="252">
        <f t="shared" si="11"/>
        <v>124881</v>
      </c>
      <c r="H37" s="284">
        <v>49645</v>
      </c>
      <c r="I37" s="284">
        <v>5967043.7920000013</v>
      </c>
      <c r="J37" s="284">
        <v>5853877.4000000004</v>
      </c>
      <c r="K37" s="284">
        <v>5793658.7330626091</v>
      </c>
      <c r="L37" s="284">
        <v>5738531</v>
      </c>
      <c r="M37" s="252">
        <v>81322</v>
      </c>
      <c r="N37" s="252">
        <v>95985</v>
      </c>
      <c r="O37" s="252">
        <v>96722</v>
      </c>
      <c r="P37" s="252">
        <v>108940</v>
      </c>
      <c r="Q37" s="252">
        <v>113701</v>
      </c>
      <c r="R37" s="252">
        <v>107859</v>
      </c>
      <c r="S37" s="252">
        <v>124881</v>
      </c>
      <c r="T37" s="252">
        <v>145978</v>
      </c>
      <c r="U37" s="252">
        <v>145544.61499999999</v>
      </c>
      <c r="V37" s="252">
        <v>161231.219404701</v>
      </c>
      <c r="W37" s="253"/>
      <c r="X37" s="263">
        <f t="shared" si="14"/>
        <v>0.10777866570124228</v>
      </c>
      <c r="Y37" s="263">
        <f t="shared" si="15"/>
        <v>0.4948332490075098</v>
      </c>
      <c r="Z37" s="253"/>
    </row>
    <row r="38" spans="1:26" ht="13" customHeight="1">
      <c r="A38" s="276"/>
      <c r="B38" s="14" t="str">
        <f>IF('Summary | Sumário'!D$6=Names!B$3,Names!K36,Names!L36)</f>
        <v>Total equity</v>
      </c>
      <c r="C38" s="288">
        <v>2161938</v>
      </c>
      <c r="D38" s="288">
        <v>3324215</v>
      </c>
      <c r="E38" s="288">
        <f t="shared" si="16"/>
        <v>8449783.5872408096</v>
      </c>
      <c r="F38" s="288">
        <f t="shared" si="17"/>
        <v>7089104</v>
      </c>
      <c r="G38" s="289">
        <f t="shared" si="11"/>
        <v>7596691</v>
      </c>
      <c r="H38" s="288">
        <v>3250616</v>
      </c>
      <c r="I38" s="288">
        <v>8692625.7920000013</v>
      </c>
      <c r="J38" s="288">
        <v>8538327.1805932801</v>
      </c>
      <c r="K38" s="288">
        <v>8449783.5872408096</v>
      </c>
      <c r="L38" s="288">
        <v>8354366</v>
      </c>
      <c r="M38" s="289">
        <v>7115381</v>
      </c>
      <c r="N38" s="289">
        <v>7140395</v>
      </c>
      <c r="O38" s="289">
        <v>7089104</v>
      </c>
      <c r="P38" s="289">
        <v>7139906</v>
      </c>
      <c r="Q38" s="289">
        <v>7317658</v>
      </c>
      <c r="R38" s="289">
        <v>7368227</v>
      </c>
      <c r="S38" s="289">
        <v>7596691</v>
      </c>
      <c r="T38" s="289">
        <v>8538453.0009060334</v>
      </c>
      <c r="U38" s="289">
        <v>8607535.5620000008</v>
      </c>
      <c r="V38" s="289">
        <v>8868483.2064129896</v>
      </c>
      <c r="W38" s="289"/>
      <c r="X38" s="432">
        <f t="shared" si="14"/>
        <v>3.0316185455568023E-2</v>
      </c>
      <c r="Y38" s="432">
        <f t="shared" si="15"/>
        <v>0.20361156169767702</v>
      </c>
      <c r="Z38" s="265"/>
    </row>
    <row r="39" spans="1:26" ht="13" customHeight="1">
      <c r="A39" s="276"/>
      <c r="B39" s="24"/>
      <c r="C39" s="277"/>
      <c r="D39" s="277"/>
      <c r="E39" s="277"/>
      <c r="F39" s="277"/>
      <c r="G39" s="277"/>
      <c r="H39" s="277"/>
      <c r="I39" s="277"/>
      <c r="J39" s="277"/>
      <c r="K39" s="277"/>
      <c r="L39" s="277"/>
      <c r="M39" s="277"/>
      <c r="N39" s="277"/>
      <c r="O39" s="277"/>
      <c r="P39" s="277"/>
      <c r="Q39" s="277"/>
      <c r="R39" s="277"/>
      <c r="S39" s="277"/>
      <c r="T39" s="277"/>
      <c r="U39" s="277"/>
      <c r="V39" s="277"/>
      <c r="W39" s="265"/>
      <c r="X39" s="426"/>
      <c r="Y39" s="426"/>
      <c r="Z39" s="265"/>
    </row>
    <row r="40" spans="1:26" ht="13" customHeight="1">
      <c r="A40" s="276"/>
      <c r="B40" s="9" t="str">
        <f>IF('Summary | Sumário'!D$6=Names!B$3,Names!K37,Names!L37)</f>
        <v>Liabilities + equity</v>
      </c>
      <c r="C40" s="289"/>
      <c r="D40" s="289"/>
      <c r="E40" s="289"/>
      <c r="F40" s="289"/>
      <c r="G40" s="289"/>
      <c r="H40" s="289"/>
      <c r="I40" s="289"/>
      <c r="J40" s="289"/>
      <c r="K40" s="289"/>
      <c r="L40" s="289"/>
      <c r="M40" s="289"/>
      <c r="N40" s="289"/>
      <c r="O40" s="289"/>
      <c r="P40" s="289"/>
      <c r="Q40" s="289"/>
      <c r="R40" s="289"/>
      <c r="S40" s="289"/>
      <c r="T40" s="289"/>
      <c r="U40" s="289"/>
      <c r="V40" s="289"/>
      <c r="W40" s="289"/>
      <c r="X40" s="432"/>
      <c r="Y40" s="432"/>
      <c r="Z40" s="265"/>
    </row>
    <row r="41" spans="1:26" ht="13" customHeight="1">
      <c r="A41" s="276"/>
      <c r="B41" s="345" t="str">
        <f>IF('Summary | Sumário'!D$6=Names!B$3,Names!K38,Names!L38)</f>
        <v>Total liabilities and total equity</v>
      </c>
      <c r="C41" s="346">
        <v>10077086</v>
      </c>
      <c r="D41" s="346">
        <v>19921613</v>
      </c>
      <c r="E41" s="346">
        <f>K41</f>
        <v>36626337.179050811</v>
      </c>
      <c r="F41" s="346">
        <f>O41</f>
        <v>46343100</v>
      </c>
      <c r="G41" s="344">
        <f>S41</f>
        <v>60351797</v>
      </c>
      <c r="H41" s="346">
        <v>21436667</v>
      </c>
      <c r="I41" s="346">
        <v>30309493.213</v>
      </c>
      <c r="J41" s="346">
        <v>33762592.583743282</v>
      </c>
      <c r="K41" s="346">
        <v>36626337.179050811</v>
      </c>
      <c r="L41" s="346">
        <v>38612194</v>
      </c>
      <c r="M41" s="344">
        <v>40933779</v>
      </c>
      <c r="N41" s="344">
        <v>43844067</v>
      </c>
      <c r="O41" s="344">
        <v>46343100</v>
      </c>
      <c r="P41" s="344">
        <v>47701094</v>
      </c>
      <c r="Q41" s="344">
        <v>50003329</v>
      </c>
      <c r="R41" s="344">
        <v>55078840</v>
      </c>
      <c r="S41" s="344">
        <v>60351797</v>
      </c>
      <c r="T41" s="344">
        <v>62349179.276341975</v>
      </c>
      <c r="U41" s="344">
        <v>66573461.365000002</v>
      </c>
      <c r="V41" s="344">
        <v>69929220.383365124</v>
      </c>
      <c r="W41" s="289"/>
      <c r="X41" s="430">
        <f>V41/U41-1</f>
        <v>5.0406858071666338E-2</v>
      </c>
      <c r="Y41" s="430">
        <f>V41/R41-1</f>
        <v>0.26962042743393155</v>
      </c>
      <c r="Z41" s="265"/>
    </row>
    <row r="42" spans="1:26" ht="13" customHeight="1">
      <c r="B42" s="14"/>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row>
    <row r="43" spans="1:26" ht="13" customHeight="1">
      <c r="B43" s="18"/>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row>
    <row r="44" spans="1:26" ht="13" customHeight="1">
      <c r="C44" s="291"/>
      <c r="O44" s="291"/>
      <c r="P44" s="291"/>
      <c r="Q44" s="291"/>
      <c r="R44" s="291"/>
      <c r="S44" s="291"/>
      <c r="T44" s="291"/>
      <c r="U44" s="291"/>
      <c r="V44" s="291"/>
      <c r="W44" s="291"/>
      <c r="X44" s="291"/>
      <c r="Y44" s="291"/>
    </row>
    <row r="45" spans="1:26" ht="13" customHeight="1">
      <c r="H45" s="291"/>
      <c r="O45" s="291"/>
      <c r="P45" s="291"/>
      <c r="Q45" s="291"/>
      <c r="R45" s="291"/>
      <c r="S45" s="291"/>
      <c r="T45" s="291"/>
      <c r="U45" s="291"/>
      <c r="V45" s="291"/>
      <c r="W45" s="291"/>
      <c r="X45" s="291"/>
      <c r="Y45" s="291"/>
    </row>
    <row r="46" spans="1:26" ht="13" customHeight="1">
      <c r="O46" s="291"/>
      <c r="P46" s="291"/>
      <c r="Q46" s="291"/>
      <c r="R46" s="291"/>
      <c r="S46" s="291"/>
      <c r="T46" s="291"/>
      <c r="U46" s="291"/>
      <c r="V46" s="291"/>
      <c r="W46" s="291"/>
      <c r="X46" s="291"/>
      <c r="Y46" s="291"/>
    </row>
    <row r="47" spans="1:26" ht="13" customHeight="1">
      <c r="O47" s="291"/>
      <c r="P47" s="291"/>
      <c r="Q47" s="291"/>
      <c r="R47" s="291"/>
      <c r="S47" s="291"/>
      <c r="T47" s="291"/>
      <c r="U47" s="291"/>
      <c r="V47" s="291"/>
      <c r="W47" s="291"/>
      <c r="X47" s="291"/>
      <c r="Y47" s="291"/>
    </row>
  </sheetData>
  <sheetProtection algorithmName="SHA-512" hashValue="ogi9SfN4Jk7qZdGJoqy56YaYMxddK9RKwGEbjDHfBDX3VUf4JgXw1m8SAd3D3CijdGeJiS0GXDodAGleo0dEEQ==" saltValue="QCeU0tYla5NfKLQhewk7MA==" spinCount="100000" sheet="1" formatCells="0" formatColumns="0" formatRows="0" insertColumns="0" insertRows="0" insertHyperlinks="0" deleteColumns="0" deleteRows="0" sort="0" autoFilter="0" pivotTables="0"/>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8006-174F-CB4D-8F57-C3ED229B1EBF}">
  <sheetPr codeName="Sheet4">
    <tabColor rgb="FFEB7100"/>
  </sheetPr>
  <dimension ref="A1:XEY34"/>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5" customWidth="1"/>
    <col min="23" max="23" width="4.83203125" style="135" customWidth="1"/>
    <col min="24" max="25" width="10.83203125" style="135" customWidth="1"/>
    <col min="26" max="16384" width="10.83203125" style="135"/>
  </cols>
  <sheetData>
    <row r="1" spans="1:1013 1026:2040 2053:3067 3080:4094 4107:5108 5121:6135 6148:7162 7175:8189 8202:9216 9229:10230 10243:11257 11270:12284 12297:13311 13324:14325 14338:15352 15365:16379" ht="13" customHeight="1">
      <c r="C1" s="136"/>
      <c r="D1" s="136"/>
      <c r="E1" s="136"/>
      <c r="F1" s="136"/>
      <c r="G1" s="136"/>
      <c r="H1" s="136"/>
      <c r="I1" s="136"/>
      <c r="J1" s="136"/>
      <c r="K1" s="136"/>
      <c r="L1" s="136"/>
      <c r="M1" s="136"/>
      <c r="N1" s="136"/>
      <c r="O1" s="136"/>
      <c r="P1" s="136"/>
      <c r="Q1" s="136"/>
      <c r="R1" s="136"/>
      <c r="S1" s="136"/>
      <c r="T1" s="136"/>
      <c r="U1" s="136"/>
      <c r="V1" s="136"/>
      <c r="W1" s="136"/>
      <c r="X1" s="136"/>
      <c r="Y1" s="136"/>
    </row>
    <row r="2" spans="1:1013 1026:2040 2053:3067 3080:4094 4107:5108 5121:6135 6148:7162 7175:8189 8202:9216 9229:10230 10243:11257 11270:12284 12297:13311 13324:14325 14338:15352 15365:16379" s="10" customFormat="1" ht="13" customHeight="1">
      <c r="B2" s="319" t="str">
        <f>IF('Summary | Sumário'!D$6=Names!B$3,Names!M1,Names!N1)</f>
        <v>Income Statement (IFRS, R$ Thousands)</v>
      </c>
      <c r="C2" s="133">
        <f>IF('Summary | Sumário'!D6=Names!B3,Names!C2,Names!D2)</f>
        <v>2019</v>
      </c>
      <c r="D2" s="133">
        <f>IF('Summary | Sumário'!D6=Names!B3,Names!C3,Names!D3)</f>
        <v>2020</v>
      </c>
      <c r="E2" s="133">
        <f>IF('Summary | Sumário'!D6=Names!B3,Names!C4,Names!D4)</f>
        <v>2021</v>
      </c>
      <c r="F2" s="133">
        <f>IF('Summary | Sumário'!D6=Names!B3,Names!C5,Names!D5)</f>
        <v>2022</v>
      </c>
      <c r="G2" s="348">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412" t="str">
        <f>IF('Summary | Sumário'!D6=Names!B3,Names!C21,Names!D21)</f>
        <v>3Q24</v>
      </c>
      <c r="W2" s="423"/>
      <c r="X2" s="116" t="str">
        <f>IF('Summary | Sumário'!$D$6=Names!$B$3,Names!$I$24,Names!$J$24)</f>
        <v>QoQ Variation</v>
      </c>
      <c r="Y2" s="116" t="str">
        <f>IF('Summary | Sumário'!D6=Names!$B$3,Names!$I$25,Names!$J$25)</f>
        <v>YoY Variation</v>
      </c>
      <c r="Z2" s="11"/>
      <c r="AB2" s="12"/>
      <c r="AC2" s="13"/>
    </row>
    <row r="3" spans="1:1013 1026:2040 2053:3067 3080:4094 4107:5108 5121:6135 6148:7162 7175:8189 8202:9216 9229:10230 10243:11257 11270:12284 12297:13311 13324:14325 14338:15352 15365:16379" ht="13" customHeight="1">
      <c r="B3" s="14"/>
      <c r="C3" s="147"/>
      <c r="D3" s="147"/>
      <c r="E3" s="147"/>
      <c r="F3" s="147"/>
      <c r="G3" s="147"/>
      <c r="H3" s="147"/>
      <c r="I3" s="147"/>
      <c r="J3" s="147"/>
      <c r="K3" s="147"/>
      <c r="L3" s="147"/>
      <c r="M3" s="147"/>
      <c r="N3" s="147"/>
      <c r="O3" s="147"/>
      <c r="P3" s="147"/>
      <c r="Q3" s="147"/>
      <c r="R3" s="147"/>
      <c r="S3" s="147"/>
      <c r="T3" s="147"/>
      <c r="U3" s="147"/>
      <c r="V3" s="147"/>
      <c r="W3" s="147"/>
      <c r="X3" s="147"/>
      <c r="Y3" s="147"/>
    </row>
    <row r="4" spans="1:1013 1026:2040 2053:3067 3080:4094 4107:5108 5121:6135 6148:7162 7175:8189 8202:9216 9229:10230 10243:11257 11270:12284 12297:13311 13324:14325 14338:15352 15365:16379" ht="13" customHeight="1">
      <c r="A4" s="249"/>
      <c r="B4" s="16" t="str">
        <f>IF('Summary | Sumário'!D$6=Names!B$3,Names!M2,Names!N2)</f>
        <v>Interest income</v>
      </c>
      <c r="C4" s="220">
        <v>775515</v>
      </c>
      <c r="D4" s="220">
        <v>942655.89517999999</v>
      </c>
      <c r="E4" s="220">
        <v>1435428.2459999998</v>
      </c>
      <c r="F4" s="220">
        <v>2802658.0819999995</v>
      </c>
      <c r="G4" s="220">
        <v>4549827</v>
      </c>
      <c r="H4" s="220">
        <v>289003.935</v>
      </c>
      <c r="I4" s="220">
        <v>305659.75100000005</v>
      </c>
      <c r="J4" s="220">
        <v>367405.88</v>
      </c>
      <c r="K4" s="220">
        <v>473357.68</v>
      </c>
      <c r="L4" s="220">
        <v>521159.63199999993</v>
      </c>
      <c r="M4" s="220">
        <v>622312.6370000001</v>
      </c>
      <c r="N4" s="220">
        <v>788342.73100000003</v>
      </c>
      <c r="O4" s="220">
        <v>870843.08199999994</v>
      </c>
      <c r="P4" s="220">
        <v>1012926.822</v>
      </c>
      <c r="Q4" s="220">
        <v>1151105</v>
      </c>
      <c r="R4" s="220">
        <v>1106935.08874</v>
      </c>
      <c r="S4" s="220">
        <v>1278860.08926</v>
      </c>
      <c r="T4" s="220">
        <v>1217530.9999999998</v>
      </c>
      <c r="U4" s="220">
        <v>1172414.1410000001</v>
      </c>
      <c r="V4" s="220">
        <v>1412223.0789999999</v>
      </c>
      <c r="W4" s="220"/>
      <c r="X4" s="433">
        <f>V4/U4-1</f>
        <v>0.20454285701079744</v>
      </c>
      <c r="Y4" s="433">
        <f>V4/R4-1</f>
        <v>0.27579574752436709</v>
      </c>
    </row>
    <row r="5" spans="1:1013 1026:2040 2053:3067 3080:4094 4107:5108 5121:6135 6148:7162 7175:8189 8202:9216 9229:10230 10243:11257 11270:12284 12297:13311 13324:14325 14338:15352 15365:16379" s="250" customFormat="1" ht="13" customHeight="1">
      <c r="A5" s="249"/>
      <c r="B5" s="22" t="str">
        <f>IF('Summary | Sumário'!D$6=Names!B$3,Names!M3,Names!N3)</f>
        <v>Interest expenses</v>
      </c>
      <c r="C5" s="275">
        <v>-256717</v>
      </c>
      <c r="D5" s="275">
        <v>-184335</v>
      </c>
      <c r="E5" s="275">
        <v>-543242</v>
      </c>
      <c r="F5" s="275">
        <v>-1972850</v>
      </c>
      <c r="G5" s="275">
        <v>-2887573</v>
      </c>
      <c r="H5" s="275">
        <v>-65559</v>
      </c>
      <c r="I5" s="275">
        <v>-86261</v>
      </c>
      <c r="J5" s="275">
        <v>-138587</v>
      </c>
      <c r="K5" s="275">
        <v>-252835</v>
      </c>
      <c r="L5" s="275">
        <v>-336771</v>
      </c>
      <c r="M5" s="275">
        <v>-465041</v>
      </c>
      <c r="N5" s="275">
        <v>-579678</v>
      </c>
      <c r="O5" s="275">
        <v>-591360</v>
      </c>
      <c r="P5" s="275">
        <v>-672771</v>
      </c>
      <c r="Q5" s="275">
        <v>-692206</v>
      </c>
      <c r="R5" s="275">
        <v>-770398</v>
      </c>
      <c r="S5" s="275">
        <v>-752198.00500000012</v>
      </c>
      <c r="T5" s="275">
        <v>-762246.89030000009</v>
      </c>
      <c r="U5" s="275">
        <v>-772642.60900000005</v>
      </c>
      <c r="V5" s="275">
        <v>-835617.71799999999</v>
      </c>
      <c r="W5" s="220"/>
      <c r="X5" s="434">
        <f t="shared" ref="X5:X7" si="0">V5/U5-1</f>
        <v>8.1506130087112494E-2</v>
      </c>
      <c r="Y5" s="434">
        <f t="shared" ref="Y5:Y7" si="1">V5/R5-1</f>
        <v>8.4657174603256946E-2</v>
      </c>
      <c r="Z5" s="135"/>
      <c r="AL5" s="251"/>
      <c r="AY5" s="251"/>
      <c r="BL5" s="251"/>
      <c r="BY5" s="251"/>
      <c r="CL5" s="251"/>
      <c r="CY5" s="251"/>
      <c r="DL5" s="251"/>
      <c r="DY5" s="251"/>
      <c r="EL5" s="251"/>
      <c r="EY5" s="251"/>
      <c r="FL5" s="251"/>
      <c r="FY5" s="251"/>
      <c r="GL5" s="251"/>
      <c r="GY5" s="251"/>
      <c r="HL5" s="251"/>
      <c r="HY5" s="251"/>
      <c r="IL5" s="251"/>
      <c r="IY5" s="251"/>
      <c r="JL5" s="251"/>
      <c r="JY5" s="251"/>
      <c r="KL5" s="251"/>
      <c r="KY5" s="251"/>
      <c r="LL5" s="251"/>
      <c r="LY5" s="251"/>
      <c r="ML5" s="251"/>
      <c r="MY5" s="251"/>
      <c r="NL5" s="251"/>
      <c r="NY5" s="251"/>
      <c r="OL5" s="251"/>
      <c r="OY5" s="251"/>
      <c r="PL5" s="251"/>
      <c r="PY5" s="251"/>
      <c r="QL5" s="251"/>
      <c r="QY5" s="251"/>
      <c r="RL5" s="251"/>
      <c r="RY5" s="251"/>
      <c r="SL5" s="251"/>
      <c r="SY5" s="251"/>
      <c r="TL5" s="251"/>
      <c r="TY5" s="251"/>
      <c r="UL5" s="251"/>
      <c r="UY5" s="251"/>
      <c r="VL5" s="251"/>
      <c r="VY5" s="251"/>
      <c r="WL5" s="251"/>
      <c r="WY5" s="251"/>
      <c r="XL5" s="251"/>
      <c r="XY5" s="251"/>
      <c r="YL5" s="251"/>
      <c r="YY5" s="251"/>
      <c r="ZL5" s="251"/>
      <c r="ZY5" s="251"/>
      <c r="AAL5" s="251"/>
      <c r="AAY5" s="251"/>
      <c r="ABL5" s="251"/>
      <c r="ABY5" s="251"/>
      <c r="ACL5" s="251"/>
      <c r="ACY5" s="251"/>
      <c r="ADL5" s="251"/>
      <c r="ADY5" s="251"/>
      <c r="AEL5" s="251"/>
      <c r="AEY5" s="251"/>
      <c r="AFL5" s="251"/>
      <c r="AFY5" s="251"/>
      <c r="AGL5" s="251"/>
      <c r="AGY5" s="251"/>
      <c r="AHL5" s="251"/>
      <c r="AHY5" s="251"/>
      <c r="AIL5" s="251"/>
      <c r="AIY5" s="251"/>
      <c r="AJL5" s="251"/>
      <c r="AJY5" s="251"/>
      <c r="AKL5" s="251"/>
      <c r="AKY5" s="251"/>
      <c r="ALL5" s="251"/>
      <c r="ALY5" s="251"/>
      <c r="AML5" s="251"/>
      <c r="AMY5" s="251"/>
      <c r="ANL5" s="251"/>
      <c r="ANY5" s="251"/>
      <c r="AOL5" s="251"/>
      <c r="AOY5" s="251"/>
      <c r="APL5" s="251"/>
      <c r="APY5" s="251"/>
      <c r="AQL5" s="251"/>
      <c r="AQY5" s="251"/>
      <c r="ARL5" s="251"/>
      <c r="ARY5" s="251"/>
      <c r="ASL5" s="251"/>
      <c r="ASY5" s="251"/>
      <c r="ATL5" s="251"/>
      <c r="ATY5" s="251"/>
      <c r="AUL5" s="251"/>
      <c r="AUY5" s="251"/>
      <c r="AVL5" s="251"/>
      <c r="AVY5" s="251"/>
      <c r="AWL5" s="251"/>
      <c r="AWY5" s="251"/>
      <c r="AXL5" s="251"/>
      <c r="AXY5" s="251"/>
      <c r="AYL5" s="251"/>
      <c r="AYY5" s="251"/>
      <c r="AZL5" s="251"/>
      <c r="AZY5" s="251"/>
      <c r="BAL5" s="251"/>
      <c r="BAY5" s="251"/>
      <c r="BBL5" s="251"/>
      <c r="BBY5" s="251"/>
      <c r="BCL5" s="251"/>
      <c r="BCY5" s="251"/>
      <c r="BDL5" s="251"/>
      <c r="BDY5" s="251"/>
      <c r="BEL5" s="251"/>
      <c r="BEY5" s="251"/>
      <c r="BFL5" s="251"/>
      <c r="BFY5" s="251"/>
      <c r="BGL5" s="251"/>
      <c r="BGY5" s="251"/>
      <c r="BHL5" s="251"/>
      <c r="BHY5" s="251"/>
      <c r="BIL5" s="251"/>
      <c r="BIY5" s="251"/>
      <c r="BJL5" s="251"/>
      <c r="BJY5" s="251"/>
      <c r="BKL5" s="251"/>
      <c r="BKY5" s="251"/>
      <c r="BLL5" s="251"/>
      <c r="BLY5" s="251"/>
      <c r="BML5" s="251"/>
      <c r="BMY5" s="251"/>
      <c r="BNL5" s="251"/>
      <c r="BNY5" s="251"/>
      <c r="BOL5" s="251"/>
      <c r="BOY5" s="251"/>
      <c r="BPL5" s="251"/>
      <c r="BPY5" s="251"/>
      <c r="BQL5" s="251"/>
      <c r="BQY5" s="251"/>
      <c r="BRL5" s="251"/>
      <c r="BRY5" s="251"/>
      <c r="BSL5" s="251"/>
      <c r="BSY5" s="251"/>
      <c r="BTL5" s="251"/>
      <c r="BTY5" s="251"/>
      <c r="BUL5" s="251"/>
      <c r="BUY5" s="251"/>
      <c r="BVL5" s="251"/>
      <c r="BVY5" s="251"/>
      <c r="BWL5" s="251"/>
      <c r="BWY5" s="251"/>
      <c r="BXL5" s="251"/>
      <c r="BXY5" s="251"/>
      <c r="BYL5" s="251"/>
      <c r="BYY5" s="251"/>
      <c r="BZL5" s="251"/>
      <c r="BZY5" s="251"/>
      <c r="CAL5" s="251"/>
      <c r="CAY5" s="251"/>
      <c r="CBL5" s="251"/>
      <c r="CBY5" s="251"/>
      <c r="CCL5" s="251"/>
      <c r="CCY5" s="251"/>
      <c r="CDL5" s="251"/>
      <c r="CDY5" s="251"/>
      <c r="CEL5" s="251"/>
      <c r="CEY5" s="251"/>
      <c r="CFL5" s="251"/>
      <c r="CFY5" s="251"/>
      <c r="CGL5" s="251"/>
      <c r="CGY5" s="251"/>
      <c r="CHL5" s="251"/>
      <c r="CHY5" s="251"/>
      <c r="CIL5" s="251"/>
      <c r="CIY5" s="251"/>
      <c r="CJL5" s="251"/>
      <c r="CJY5" s="251"/>
      <c r="CKL5" s="251"/>
      <c r="CKY5" s="251"/>
      <c r="CLL5" s="251"/>
      <c r="CLY5" s="251"/>
      <c r="CML5" s="251"/>
      <c r="CMY5" s="251"/>
      <c r="CNL5" s="251"/>
      <c r="CNY5" s="251"/>
      <c r="COL5" s="251"/>
      <c r="COY5" s="251"/>
      <c r="CPL5" s="251"/>
      <c r="CPY5" s="251"/>
      <c r="CQL5" s="251"/>
      <c r="CQY5" s="251"/>
      <c r="CRL5" s="251"/>
      <c r="CRY5" s="251"/>
      <c r="CSL5" s="251"/>
      <c r="CSY5" s="251"/>
      <c r="CTL5" s="251"/>
      <c r="CTY5" s="251"/>
      <c r="CUL5" s="251"/>
      <c r="CUY5" s="251"/>
      <c r="CVL5" s="251"/>
      <c r="CVY5" s="251"/>
      <c r="CWL5" s="251"/>
      <c r="CWY5" s="251"/>
      <c r="CXL5" s="251"/>
      <c r="CXY5" s="251"/>
      <c r="CYL5" s="251"/>
      <c r="CYY5" s="251"/>
      <c r="CZL5" s="251"/>
      <c r="CZY5" s="251"/>
      <c r="DAL5" s="251"/>
      <c r="DAY5" s="251"/>
      <c r="DBL5" s="251"/>
      <c r="DBY5" s="251"/>
      <c r="DCL5" s="251"/>
      <c r="DCY5" s="251"/>
      <c r="DDL5" s="251"/>
      <c r="DDY5" s="251"/>
      <c r="DEL5" s="251"/>
      <c r="DEY5" s="251"/>
      <c r="DFL5" s="251"/>
      <c r="DFY5" s="251"/>
      <c r="DGL5" s="251"/>
      <c r="DGY5" s="251"/>
      <c r="DHL5" s="251"/>
      <c r="DHY5" s="251"/>
      <c r="DIL5" s="251"/>
      <c r="DIY5" s="251"/>
      <c r="DJL5" s="251"/>
      <c r="DJY5" s="251"/>
      <c r="DKL5" s="251"/>
      <c r="DKY5" s="251"/>
      <c r="DLL5" s="251"/>
      <c r="DLY5" s="251"/>
      <c r="DML5" s="251"/>
      <c r="DMY5" s="251"/>
      <c r="DNL5" s="251"/>
      <c r="DNY5" s="251"/>
      <c r="DOL5" s="251"/>
      <c r="DOY5" s="251"/>
      <c r="DPL5" s="251"/>
      <c r="DPY5" s="251"/>
      <c r="DQL5" s="251"/>
      <c r="DQY5" s="251"/>
      <c r="DRL5" s="251"/>
      <c r="DRY5" s="251"/>
      <c r="DSL5" s="251"/>
      <c r="DSY5" s="251"/>
      <c r="DTL5" s="251"/>
      <c r="DTY5" s="251"/>
      <c r="DUL5" s="251"/>
      <c r="DUY5" s="251"/>
      <c r="DVL5" s="251"/>
      <c r="DVY5" s="251"/>
      <c r="DWL5" s="251"/>
      <c r="DWY5" s="251"/>
      <c r="DXL5" s="251"/>
      <c r="DXY5" s="251"/>
      <c r="DYL5" s="251"/>
      <c r="DYY5" s="251"/>
      <c r="DZL5" s="251"/>
      <c r="DZY5" s="251"/>
      <c r="EAL5" s="251"/>
      <c r="EAY5" s="251"/>
      <c r="EBL5" s="251"/>
      <c r="EBY5" s="251"/>
      <c r="ECL5" s="251"/>
      <c r="ECY5" s="251"/>
      <c r="EDL5" s="251"/>
      <c r="EDY5" s="251"/>
      <c r="EEL5" s="251"/>
      <c r="EEY5" s="251"/>
      <c r="EFL5" s="251"/>
      <c r="EFY5" s="251"/>
      <c r="EGL5" s="251"/>
      <c r="EGY5" s="251"/>
      <c r="EHL5" s="251"/>
      <c r="EHY5" s="251"/>
      <c r="EIL5" s="251"/>
      <c r="EIY5" s="251"/>
      <c r="EJL5" s="251"/>
      <c r="EJY5" s="251"/>
      <c r="EKL5" s="251"/>
      <c r="EKY5" s="251"/>
      <c r="ELL5" s="251"/>
      <c r="ELY5" s="251"/>
      <c r="EML5" s="251"/>
      <c r="EMY5" s="251"/>
      <c r="ENL5" s="251"/>
      <c r="ENY5" s="251"/>
      <c r="EOL5" s="251"/>
      <c r="EOY5" s="251"/>
      <c r="EPL5" s="251"/>
      <c r="EPY5" s="251"/>
      <c r="EQL5" s="251"/>
      <c r="EQY5" s="251"/>
      <c r="ERL5" s="251"/>
      <c r="ERY5" s="251"/>
      <c r="ESL5" s="251"/>
      <c r="ESY5" s="251"/>
      <c r="ETL5" s="251"/>
      <c r="ETY5" s="251"/>
      <c r="EUL5" s="251"/>
      <c r="EUY5" s="251"/>
      <c r="EVL5" s="251"/>
      <c r="EVY5" s="251"/>
      <c r="EWL5" s="251"/>
      <c r="EWY5" s="251"/>
      <c r="EXL5" s="251"/>
      <c r="EXY5" s="251"/>
      <c r="EYL5" s="251"/>
      <c r="EYY5" s="251"/>
      <c r="EZL5" s="251"/>
      <c r="EZY5" s="251"/>
      <c r="FAL5" s="251"/>
      <c r="FAY5" s="251"/>
      <c r="FBL5" s="251"/>
      <c r="FBY5" s="251"/>
      <c r="FCL5" s="251"/>
      <c r="FCY5" s="251"/>
      <c r="FDL5" s="251"/>
      <c r="FDY5" s="251"/>
      <c r="FEL5" s="251"/>
      <c r="FEY5" s="251"/>
      <c r="FFL5" s="251"/>
      <c r="FFY5" s="251"/>
      <c r="FGL5" s="251"/>
      <c r="FGY5" s="251"/>
      <c r="FHL5" s="251"/>
      <c r="FHY5" s="251"/>
      <c r="FIL5" s="251"/>
      <c r="FIY5" s="251"/>
      <c r="FJL5" s="251"/>
      <c r="FJY5" s="251"/>
      <c r="FKL5" s="251"/>
      <c r="FKY5" s="251"/>
      <c r="FLL5" s="251"/>
      <c r="FLY5" s="251"/>
      <c r="FML5" s="251"/>
      <c r="FMY5" s="251"/>
      <c r="FNL5" s="251"/>
      <c r="FNY5" s="251"/>
      <c r="FOL5" s="251"/>
      <c r="FOY5" s="251"/>
      <c r="FPL5" s="251"/>
      <c r="FPY5" s="251"/>
      <c r="FQL5" s="251"/>
      <c r="FQY5" s="251"/>
      <c r="FRL5" s="251"/>
      <c r="FRY5" s="251"/>
      <c r="FSL5" s="251"/>
      <c r="FSY5" s="251"/>
      <c r="FTL5" s="251"/>
      <c r="FTY5" s="251"/>
      <c r="FUL5" s="251"/>
      <c r="FUY5" s="251"/>
      <c r="FVL5" s="251"/>
      <c r="FVY5" s="251"/>
      <c r="FWL5" s="251"/>
      <c r="FWY5" s="251"/>
      <c r="FXL5" s="251"/>
      <c r="FXY5" s="251"/>
      <c r="FYL5" s="251"/>
      <c r="FYY5" s="251"/>
      <c r="FZL5" s="251"/>
      <c r="FZY5" s="251"/>
      <c r="GAL5" s="251"/>
      <c r="GAY5" s="251"/>
      <c r="GBL5" s="251"/>
      <c r="GBY5" s="251"/>
      <c r="GCL5" s="251"/>
      <c r="GCY5" s="251"/>
      <c r="GDL5" s="251"/>
      <c r="GDY5" s="251"/>
      <c r="GEL5" s="251"/>
      <c r="GEY5" s="251"/>
      <c r="GFL5" s="251"/>
      <c r="GFY5" s="251"/>
      <c r="GGL5" s="251"/>
      <c r="GGY5" s="251"/>
      <c r="GHL5" s="251"/>
      <c r="GHY5" s="251"/>
      <c r="GIL5" s="251"/>
      <c r="GIY5" s="251"/>
      <c r="GJL5" s="251"/>
      <c r="GJY5" s="251"/>
      <c r="GKL5" s="251"/>
      <c r="GKY5" s="251"/>
      <c r="GLL5" s="251"/>
      <c r="GLY5" s="251"/>
      <c r="GML5" s="251"/>
      <c r="GMY5" s="251"/>
      <c r="GNL5" s="251"/>
      <c r="GNY5" s="251"/>
      <c r="GOL5" s="251"/>
      <c r="GOY5" s="251"/>
      <c r="GPL5" s="251"/>
      <c r="GPY5" s="251"/>
      <c r="GQL5" s="251"/>
      <c r="GQY5" s="251"/>
      <c r="GRL5" s="251"/>
      <c r="GRY5" s="251"/>
      <c r="GSL5" s="251"/>
      <c r="GSY5" s="251"/>
      <c r="GTL5" s="251"/>
      <c r="GTY5" s="251"/>
      <c r="GUL5" s="251"/>
      <c r="GUY5" s="251"/>
      <c r="GVL5" s="251"/>
      <c r="GVY5" s="251"/>
      <c r="GWL5" s="251"/>
      <c r="GWY5" s="251"/>
      <c r="GXL5" s="251"/>
      <c r="GXY5" s="251"/>
      <c r="GYL5" s="251"/>
      <c r="GYY5" s="251"/>
      <c r="GZL5" s="251"/>
      <c r="GZY5" s="251"/>
      <c r="HAL5" s="251"/>
      <c r="HAY5" s="251"/>
      <c r="HBL5" s="251"/>
      <c r="HBY5" s="251"/>
      <c r="HCL5" s="251"/>
      <c r="HCY5" s="251"/>
      <c r="HDL5" s="251"/>
      <c r="HDY5" s="251"/>
      <c r="HEL5" s="251"/>
      <c r="HEY5" s="251"/>
      <c r="HFL5" s="251"/>
      <c r="HFY5" s="251"/>
      <c r="HGL5" s="251"/>
      <c r="HGY5" s="251"/>
      <c r="HHL5" s="251"/>
      <c r="HHY5" s="251"/>
      <c r="HIL5" s="251"/>
      <c r="HIY5" s="251"/>
      <c r="HJL5" s="251"/>
      <c r="HJY5" s="251"/>
      <c r="HKL5" s="251"/>
      <c r="HKY5" s="251"/>
      <c r="HLL5" s="251"/>
      <c r="HLY5" s="251"/>
      <c r="HML5" s="251"/>
      <c r="HMY5" s="251"/>
      <c r="HNL5" s="251"/>
      <c r="HNY5" s="251"/>
      <c r="HOL5" s="251"/>
      <c r="HOY5" s="251"/>
      <c r="HPL5" s="251"/>
      <c r="HPY5" s="251"/>
      <c r="HQL5" s="251"/>
      <c r="HQY5" s="251"/>
      <c r="HRL5" s="251"/>
      <c r="HRY5" s="251"/>
      <c r="HSL5" s="251"/>
      <c r="HSY5" s="251"/>
      <c r="HTL5" s="251"/>
      <c r="HTY5" s="251"/>
      <c r="HUL5" s="251"/>
      <c r="HUY5" s="251"/>
      <c r="HVL5" s="251"/>
      <c r="HVY5" s="251"/>
      <c r="HWL5" s="251"/>
      <c r="HWY5" s="251"/>
      <c r="HXL5" s="251"/>
      <c r="HXY5" s="251"/>
      <c r="HYL5" s="251"/>
      <c r="HYY5" s="251"/>
      <c r="HZL5" s="251"/>
      <c r="HZY5" s="251"/>
      <c r="IAL5" s="251"/>
      <c r="IAY5" s="251"/>
      <c r="IBL5" s="251"/>
      <c r="IBY5" s="251"/>
      <c r="ICL5" s="251"/>
      <c r="ICY5" s="251"/>
      <c r="IDL5" s="251"/>
      <c r="IDY5" s="251"/>
      <c r="IEL5" s="251"/>
      <c r="IEY5" s="251"/>
      <c r="IFL5" s="251"/>
      <c r="IFY5" s="251"/>
      <c r="IGL5" s="251"/>
      <c r="IGY5" s="251"/>
      <c r="IHL5" s="251"/>
      <c r="IHY5" s="251"/>
      <c r="IIL5" s="251"/>
      <c r="IIY5" s="251"/>
      <c r="IJL5" s="251"/>
      <c r="IJY5" s="251"/>
      <c r="IKL5" s="251"/>
      <c r="IKY5" s="251"/>
      <c r="ILL5" s="251"/>
      <c r="ILY5" s="251"/>
      <c r="IML5" s="251"/>
      <c r="IMY5" s="251"/>
      <c r="INL5" s="251"/>
      <c r="INY5" s="251"/>
      <c r="IOL5" s="251"/>
      <c r="IOY5" s="251"/>
      <c r="IPL5" s="251"/>
      <c r="IPY5" s="251"/>
      <c r="IQL5" s="251"/>
      <c r="IQY5" s="251"/>
      <c r="IRL5" s="251"/>
      <c r="IRY5" s="251"/>
      <c r="ISL5" s="251"/>
      <c r="ISY5" s="251"/>
      <c r="ITL5" s="251"/>
      <c r="ITY5" s="251"/>
      <c r="IUL5" s="251"/>
      <c r="IUY5" s="251"/>
      <c r="IVL5" s="251"/>
      <c r="IVY5" s="251"/>
      <c r="IWL5" s="251"/>
      <c r="IWY5" s="251"/>
      <c r="IXL5" s="251"/>
      <c r="IXY5" s="251"/>
      <c r="IYL5" s="251"/>
      <c r="IYY5" s="251"/>
      <c r="IZL5" s="251"/>
      <c r="IZY5" s="251"/>
      <c r="JAL5" s="251"/>
      <c r="JAY5" s="251"/>
      <c r="JBL5" s="251"/>
      <c r="JBY5" s="251"/>
      <c r="JCL5" s="251"/>
      <c r="JCY5" s="251"/>
      <c r="JDL5" s="251"/>
      <c r="JDY5" s="251"/>
      <c r="JEL5" s="251"/>
      <c r="JEY5" s="251"/>
      <c r="JFL5" s="251"/>
      <c r="JFY5" s="251"/>
      <c r="JGL5" s="251"/>
      <c r="JGY5" s="251"/>
      <c r="JHL5" s="251"/>
      <c r="JHY5" s="251"/>
      <c r="JIL5" s="251"/>
      <c r="JIY5" s="251"/>
      <c r="JJL5" s="251"/>
      <c r="JJY5" s="251"/>
      <c r="JKL5" s="251"/>
      <c r="JKY5" s="251"/>
      <c r="JLL5" s="251"/>
      <c r="JLY5" s="251"/>
      <c r="JML5" s="251"/>
      <c r="JMY5" s="251"/>
      <c r="JNL5" s="251"/>
      <c r="JNY5" s="251"/>
      <c r="JOL5" s="251"/>
      <c r="JOY5" s="251"/>
      <c r="JPL5" s="251"/>
      <c r="JPY5" s="251"/>
      <c r="JQL5" s="251"/>
      <c r="JQY5" s="251"/>
      <c r="JRL5" s="251"/>
      <c r="JRY5" s="251"/>
      <c r="JSL5" s="251"/>
      <c r="JSY5" s="251"/>
      <c r="JTL5" s="251"/>
      <c r="JTY5" s="251"/>
      <c r="JUL5" s="251"/>
      <c r="JUY5" s="251"/>
      <c r="JVL5" s="251"/>
      <c r="JVY5" s="251"/>
      <c r="JWL5" s="251"/>
      <c r="JWY5" s="251"/>
      <c r="JXL5" s="251"/>
      <c r="JXY5" s="251"/>
      <c r="JYL5" s="251"/>
      <c r="JYY5" s="251"/>
      <c r="JZL5" s="251"/>
      <c r="JZY5" s="251"/>
      <c r="KAL5" s="251"/>
      <c r="KAY5" s="251"/>
      <c r="KBL5" s="251"/>
      <c r="KBY5" s="251"/>
      <c r="KCL5" s="251"/>
      <c r="KCY5" s="251"/>
      <c r="KDL5" s="251"/>
      <c r="KDY5" s="251"/>
      <c r="KEL5" s="251"/>
      <c r="KEY5" s="251"/>
      <c r="KFL5" s="251"/>
      <c r="KFY5" s="251"/>
      <c r="KGL5" s="251"/>
      <c r="KGY5" s="251"/>
      <c r="KHL5" s="251"/>
      <c r="KHY5" s="251"/>
      <c r="KIL5" s="251"/>
      <c r="KIY5" s="251"/>
      <c r="KJL5" s="251"/>
      <c r="KJY5" s="251"/>
      <c r="KKL5" s="251"/>
      <c r="KKY5" s="251"/>
      <c r="KLL5" s="251"/>
      <c r="KLY5" s="251"/>
      <c r="KML5" s="251"/>
      <c r="KMY5" s="251"/>
      <c r="KNL5" s="251"/>
      <c r="KNY5" s="251"/>
      <c r="KOL5" s="251"/>
      <c r="KOY5" s="251"/>
      <c r="KPL5" s="251"/>
      <c r="KPY5" s="251"/>
      <c r="KQL5" s="251"/>
      <c r="KQY5" s="251"/>
      <c r="KRL5" s="251"/>
      <c r="KRY5" s="251"/>
      <c r="KSL5" s="251"/>
      <c r="KSY5" s="251"/>
      <c r="KTL5" s="251"/>
      <c r="KTY5" s="251"/>
      <c r="KUL5" s="251"/>
      <c r="KUY5" s="251"/>
      <c r="KVL5" s="251"/>
      <c r="KVY5" s="251"/>
      <c r="KWL5" s="251"/>
      <c r="KWY5" s="251"/>
      <c r="KXL5" s="251"/>
      <c r="KXY5" s="251"/>
      <c r="KYL5" s="251"/>
      <c r="KYY5" s="251"/>
      <c r="KZL5" s="251"/>
      <c r="KZY5" s="251"/>
      <c r="LAL5" s="251"/>
      <c r="LAY5" s="251"/>
      <c r="LBL5" s="251"/>
      <c r="LBY5" s="251"/>
      <c r="LCL5" s="251"/>
      <c r="LCY5" s="251"/>
      <c r="LDL5" s="251"/>
      <c r="LDY5" s="251"/>
      <c r="LEL5" s="251"/>
      <c r="LEY5" s="251"/>
      <c r="LFL5" s="251"/>
      <c r="LFY5" s="251"/>
      <c r="LGL5" s="251"/>
      <c r="LGY5" s="251"/>
      <c r="LHL5" s="251"/>
      <c r="LHY5" s="251"/>
      <c r="LIL5" s="251"/>
      <c r="LIY5" s="251"/>
      <c r="LJL5" s="251"/>
      <c r="LJY5" s="251"/>
      <c r="LKL5" s="251"/>
      <c r="LKY5" s="251"/>
      <c r="LLL5" s="251"/>
      <c r="LLY5" s="251"/>
      <c r="LML5" s="251"/>
      <c r="LMY5" s="251"/>
      <c r="LNL5" s="251"/>
      <c r="LNY5" s="251"/>
      <c r="LOL5" s="251"/>
      <c r="LOY5" s="251"/>
      <c r="LPL5" s="251"/>
      <c r="LPY5" s="251"/>
      <c r="LQL5" s="251"/>
      <c r="LQY5" s="251"/>
      <c r="LRL5" s="251"/>
      <c r="LRY5" s="251"/>
      <c r="LSL5" s="251"/>
      <c r="LSY5" s="251"/>
      <c r="LTL5" s="251"/>
      <c r="LTY5" s="251"/>
      <c r="LUL5" s="251"/>
      <c r="LUY5" s="251"/>
      <c r="LVL5" s="251"/>
      <c r="LVY5" s="251"/>
      <c r="LWL5" s="251"/>
      <c r="LWY5" s="251"/>
      <c r="LXL5" s="251"/>
      <c r="LXY5" s="251"/>
      <c r="LYL5" s="251"/>
      <c r="LYY5" s="251"/>
      <c r="LZL5" s="251"/>
      <c r="LZY5" s="251"/>
      <c r="MAL5" s="251"/>
      <c r="MAY5" s="251"/>
      <c r="MBL5" s="251"/>
      <c r="MBY5" s="251"/>
      <c r="MCL5" s="251"/>
      <c r="MCY5" s="251"/>
      <c r="MDL5" s="251"/>
      <c r="MDY5" s="251"/>
      <c r="MEL5" s="251"/>
      <c r="MEY5" s="251"/>
      <c r="MFL5" s="251"/>
      <c r="MFY5" s="251"/>
      <c r="MGL5" s="251"/>
      <c r="MGY5" s="251"/>
      <c r="MHL5" s="251"/>
      <c r="MHY5" s="251"/>
      <c r="MIL5" s="251"/>
      <c r="MIY5" s="251"/>
      <c r="MJL5" s="251"/>
      <c r="MJY5" s="251"/>
      <c r="MKL5" s="251"/>
      <c r="MKY5" s="251"/>
      <c r="MLL5" s="251"/>
      <c r="MLY5" s="251"/>
      <c r="MML5" s="251"/>
      <c r="MMY5" s="251"/>
      <c r="MNL5" s="251"/>
      <c r="MNY5" s="251"/>
      <c r="MOL5" s="251"/>
      <c r="MOY5" s="251"/>
      <c r="MPL5" s="251"/>
      <c r="MPY5" s="251"/>
      <c r="MQL5" s="251"/>
      <c r="MQY5" s="251"/>
      <c r="MRL5" s="251"/>
      <c r="MRY5" s="251"/>
      <c r="MSL5" s="251"/>
      <c r="MSY5" s="251"/>
      <c r="MTL5" s="251"/>
      <c r="MTY5" s="251"/>
      <c r="MUL5" s="251"/>
      <c r="MUY5" s="251"/>
      <c r="MVL5" s="251"/>
      <c r="MVY5" s="251"/>
      <c r="MWL5" s="251"/>
      <c r="MWY5" s="251"/>
      <c r="MXL5" s="251"/>
      <c r="MXY5" s="251"/>
      <c r="MYL5" s="251"/>
      <c r="MYY5" s="251"/>
      <c r="MZL5" s="251"/>
      <c r="MZY5" s="251"/>
      <c r="NAL5" s="251"/>
      <c r="NAY5" s="251"/>
      <c r="NBL5" s="251"/>
      <c r="NBY5" s="251"/>
      <c r="NCL5" s="251"/>
      <c r="NCY5" s="251"/>
      <c r="NDL5" s="251"/>
      <c r="NDY5" s="251"/>
      <c r="NEL5" s="251"/>
      <c r="NEY5" s="251"/>
      <c r="NFL5" s="251"/>
      <c r="NFY5" s="251"/>
      <c r="NGL5" s="251"/>
      <c r="NGY5" s="251"/>
      <c r="NHL5" s="251"/>
      <c r="NHY5" s="251"/>
      <c r="NIL5" s="251"/>
      <c r="NIY5" s="251"/>
      <c r="NJL5" s="251"/>
      <c r="NJY5" s="251"/>
      <c r="NKL5" s="251"/>
      <c r="NKY5" s="251"/>
      <c r="NLL5" s="251"/>
      <c r="NLY5" s="251"/>
      <c r="NML5" s="251"/>
      <c r="NMY5" s="251"/>
      <c r="NNL5" s="251"/>
      <c r="NNY5" s="251"/>
      <c r="NOL5" s="251"/>
      <c r="NOY5" s="251"/>
      <c r="NPL5" s="251"/>
      <c r="NPY5" s="251"/>
      <c r="NQL5" s="251"/>
      <c r="NQY5" s="251"/>
      <c r="NRL5" s="251"/>
      <c r="NRY5" s="251"/>
      <c r="NSL5" s="251"/>
      <c r="NSY5" s="251"/>
      <c r="NTL5" s="251"/>
      <c r="NTY5" s="251"/>
      <c r="NUL5" s="251"/>
      <c r="NUY5" s="251"/>
      <c r="NVL5" s="251"/>
      <c r="NVY5" s="251"/>
      <c r="NWL5" s="251"/>
      <c r="NWY5" s="251"/>
      <c r="NXL5" s="251"/>
      <c r="NXY5" s="251"/>
      <c r="NYL5" s="251"/>
      <c r="NYY5" s="251"/>
      <c r="NZL5" s="251"/>
      <c r="NZY5" s="251"/>
      <c r="OAL5" s="251"/>
      <c r="OAY5" s="251"/>
      <c r="OBL5" s="251"/>
      <c r="OBY5" s="251"/>
      <c r="OCL5" s="251"/>
      <c r="OCY5" s="251"/>
      <c r="ODL5" s="251"/>
      <c r="ODY5" s="251"/>
      <c r="OEL5" s="251"/>
      <c r="OEY5" s="251"/>
      <c r="OFL5" s="251"/>
      <c r="OFY5" s="251"/>
      <c r="OGL5" s="251"/>
      <c r="OGY5" s="251"/>
      <c r="OHL5" s="251"/>
      <c r="OHY5" s="251"/>
      <c r="OIL5" s="251"/>
      <c r="OIY5" s="251"/>
      <c r="OJL5" s="251"/>
      <c r="OJY5" s="251"/>
      <c r="OKL5" s="251"/>
      <c r="OKY5" s="251"/>
      <c r="OLL5" s="251"/>
      <c r="OLY5" s="251"/>
      <c r="OML5" s="251"/>
      <c r="OMY5" s="251"/>
      <c r="ONL5" s="251"/>
      <c r="ONY5" s="251"/>
      <c r="OOL5" s="251"/>
      <c r="OOY5" s="251"/>
      <c r="OPL5" s="251"/>
      <c r="OPY5" s="251"/>
      <c r="OQL5" s="251"/>
      <c r="OQY5" s="251"/>
      <c r="ORL5" s="251"/>
      <c r="ORY5" s="251"/>
      <c r="OSL5" s="251"/>
      <c r="OSY5" s="251"/>
      <c r="OTL5" s="251"/>
      <c r="OTY5" s="251"/>
      <c r="OUL5" s="251"/>
      <c r="OUY5" s="251"/>
      <c r="OVL5" s="251"/>
      <c r="OVY5" s="251"/>
      <c r="OWL5" s="251"/>
      <c r="OWY5" s="251"/>
      <c r="OXL5" s="251"/>
      <c r="OXY5" s="251"/>
      <c r="OYL5" s="251"/>
      <c r="OYY5" s="251"/>
      <c r="OZL5" s="251"/>
      <c r="OZY5" s="251"/>
      <c r="PAL5" s="251"/>
      <c r="PAY5" s="251"/>
      <c r="PBL5" s="251"/>
      <c r="PBY5" s="251"/>
      <c r="PCL5" s="251"/>
      <c r="PCY5" s="251"/>
      <c r="PDL5" s="251"/>
      <c r="PDY5" s="251"/>
      <c r="PEL5" s="251"/>
      <c r="PEY5" s="251"/>
      <c r="PFL5" s="251"/>
      <c r="PFY5" s="251"/>
      <c r="PGL5" s="251"/>
      <c r="PGY5" s="251"/>
      <c r="PHL5" s="251"/>
      <c r="PHY5" s="251"/>
      <c r="PIL5" s="251"/>
      <c r="PIY5" s="251"/>
      <c r="PJL5" s="251"/>
      <c r="PJY5" s="251"/>
      <c r="PKL5" s="251"/>
      <c r="PKY5" s="251"/>
      <c r="PLL5" s="251"/>
      <c r="PLY5" s="251"/>
      <c r="PML5" s="251"/>
      <c r="PMY5" s="251"/>
      <c r="PNL5" s="251"/>
      <c r="PNY5" s="251"/>
      <c r="POL5" s="251"/>
      <c r="POY5" s="251"/>
      <c r="PPL5" s="251"/>
      <c r="PPY5" s="251"/>
      <c r="PQL5" s="251"/>
      <c r="PQY5" s="251"/>
      <c r="PRL5" s="251"/>
      <c r="PRY5" s="251"/>
      <c r="PSL5" s="251"/>
      <c r="PSY5" s="251"/>
      <c r="PTL5" s="251"/>
      <c r="PTY5" s="251"/>
      <c r="PUL5" s="251"/>
      <c r="PUY5" s="251"/>
      <c r="PVL5" s="251"/>
      <c r="PVY5" s="251"/>
      <c r="PWL5" s="251"/>
      <c r="PWY5" s="251"/>
      <c r="PXL5" s="251"/>
      <c r="PXY5" s="251"/>
      <c r="PYL5" s="251"/>
      <c r="PYY5" s="251"/>
      <c r="PZL5" s="251"/>
      <c r="PZY5" s="251"/>
      <c r="QAL5" s="251"/>
      <c r="QAY5" s="251"/>
      <c r="QBL5" s="251"/>
      <c r="QBY5" s="251"/>
      <c r="QCL5" s="251"/>
      <c r="QCY5" s="251"/>
      <c r="QDL5" s="251"/>
      <c r="QDY5" s="251"/>
      <c r="QEL5" s="251"/>
      <c r="QEY5" s="251"/>
      <c r="QFL5" s="251"/>
      <c r="QFY5" s="251"/>
      <c r="QGL5" s="251"/>
      <c r="QGY5" s="251"/>
      <c r="QHL5" s="251"/>
      <c r="QHY5" s="251"/>
      <c r="QIL5" s="251"/>
      <c r="QIY5" s="251"/>
      <c r="QJL5" s="251"/>
      <c r="QJY5" s="251"/>
      <c r="QKL5" s="251"/>
      <c r="QKY5" s="251"/>
      <c r="QLL5" s="251"/>
      <c r="QLY5" s="251"/>
      <c r="QML5" s="251"/>
      <c r="QMY5" s="251"/>
      <c r="QNL5" s="251"/>
      <c r="QNY5" s="251"/>
      <c r="QOL5" s="251"/>
      <c r="QOY5" s="251"/>
      <c r="QPL5" s="251"/>
      <c r="QPY5" s="251"/>
      <c r="QQL5" s="251"/>
      <c r="QQY5" s="251"/>
      <c r="QRL5" s="251"/>
      <c r="QRY5" s="251"/>
      <c r="QSL5" s="251"/>
      <c r="QSY5" s="251"/>
      <c r="QTL5" s="251"/>
      <c r="QTY5" s="251"/>
      <c r="QUL5" s="251"/>
      <c r="QUY5" s="251"/>
      <c r="QVL5" s="251"/>
      <c r="QVY5" s="251"/>
      <c r="QWL5" s="251"/>
      <c r="QWY5" s="251"/>
      <c r="QXL5" s="251"/>
      <c r="QXY5" s="251"/>
      <c r="QYL5" s="251"/>
      <c r="QYY5" s="251"/>
      <c r="QZL5" s="251"/>
      <c r="QZY5" s="251"/>
      <c r="RAL5" s="251"/>
      <c r="RAY5" s="251"/>
      <c r="RBL5" s="251"/>
      <c r="RBY5" s="251"/>
      <c r="RCL5" s="251"/>
      <c r="RCY5" s="251"/>
      <c r="RDL5" s="251"/>
      <c r="RDY5" s="251"/>
      <c r="REL5" s="251"/>
      <c r="REY5" s="251"/>
      <c r="RFL5" s="251"/>
      <c r="RFY5" s="251"/>
      <c r="RGL5" s="251"/>
      <c r="RGY5" s="251"/>
      <c r="RHL5" s="251"/>
      <c r="RHY5" s="251"/>
      <c r="RIL5" s="251"/>
      <c r="RIY5" s="251"/>
      <c r="RJL5" s="251"/>
      <c r="RJY5" s="251"/>
      <c r="RKL5" s="251"/>
      <c r="RKY5" s="251"/>
      <c r="RLL5" s="251"/>
      <c r="RLY5" s="251"/>
      <c r="RML5" s="251"/>
      <c r="RMY5" s="251"/>
      <c r="RNL5" s="251"/>
      <c r="RNY5" s="251"/>
      <c r="ROL5" s="251"/>
      <c r="ROY5" s="251"/>
      <c r="RPL5" s="251"/>
      <c r="RPY5" s="251"/>
      <c r="RQL5" s="251"/>
      <c r="RQY5" s="251"/>
      <c r="RRL5" s="251"/>
      <c r="RRY5" s="251"/>
      <c r="RSL5" s="251"/>
      <c r="RSY5" s="251"/>
      <c r="RTL5" s="251"/>
      <c r="RTY5" s="251"/>
      <c r="RUL5" s="251"/>
      <c r="RUY5" s="251"/>
      <c r="RVL5" s="251"/>
      <c r="RVY5" s="251"/>
      <c r="RWL5" s="251"/>
      <c r="RWY5" s="251"/>
      <c r="RXL5" s="251"/>
      <c r="RXY5" s="251"/>
      <c r="RYL5" s="251"/>
      <c r="RYY5" s="251"/>
      <c r="RZL5" s="251"/>
      <c r="RZY5" s="251"/>
      <c r="SAL5" s="251"/>
      <c r="SAY5" s="251"/>
      <c r="SBL5" s="251"/>
      <c r="SBY5" s="251"/>
      <c r="SCL5" s="251"/>
      <c r="SCY5" s="251"/>
      <c r="SDL5" s="251"/>
      <c r="SDY5" s="251"/>
      <c r="SEL5" s="251"/>
      <c r="SEY5" s="251"/>
      <c r="SFL5" s="251"/>
      <c r="SFY5" s="251"/>
      <c r="SGL5" s="251"/>
      <c r="SGY5" s="251"/>
      <c r="SHL5" s="251"/>
      <c r="SHY5" s="251"/>
      <c r="SIL5" s="251"/>
      <c r="SIY5" s="251"/>
      <c r="SJL5" s="251"/>
      <c r="SJY5" s="251"/>
      <c r="SKL5" s="251"/>
      <c r="SKY5" s="251"/>
      <c r="SLL5" s="251"/>
      <c r="SLY5" s="251"/>
      <c r="SML5" s="251"/>
      <c r="SMY5" s="251"/>
      <c r="SNL5" s="251"/>
      <c r="SNY5" s="251"/>
      <c r="SOL5" s="251"/>
      <c r="SOY5" s="251"/>
      <c r="SPL5" s="251"/>
      <c r="SPY5" s="251"/>
      <c r="SQL5" s="251"/>
      <c r="SQY5" s="251"/>
      <c r="SRL5" s="251"/>
      <c r="SRY5" s="251"/>
      <c r="SSL5" s="251"/>
      <c r="SSY5" s="251"/>
      <c r="STL5" s="251"/>
      <c r="STY5" s="251"/>
      <c r="SUL5" s="251"/>
      <c r="SUY5" s="251"/>
      <c r="SVL5" s="251"/>
      <c r="SVY5" s="251"/>
      <c r="SWL5" s="251"/>
      <c r="SWY5" s="251"/>
      <c r="SXL5" s="251"/>
      <c r="SXY5" s="251"/>
      <c r="SYL5" s="251"/>
      <c r="SYY5" s="251"/>
      <c r="SZL5" s="251"/>
      <c r="SZY5" s="251"/>
      <c r="TAL5" s="251"/>
      <c r="TAY5" s="251"/>
      <c r="TBL5" s="251"/>
      <c r="TBY5" s="251"/>
      <c r="TCL5" s="251"/>
      <c r="TCY5" s="251"/>
      <c r="TDL5" s="251"/>
      <c r="TDY5" s="251"/>
      <c r="TEL5" s="251"/>
      <c r="TEY5" s="251"/>
      <c r="TFL5" s="251"/>
      <c r="TFY5" s="251"/>
      <c r="TGL5" s="251"/>
      <c r="TGY5" s="251"/>
      <c r="THL5" s="251"/>
      <c r="THY5" s="251"/>
      <c r="TIL5" s="251"/>
      <c r="TIY5" s="251"/>
      <c r="TJL5" s="251"/>
      <c r="TJY5" s="251"/>
      <c r="TKL5" s="251"/>
      <c r="TKY5" s="251"/>
      <c r="TLL5" s="251"/>
      <c r="TLY5" s="251"/>
      <c r="TML5" s="251"/>
      <c r="TMY5" s="251"/>
      <c r="TNL5" s="251"/>
      <c r="TNY5" s="251"/>
      <c r="TOL5" s="251"/>
      <c r="TOY5" s="251"/>
      <c r="TPL5" s="251"/>
      <c r="TPY5" s="251"/>
      <c r="TQL5" s="251"/>
      <c r="TQY5" s="251"/>
      <c r="TRL5" s="251"/>
      <c r="TRY5" s="251"/>
      <c r="TSL5" s="251"/>
      <c r="TSY5" s="251"/>
      <c r="TTL5" s="251"/>
      <c r="TTY5" s="251"/>
      <c r="TUL5" s="251"/>
      <c r="TUY5" s="251"/>
      <c r="TVL5" s="251"/>
      <c r="TVY5" s="251"/>
      <c r="TWL5" s="251"/>
      <c r="TWY5" s="251"/>
      <c r="TXL5" s="251"/>
      <c r="TXY5" s="251"/>
      <c r="TYL5" s="251"/>
      <c r="TYY5" s="251"/>
      <c r="TZL5" s="251"/>
      <c r="TZY5" s="251"/>
      <c r="UAL5" s="251"/>
      <c r="UAY5" s="251"/>
      <c r="UBL5" s="251"/>
      <c r="UBY5" s="251"/>
      <c r="UCL5" s="251"/>
      <c r="UCY5" s="251"/>
      <c r="UDL5" s="251"/>
      <c r="UDY5" s="251"/>
      <c r="UEL5" s="251"/>
      <c r="UEY5" s="251"/>
      <c r="UFL5" s="251"/>
      <c r="UFY5" s="251"/>
      <c r="UGL5" s="251"/>
      <c r="UGY5" s="251"/>
      <c r="UHL5" s="251"/>
      <c r="UHY5" s="251"/>
      <c r="UIL5" s="251"/>
      <c r="UIY5" s="251"/>
      <c r="UJL5" s="251"/>
      <c r="UJY5" s="251"/>
      <c r="UKL5" s="251"/>
      <c r="UKY5" s="251"/>
      <c r="ULL5" s="251"/>
      <c r="ULY5" s="251"/>
      <c r="UML5" s="251"/>
      <c r="UMY5" s="251"/>
      <c r="UNL5" s="251"/>
      <c r="UNY5" s="251"/>
      <c r="UOL5" s="251"/>
      <c r="UOY5" s="251"/>
      <c r="UPL5" s="251"/>
      <c r="UPY5" s="251"/>
      <c r="UQL5" s="251"/>
      <c r="UQY5" s="251"/>
      <c r="URL5" s="251"/>
      <c r="URY5" s="251"/>
      <c r="USL5" s="251"/>
      <c r="USY5" s="251"/>
      <c r="UTL5" s="251"/>
      <c r="UTY5" s="251"/>
      <c r="UUL5" s="251"/>
      <c r="UUY5" s="251"/>
      <c r="UVL5" s="251"/>
      <c r="UVY5" s="251"/>
      <c r="UWL5" s="251"/>
      <c r="UWY5" s="251"/>
      <c r="UXL5" s="251"/>
      <c r="UXY5" s="251"/>
      <c r="UYL5" s="251"/>
      <c r="UYY5" s="251"/>
      <c r="UZL5" s="251"/>
      <c r="UZY5" s="251"/>
      <c r="VAL5" s="251"/>
      <c r="VAY5" s="251"/>
      <c r="VBL5" s="251"/>
      <c r="VBY5" s="251"/>
      <c r="VCL5" s="251"/>
      <c r="VCY5" s="251"/>
      <c r="VDL5" s="251"/>
      <c r="VDY5" s="251"/>
      <c r="VEL5" s="251"/>
      <c r="VEY5" s="251"/>
      <c r="VFL5" s="251"/>
      <c r="VFY5" s="251"/>
      <c r="VGL5" s="251"/>
      <c r="VGY5" s="251"/>
      <c r="VHL5" s="251"/>
      <c r="VHY5" s="251"/>
      <c r="VIL5" s="251"/>
      <c r="VIY5" s="251"/>
      <c r="VJL5" s="251"/>
      <c r="VJY5" s="251"/>
      <c r="VKL5" s="251"/>
      <c r="VKY5" s="251"/>
      <c r="VLL5" s="251"/>
      <c r="VLY5" s="251"/>
      <c r="VML5" s="251"/>
      <c r="VMY5" s="251"/>
      <c r="VNL5" s="251"/>
      <c r="VNY5" s="251"/>
      <c r="VOL5" s="251"/>
      <c r="VOY5" s="251"/>
      <c r="VPL5" s="251"/>
      <c r="VPY5" s="251"/>
      <c r="VQL5" s="251"/>
      <c r="VQY5" s="251"/>
      <c r="VRL5" s="251"/>
      <c r="VRY5" s="251"/>
      <c r="VSL5" s="251"/>
      <c r="VSY5" s="251"/>
      <c r="VTL5" s="251"/>
      <c r="VTY5" s="251"/>
      <c r="VUL5" s="251"/>
      <c r="VUY5" s="251"/>
      <c r="VVL5" s="251"/>
      <c r="VVY5" s="251"/>
      <c r="VWL5" s="251"/>
      <c r="VWY5" s="251"/>
      <c r="VXL5" s="251"/>
      <c r="VXY5" s="251"/>
      <c r="VYL5" s="251"/>
      <c r="VYY5" s="251"/>
      <c r="VZL5" s="251"/>
      <c r="VZY5" s="251"/>
      <c r="WAL5" s="251"/>
      <c r="WAY5" s="251"/>
      <c r="WBL5" s="251"/>
      <c r="WBY5" s="251"/>
      <c r="WCL5" s="251"/>
      <c r="WCY5" s="251"/>
      <c r="WDL5" s="251"/>
      <c r="WDY5" s="251"/>
      <c r="WEL5" s="251"/>
      <c r="WEY5" s="251"/>
      <c r="WFL5" s="251"/>
      <c r="WFY5" s="251"/>
      <c r="WGL5" s="251"/>
      <c r="WGY5" s="251"/>
      <c r="WHL5" s="251"/>
      <c r="WHY5" s="251"/>
      <c r="WIL5" s="251"/>
      <c r="WIY5" s="251"/>
      <c r="WJL5" s="251"/>
      <c r="WJY5" s="251"/>
      <c r="WKL5" s="251"/>
      <c r="WKY5" s="251"/>
      <c r="WLL5" s="251"/>
      <c r="WLY5" s="251"/>
      <c r="WML5" s="251"/>
      <c r="WMY5" s="251"/>
      <c r="WNL5" s="251"/>
      <c r="WNY5" s="251"/>
      <c r="WOL5" s="251"/>
      <c r="WOY5" s="251"/>
      <c r="WPL5" s="251"/>
      <c r="WPY5" s="251"/>
      <c r="WQL5" s="251"/>
      <c r="WQY5" s="251"/>
      <c r="WRL5" s="251"/>
      <c r="WRY5" s="251"/>
      <c r="WSL5" s="251"/>
      <c r="WSY5" s="251"/>
      <c r="WTL5" s="251"/>
      <c r="WTY5" s="251"/>
      <c r="WUL5" s="251"/>
      <c r="WUY5" s="251"/>
      <c r="WVL5" s="251"/>
      <c r="WVY5" s="251"/>
      <c r="WWL5" s="251"/>
      <c r="WWY5" s="251"/>
      <c r="WXL5" s="251"/>
      <c r="WXY5" s="251"/>
      <c r="WYL5" s="251"/>
      <c r="WYY5" s="251"/>
      <c r="WZL5" s="251"/>
      <c r="WZY5" s="251"/>
      <c r="XAL5" s="251"/>
      <c r="XAY5" s="251"/>
      <c r="XBL5" s="251"/>
      <c r="XBY5" s="251"/>
      <c r="XCL5" s="251"/>
      <c r="XCY5" s="251"/>
      <c r="XDL5" s="251"/>
      <c r="XDY5" s="251"/>
      <c r="XEL5" s="251"/>
      <c r="XEY5" s="251"/>
    </row>
    <row r="6" spans="1:1013 1026:2040 2053:3067 3080:4094 4107:5108 5121:6135 6148:7162 7175:8189 8202:9216 9229:10230 10243:11257 11270:12284 12297:13311 13324:14325 14338:15352 15365:16379" s="193" customFormat="1" ht="13" customHeight="1">
      <c r="A6" s="262"/>
      <c r="B6" s="16" t="str">
        <f>IF('Summary | Sumário'!D$6=Names!B$3,Names!M4,Names!N4)</f>
        <v>Income from securities and derivatives</v>
      </c>
      <c r="C6" s="253">
        <v>66753</v>
      </c>
      <c r="D6" s="253">
        <v>-42358</v>
      </c>
      <c r="E6" s="253">
        <v>697283</v>
      </c>
      <c r="F6" s="253">
        <v>1505621</v>
      </c>
      <c r="G6" s="253">
        <v>1545835</v>
      </c>
      <c r="H6" s="253">
        <v>68136</v>
      </c>
      <c r="I6" s="253">
        <v>82897</v>
      </c>
      <c r="J6" s="253">
        <v>218551</v>
      </c>
      <c r="K6" s="253">
        <v>327699</v>
      </c>
      <c r="L6" s="253">
        <v>359022</v>
      </c>
      <c r="M6" s="253">
        <v>403816</v>
      </c>
      <c r="N6" s="253">
        <v>346923</v>
      </c>
      <c r="O6" s="253">
        <v>395860</v>
      </c>
      <c r="P6" s="253">
        <v>371406</v>
      </c>
      <c r="Q6" s="253">
        <v>343176</v>
      </c>
      <c r="R6" s="253">
        <v>482020</v>
      </c>
      <c r="S6" s="253">
        <v>349233</v>
      </c>
      <c r="T6" s="253">
        <v>515381</v>
      </c>
      <c r="U6" s="253">
        <v>629895.19700000004</v>
      </c>
      <c r="V6" s="253">
        <v>558156.91700000002</v>
      </c>
      <c r="W6" s="253"/>
      <c r="X6" s="260">
        <f t="shared" si="0"/>
        <v>-0.11388923163991049</v>
      </c>
      <c r="Y6" s="260">
        <f t="shared" si="1"/>
        <v>0.15795385461184197</v>
      </c>
    </row>
    <row r="7" spans="1:1013 1026:2040 2053:3067 3080:4094 4107:5108 5121:6135 6148:7162 7175:8189 8202:9216 9229:10230 10243:11257 11270:12284 12297:13311 13324:14325 14338:15352 15365:16379" s="187" customFormat="1" ht="13" customHeight="1">
      <c r="A7" s="276"/>
      <c r="B7" s="349" t="str">
        <f>IF('Summary | Sumário'!D$6=Names!B$3,Names!M5,Names!N5)</f>
        <v>Net interest income</v>
      </c>
      <c r="C7" s="350">
        <v>585551</v>
      </c>
      <c r="D7" s="350">
        <v>715962.89517999999</v>
      </c>
      <c r="E7" s="350">
        <v>1589469.2459999998</v>
      </c>
      <c r="F7" s="350">
        <v>2335429.0819999995</v>
      </c>
      <c r="G7" s="350">
        <v>3208088</v>
      </c>
      <c r="H7" s="350">
        <v>291580.935</v>
      </c>
      <c r="I7" s="350">
        <v>302295.75100000005</v>
      </c>
      <c r="J7" s="350">
        <v>447369.88</v>
      </c>
      <c r="K7" s="350">
        <v>548221.67999999993</v>
      </c>
      <c r="L7" s="350">
        <v>543410.63199999998</v>
      </c>
      <c r="M7" s="350">
        <v>561087.6370000001</v>
      </c>
      <c r="N7" s="350">
        <v>555587.73100000003</v>
      </c>
      <c r="O7" s="350">
        <v>675343.08199999994</v>
      </c>
      <c r="P7" s="350">
        <v>711561.82200000004</v>
      </c>
      <c r="Q7" s="350">
        <v>802075</v>
      </c>
      <c r="R7" s="350">
        <v>818557.08874000004</v>
      </c>
      <c r="S7" s="350">
        <v>875895.08425999992</v>
      </c>
      <c r="T7" s="350">
        <v>970665.10969999968</v>
      </c>
      <c r="U7" s="350">
        <v>1029666.7290000001</v>
      </c>
      <c r="V7" s="350">
        <v>1134762.2779999999</v>
      </c>
      <c r="W7" s="265"/>
      <c r="X7" s="411">
        <f t="shared" si="0"/>
        <v>0.10206753898134346</v>
      </c>
      <c r="Y7" s="411">
        <f t="shared" si="1"/>
        <v>0.38629582909938831</v>
      </c>
    </row>
    <row r="8" spans="1:1013 1026:2040 2053:3067 3080:4094 4107:5108 5121:6135 6148:7162 7175:8189 8202:9216 9229:10230 10243:11257 11270:12284 12297:13311 13324:14325 14338:15352 15365:16379" ht="13" customHeight="1">
      <c r="C8" s="136"/>
      <c r="D8" s="136"/>
      <c r="E8" s="136"/>
      <c r="F8" s="136"/>
      <c r="G8" s="136"/>
      <c r="H8" s="136"/>
      <c r="I8" s="136"/>
      <c r="J8" s="136"/>
      <c r="K8" s="136"/>
      <c r="L8" s="136"/>
      <c r="M8" s="136"/>
      <c r="N8" s="136"/>
      <c r="O8" s="136"/>
      <c r="P8" s="136"/>
      <c r="Q8" s="136"/>
      <c r="R8" s="136"/>
      <c r="S8" s="136"/>
      <c r="T8" s="136"/>
      <c r="U8" s="136"/>
      <c r="V8" s="136"/>
      <c r="W8" s="136"/>
      <c r="X8" s="248"/>
      <c r="Y8" s="248"/>
    </row>
    <row r="9" spans="1:1013 1026:2040 2053:3067 3080:4094 4107:5108 5121:6135 6148:7162 7175:8189 8202:9216 9229:10230 10243:11257 11270:12284 12297:13311 13324:14325 14338:15352 15365:16379" s="250" customFormat="1" ht="13" customHeight="1">
      <c r="A9" s="249"/>
      <c r="B9" s="22" t="str">
        <f>IF('Summary | Sumário'!D$6=Names!B$3,Names!M6,Names!N6)</f>
        <v xml:space="preserve">Revenues from services and commissions </v>
      </c>
      <c r="C9" s="275">
        <v>130457</v>
      </c>
      <c r="D9" s="275">
        <v>257145</v>
      </c>
      <c r="E9" s="275">
        <v>542569</v>
      </c>
      <c r="F9" s="275">
        <v>968039</v>
      </c>
      <c r="G9" s="275">
        <v>1304382</v>
      </c>
      <c r="H9" s="275">
        <v>100965</v>
      </c>
      <c r="I9" s="275">
        <v>110911</v>
      </c>
      <c r="J9" s="275">
        <v>149283</v>
      </c>
      <c r="K9" s="275">
        <v>181410</v>
      </c>
      <c r="L9" s="275">
        <v>206219</v>
      </c>
      <c r="M9" s="275">
        <v>238515</v>
      </c>
      <c r="N9" s="275">
        <v>250433</v>
      </c>
      <c r="O9" s="275">
        <v>272872</v>
      </c>
      <c r="P9" s="275">
        <v>282353</v>
      </c>
      <c r="Q9" s="275">
        <v>298524</v>
      </c>
      <c r="R9" s="275">
        <v>347780</v>
      </c>
      <c r="S9" s="275">
        <v>375724.6</v>
      </c>
      <c r="T9" s="275">
        <v>374339.16833017452</v>
      </c>
      <c r="U9" s="275">
        <v>397142.87599999999</v>
      </c>
      <c r="V9" s="275">
        <v>467666.772</v>
      </c>
      <c r="W9" s="220"/>
      <c r="X9" s="434">
        <f t="shared" ref="X9:X12" si="2">V9/U9-1</f>
        <v>0.17757814696391527</v>
      </c>
      <c r="Y9" s="434">
        <f t="shared" ref="Y9:Y12" si="3">V9/R9-1</f>
        <v>0.34472014491920189</v>
      </c>
      <c r="Z9" s="135"/>
      <c r="AL9" s="251"/>
      <c r="AY9" s="251"/>
      <c r="BL9" s="251"/>
      <c r="BY9" s="251"/>
      <c r="CL9" s="251"/>
      <c r="CY9" s="251"/>
      <c r="DL9" s="251"/>
      <c r="DY9" s="251"/>
      <c r="EL9" s="251"/>
      <c r="EY9" s="251"/>
      <c r="FL9" s="251"/>
      <c r="FY9" s="251"/>
      <c r="GL9" s="251"/>
      <c r="GY9" s="251"/>
      <c r="HL9" s="251"/>
      <c r="HY9" s="251"/>
      <c r="IL9" s="251"/>
      <c r="IY9" s="251"/>
      <c r="JL9" s="251"/>
      <c r="JY9" s="251"/>
      <c r="KL9" s="251"/>
      <c r="KY9" s="251"/>
      <c r="LL9" s="251"/>
      <c r="LY9" s="251"/>
      <c r="ML9" s="251"/>
      <c r="MY9" s="251"/>
      <c r="NL9" s="251"/>
      <c r="NY9" s="251"/>
      <c r="OL9" s="251"/>
      <c r="OY9" s="251"/>
      <c r="PL9" s="251"/>
      <c r="PY9" s="251"/>
      <c r="QL9" s="251"/>
      <c r="QY9" s="251"/>
      <c r="RL9" s="251"/>
      <c r="RY9" s="251"/>
      <c r="SL9" s="251"/>
      <c r="SY9" s="251"/>
      <c r="TL9" s="251"/>
      <c r="TY9" s="251"/>
      <c r="UL9" s="251"/>
      <c r="UY9" s="251"/>
      <c r="VL9" s="251"/>
      <c r="VY9" s="251"/>
      <c r="WL9" s="251"/>
      <c r="WY9" s="251"/>
      <c r="XL9" s="251"/>
      <c r="XY9" s="251"/>
      <c r="YL9" s="251"/>
      <c r="YY9" s="251"/>
      <c r="ZL9" s="251"/>
      <c r="ZY9" s="251"/>
      <c r="AAL9" s="251"/>
      <c r="AAY9" s="251"/>
      <c r="ABL9" s="251"/>
      <c r="ABY9" s="251"/>
      <c r="ACL9" s="251"/>
      <c r="ACY9" s="251"/>
      <c r="ADL9" s="251"/>
      <c r="ADY9" s="251"/>
      <c r="AEL9" s="251"/>
      <c r="AEY9" s="251"/>
      <c r="AFL9" s="251"/>
      <c r="AFY9" s="251"/>
      <c r="AGL9" s="251"/>
      <c r="AGY9" s="251"/>
      <c r="AHL9" s="251"/>
      <c r="AHY9" s="251"/>
      <c r="AIL9" s="251"/>
      <c r="AIY9" s="251"/>
      <c r="AJL9" s="251"/>
      <c r="AJY9" s="251"/>
      <c r="AKL9" s="251"/>
      <c r="AKY9" s="251"/>
      <c r="ALL9" s="251"/>
      <c r="ALY9" s="251"/>
      <c r="AML9" s="251"/>
      <c r="AMY9" s="251"/>
      <c r="ANL9" s="251"/>
      <c r="ANY9" s="251"/>
      <c r="AOL9" s="251"/>
      <c r="AOY9" s="251"/>
      <c r="APL9" s="251"/>
      <c r="APY9" s="251"/>
      <c r="AQL9" s="251"/>
      <c r="AQY9" s="251"/>
      <c r="ARL9" s="251"/>
      <c r="ARY9" s="251"/>
      <c r="ASL9" s="251"/>
      <c r="ASY9" s="251"/>
      <c r="ATL9" s="251"/>
      <c r="ATY9" s="251"/>
      <c r="AUL9" s="251"/>
      <c r="AUY9" s="251"/>
      <c r="AVL9" s="251"/>
      <c r="AVY9" s="251"/>
      <c r="AWL9" s="251"/>
      <c r="AWY9" s="251"/>
      <c r="AXL9" s="251"/>
      <c r="AXY9" s="251"/>
      <c r="AYL9" s="251"/>
      <c r="AYY9" s="251"/>
      <c r="AZL9" s="251"/>
      <c r="AZY9" s="251"/>
      <c r="BAL9" s="251"/>
      <c r="BAY9" s="251"/>
      <c r="BBL9" s="251"/>
      <c r="BBY9" s="251"/>
      <c r="BCL9" s="251"/>
      <c r="BCY9" s="251"/>
      <c r="BDL9" s="251"/>
      <c r="BDY9" s="251"/>
      <c r="BEL9" s="251"/>
      <c r="BEY9" s="251"/>
      <c r="BFL9" s="251"/>
      <c r="BFY9" s="251"/>
      <c r="BGL9" s="251"/>
      <c r="BGY9" s="251"/>
      <c r="BHL9" s="251"/>
      <c r="BHY9" s="251"/>
      <c r="BIL9" s="251"/>
      <c r="BIY9" s="251"/>
      <c r="BJL9" s="251"/>
      <c r="BJY9" s="251"/>
      <c r="BKL9" s="251"/>
      <c r="BKY9" s="251"/>
      <c r="BLL9" s="251"/>
      <c r="BLY9" s="251"/>
      <c r="BML9" s="251"/>
      <c r="BMY9" s="251"/>
      <c r="BNL9" s="251"/>
      <c r="BNY9" s="251"/>
      <c r="BOL9" s="251"/>
      <c r="BOY9" s="251"/>
      <c r="BPL9" s="251"/>
      <c r="BPY9" s="251"/>
      <c r="BQL9" s="251"/>
      <c r="BQY9" s="251"/>
      <c r="BRL9" s="251"/>
      <c r="BRY9" s="251"/>
      <c r="BSL9" s="251"/>
      <c r="BSY9" s="251"/>
      <c r="BTL9" s="251"/>
      <c r="BTY9" s="251"/>
      <c r="BUL9" s="251"/>
      <c r="BUY9" s="251"/>
      <c r="BVL9" s="251"/>
      <c r="BVY9" s="251"/>
      <c r="BWL9" s="251"/>
      <c r="BWY9" s="251"/>
      <c r="BXL9" s="251"/>
      <c r="BXY9" s="251"/>
      <c r="BYL9" s="251"/>
      <c r="BYY9" s="251"/>
      <c r="BZL9" s="251"/>
      <c r="BZY9" s="251"/>
      <c r="CAL9" s="251"/>
      <c r="CAY9" s="251"/>
      <c r="CBL9" s="251"/>
      <c r="CBY9" s="251"/>
      <c r="CCL9" s="251"/>
      <c r="CCY9" s="251"/>
      <c r="CDL9" s="251"/>
      <c r="CDY9" s="251"/>
      <c r="CEL9" s="251"/>
      <c r="CEY9" s="251"/>
      <c r="CFL9" s="251"/>
      <c r="CFY9" s="251"/>
      <c r="CGL9" s="251"/>
      <c r="CGY9" s="251"/>
      <c r="CHL9" s="251"/>
      <c r="CHY9" s="251"/>
      <c r="CIL9" s="251"/>
      <c r="CIY9" s="251"/>
      <c r="CJL9" s="251"/>
      <c r="CJY9" s="251"/>
      <c r="CKL9" s="251"/>
      <c r="CKY9" s="251"/>
      <c r="CLL9" s="251"/>
      <c r="CLY9" s="251"/>
      <c r="CML9" s="251"/>
      <c r="CMY9" s="251"/>
      <c r="CNL9" s="251"/>
      <c r="CNY9" s="251"/>
      <c r="COL9" s="251"/>
      <c r="COY9" s="251"/>
      <c r="CPL9" s="251"/>
      <c r="CPY9" s="251"/>
      <c r="CQL9" s="251"/>
      <c r="CQY9" s="251"/>
      <c r="CRL9" s="251"/>
      <c r="CRY9" s="251"/>
      <c r="CSL9" s="251"/>
      <c r="CSY9" s="251"/>
      <c r="CTL9" s="251"/>
      <c r="CTY9" s="251"/>
      <c r="CUL9" s="251"/>
      <c r="CUY9" s="251"/>
      <c r="CVL9" s="251"/>
      <c r="CVY9" s="251"/>
      <c r="CWL9" s="251"/>
      <c r="CWY9" s="251"/>
      <c r="CXL9" s="251"/>
      <c r="CXY9" s="251"/>
      <c r="CYL9" s="251"/>
      <c r="CYY9" s="251"/>
      <c r="CZL9" s="251"/>
      <c r="CZY9" s="251"/>
      <c r="DAL9" s="251"/>
      <c r="DAY9" s="251"/>
      <c r="DBL9" s="251"/>
      <c r="DBY9" s="251"/>
      <c r="DCL9" s="251"/>
      <c r="DCY9" s="251"/>
      <c r="DDL9" s="251"/>
      <c r="DDY9" s="251"/>
      <c r="DEL9" s="251"/>
      <c r="DEY9" s="251"/>
      <c r="DFL9" s="251"/>
      <c r="DFY9" s="251"/>
      <c r="DGL9" s="251"/>
      <c r="DGY9" s="251"/>
      <c r="DHL9" s="251"/>
      <c r="DHY9" s="251"/>
      <c r="DIL9" s="251"/>
      <c r="DIY9" s="251"/>
      <c r="DJL9" s="251"/>
      <c r="DJY9" s="251"/>
      <c r="DKL9" s="251"/>
      <c r="DKY9" s="251"/>
      <c r="DLL9" s="251"/>
      <c r="DLY9" s="251"/>
      <c r="DML9" s="251"/>
      <c r="DMY9" s="251"/>
      <c r="DNL9" s="251"/>
      <c r="DNY9" s="251"/>
      <c r="DOL9" s="251"/>
      <c r="DOY9" s="251"/>
      <c r="DPL9" s="251"/>
      <c r="DPY9" s="251"/>
      <c r="DQL9" s="251"/>
      <c r="DQY9" s="251"/>
      <c r="DRL9" s="251"/>
      <c r="DRY9" s="251"/>
      <c r="DSL9" s="251"/>
      <c r="DSY9" s="251"/>
      <c r="DTL9" s="251"/>
      <c r="DTY9" s="251"/>
      <c r="DUL9" s="251"/>
      <c r="DUY9" s="251"/>
      <c r="DVL9" s="251"/>
      <c r="DVY9" s="251"/>
      <c r="DWL9" s="251"/>
      <c r="DWY9" s="251"/>
      <c r="DXL9" s="251"/>
      <c r="DXY9" s="251"/>
      <c r="DYL9" s="251"/>
      <c r="DYY9" s="251"/>
      <c r="DZL9" s="251"/>
      <c r="DZY9" s="251"/>
      <c r="EAL9" s="251"/>
      <c r="EAY9" s="251"/>
      <c r="EBL9" s="251"/>
      <c r="EBY9" s="251"/>
      <c r="ECL9" s="251"/>
      <c r="ECY9" s="251"/>
      <c r="EDL9" s="251"/>
      <c r="EDY9" s="251"/>
      <c r="EEL9" s="251"/>
      <c r="EEY9" s="251"/>
      <c r="EFL9" s="251"/>
      <c r="EFY9" s="251"/>
      <c r="EGL9" s="251"/>
      <c r="EGY9" s="251"/>
      <c r="EHL9" s="251"/>
      <c r="EHY9" s="251"/>
      <c r="EIL9" s="251"/>
      <c r="EIY9" s="251"/>
      <c r="EJL9" s="251"/>
      <c r="EJY9" s="251"/>
      <c r="EKL9" s="251"/>
      <c r="EKY9" s="251"/>
      <c r="ELL9" s="251"/>
      <c r="ELY9" s="251"/>
      <c r="EML9" s="251"/>
      <c r="EMY9" s="251"/>
      <c r="ENL9" s="251"/>
      <c r="ENY9" s="251"/>
      <c r="EOL9" s="251"/>
      <c r="EOY9" s="251"/>
      <c r="EPL9" s="251"/>
      <c r="EPY9" s="251"/>
      <c r="EQL9" s="251"/>
      <c r="EQY9" s="251"/>
      <c r="ERL9" s="251"/>
      <c r="ERY9" s="251"/>
      <c r="ESL9" s="251"/>
      <c r="ESY9" s="251"/>
      <c r="ETL9" s="251"/>
      <c r="ETY9" s="251"/>
      <c r="EUL9" s="251"/>
      <c r="EUY9" s="251"/>
      <c r="EVL9" s="251"/>
      <c r="EVY9" s="251"/>
      <c r="EWL9" s="251"/>
      <c r="EWY9" s="251"/>
      <c r="EXL9" s="251"/>
      <c r="EXY9" s="251"/>
      <c r="EYL9" s="251"/>
      <c r="EYY9" s="251"/>
      <c r="EZL9" s="251"/>
      <c r="EZY9" s="251"/>
      <c r="FAL9" s="251"/>
      <c r="FAY9" s="251"/>
      <c r="FBL9" s="251"/>
      <c r="FBY9" s="251"/>
      <c r="FCL9" s="251"/>
      <c r="FCY9" s="251"/>
      <c r="FDL9" s="251"/>
      <c r="FDY9" s="251"/>
      <c r="FEL9" s="251"/>
      <c r="FEY9" s="251"/>
      <c r="FFL9" s="251"/>
      <c r="FFY9" s="251"/>
      <c r="FGL9" s="251"/>
      <c r="FGY9" s="251"/>
      <c r="FHL9" s="251"/>
      <c r="FHY9" s="251"/>
      <c r="FIL9" s="251"/>
      <c r="FIY9" s="251"/>
      <c r="FJL9" s="251"/>
      <c r="FJY9" s="251"/>
      <c r="FKL9" s="251"/>
      <c r="FKY9" s="251"/>
      <c r="FLL9" s="251"/>
      <c r="FLY9" s="251"/>
      <c r="FML9" s="251"/>
      <c r="FMY9" s="251"/>
      <c r="FNL9" s="251"/>
      <c r="FNY9" s="251"/>
      <c r="FOL9" s="251"/>
      <c r="FOY9" s="251"/>
      <c r="FPL9" s="251"/>
      <c r="FPY9" s="251"/>
      <c r="FQL9" s="251"/>
      <c r="FQY9" s="251"/>
      <c r="FRL9" s="251"/>
      <c r="FRY9" s="251"/>
      <c r="FSL9" s="251"/>
      <c r="FSY9" s="251"/>
      <c r="FTL9" s="251"/>
      <c r="FTY9" s="251"/>
      <c r="FUL9" s="251"/>
      <c r="FUY9" s="251"/>
      <c r="FVL9" s="251"/>
      <c r="FVY9" s="251"/>
      <c r="FWL9" s="251"/>
      <c r="FWY9" s="251"/>
      <c r="FXL9" s="251"/>
      <c r="FXY9" s="251"/>
      <c r="FYL9" s="251"/>
      <c r="FYY9" s="251"/>
      <c r="FZL9" s="251"/>
      <c r="FZY9" s="251"/>
      <c r="GAL9" s="251"/>
      <c r="GAY9" s="251"/>
      <c r="GBL9" s="251"/>
      <c r="GBY9" s="251"/>
      <c r="GCL9" s="251"/>
      <c r="GCY9" s="251"/>
      <c r="GDL9" s="251"/>
      <c r="GDY9" s="251"/>
      <c r="GEL9" s="251"/>
      <c r="GEY9" s="251"/>
      <c r="GFL9" s="251"/>
      <c r="GFY9" s="251"/>
      <c r="GGL9" s="251"/>
      <c r="GGY9" s="251"/>
      <c r="GHL9" s="251"/>
      <c r="GHY9" s="251"/>
      <c r="GIL9" s="251"/>
      <c r="GIY9" s="251"/>
      <c r="GJL9" s="251"/>
      <c r="GJY9" s="251"/>
      <c r="GKL9" s="251"/>
      <c r="GKY9" s="251"/>
      <c r="GLL9" s="251"/>
      <c r="GLY9" s="251"/>
      <c r="GML9" s="251"/>
      <c r="GMY9" s="251"/>
      <c r="GNL9" s="251"/>
      <c r="GNY9" s="251"/>
      <c r="GOL9" s="251"/>
      <c r="GOY9" s="251"/>
      <c r="GPL9" s="251"/>
      <c r="GPY9" s="251"/>
      <c r="GQL9" s="251"/>
      <c r="GQY9" s="251"/>
      <c r="GRL9" s="251"/>
      <c r="GRY9" s="251"/>
      <c r="GSL9" s="251"/>
      <c r="GSY9" s="251"/>
      <c r="GTL9" s="251"/>
      <c r="GTY9" s="251"/>
      <c r="GUL9" s="251"/>
      <c r="GUY9" s="251"/>
      <c r="GVL9" s="251"/>
      <c r="GVY9" s="251"/>
      <c r="GWL9" s="251"/>
      <c r="GWY9" s="251"/>
      <c r="GXL9" s="251"/>
      <c r="GXY9" s="251"/>
      <c r="GYL9" s="251"/>
      <c r="GYY9" s="251"/>
      <c r="GZL9" s="251"/>
      <c r="GZY9" s="251"/>
      <c r="HAL9" s="251"/>
      <c r="HAY9" s="251"/>
      <c r="HBL9" s="251"/>
      <c r="HBY9" s="251"/>
      <c r="HCL9" s="251"/>
      <c r="HCY9" s="251"/>
      <c r="HDL9" s="251"/>
      <c r="HDY9" s="251"/>
      <c r="HEL9" s="251"/>
      <c r="HEY9" s="251"/>
      <c r="HFL9" s="251"/>
      <c r="HFY9" s="251"/>
      <c r="HGL9" s="251"/>
      <c r="HGY9" s="251"/>
      <c r="HHL9" s="251"/>
      <c r="HHY9" s="251"/>
      <c r="HIL9" s="251"/>
      <c r="HIY9" s="251"/>
      <c r="HJL9" s="251"/>
      <c r="HJY9" s="251"/>
      <c r="HKL9" s="251"/>
      <c r="HKY9" s="251"/>
      <c r="HLL9" s="251"/>
      <c r="HLY9" s="251"/>
      <c r="HML9" s="251"/>
      <c r="HMY9" s="251"/>
      <c r="HNL9" s="251"/>
      <c r="HNY9" s="251"/>
      <c r="HOL9" s="251"/>
      <c r="HOY9" s="251"/>
      <c r="HPL9" s="251"/>
      <c r="HPY9" s="251"/>
      <c r="HQL9" s="251"/>
      <c r="HQY9" s="251"/>
      <c r="HRL9" s="251"/>
      <c r="HRY9" s="251"/>
      <c r="HSL9" s="251"/>
      <c r="HSY9" s="251"/>
      <c r="HTL9" s="251"/>
      <c r="HTY9" s="251"/>
      <c r="HUL9" s="251"/>
      <c r="HUY9" s="251"/>
      <c r="HVL9" s="251"/>
      <c r="HVY9" s="251"/>
      <c r="HWL9" s="251"/>
      <c r="HWY9" s="251"/>
      <c r="HXL9" s="251"/>
      <c r="HXY9" s="251"/>
      <c r="HYL9" s="251"/>
      <c r="HYY9" s="251"/>
      <c r="HZL9" s="251"/>
      <c r="HZY9" s="251"/>
      <c r="IAL9" s="251"/>
      <c r="IAY9" s="251"/>
      <c r="IBL9" s="251"/>
      <c r="IBY9" s="251"/>
      <c r="ICL9" s="251"/>
      <c r="ICY9" s="251"/>
      <c r="IDL9" s="251"/>
      <c r="IDY9" s="251"/>
      <c r="IEL9" s="251"/>
      <c r="IEY9" s="251"/>
      <c r="IFL9" s="251"/>
      <c r="IFY9" s="251"/>
      <c r="IGL9" s="251"/>
      <c r="IGY9" s="251"/>
      <c r="IHL9" s="251"/>
      <c r="IHY9" s="251"/>
      <c r="IIL9" s="251"/>
      <c r="IIY9" s="251"/>
      <c r="IJL9" s="251"/>
      <c r="IJY9" s="251"/>
      <c r="IKL9" s="251"/>
      <c r="IKY9" s="251"/>
      <c r="ILL9" s="251"/>
      <c r="ILY9" s="251"/>
      <c r="IML9" s="251"/>
      <c r="IMY9" s="251"/>
      <c r="INL9" s="251"/>
      <c r="INY9" s="251"/>
      <c r="IOL9" s="251"/>
      <c r="IOY9" s="251"/>
      <c r="IPL9" s="251"/>
      <c r="IPY9" s="251"/>
      <c r="IQL9" s="251"/>
      <c r="IQY9" s="251"/>
      <c r="IRL9" s="251"/>
      <c r="IRY9" s="251"/>
      <c r="ISL9" s="251"/>
      <c r="ISY9" s="251"/>
      <c r="ITL9" s="251"/>
      <c r="ITY9" s="251"/>
      <c r="IUL9" s="251"/>
      <c r="IUY9" s="251"/>
      <c r="IVL9" s="251"/>
      <c r="IVY9" s="251"/>
      <c r="IWL9" s="251"/>
      <c r="IWY9" s="251"/>
      <c r="IXL9" s="251"/>
      <c r="IXY9" s="251"/>
      <c r="IYL9" s="251"/>
      <c r="IYY9" s="251"/>
      <c r="IZL9" s="251"/>
      <c r="IZY9" s="251"/>
      <c r="JAL9" s="251"/>
      <c r="JAY9" s="251"/>
      <c r="JBL9" s="251"/>
      <c r="JBY9" s="251"/>
      <c r="JCL9" s="251"/>
      <c r="JCY9" s="251"/>
      <c r="JDL9" s="251"/>
      <c r="JDY9" s="251"/>
      <c r="JEL9" s="251"/>
      <c r="JEY9" s="251"/>
      <c r="JFL9" s="251"/>
      <c r="JFY9" s="251"/>
      <c r="JGL9" s="251"/>
      <c r="JGY9" s="251"/>
      <c r="JHL9" s="251"/>
      <c r="JHY9" s="251"/>
      <c r="JIL9" s="251"/>
      <c r="JIY9" s="251"/>
      <c r="JJL9" s="251"/>
      <c r="JJY9" s="251"/>
      <c r="JKL9" s="251"/>
      <c r="JKY9" s="251"/>
      <c r="JLL9" s="251"/>
      <c r="JLY9" s="251"/>
      <c r="JML9" s="251"/>
      <c r="JMY9" s="251"/>
      <c r="JNL9" s="251"/>
      <c r="JNY9" s="251"/>
      <c r="JOL9" s="251"/>
      <c r="JOY9" s="251"/>
      <c r="JPL9" s="251"/>
      <c r="JPY9" s="251"/>
      <c r="JQL9" s="251"/>
      <c r="JQY9" s="251"/>
      <c r="JRL9" s="251"/>
      <c r="JRY9" s="251"/>
      <c r="JSL9" s="251"/>
      <c r="JSY9" s="251"/>
      <c r="JTL9" s="251"/>
      <c r="JTY9" s="251"/>
      <c r="JUL9" s="251"/>
      <c r="JUY9" s="251"/>
      <c r="JVL9" s="251"/>
      <c r="JVY9" s="251"/>
      <c r="JWL9" s="251"/>
      <c r="JWY9" s="251"/>
      <c r="JXL9" s="251"/>
      <c r="JXY9" s="251"/>
      <c r="JYL9" s="251"/>
      <c r="JYY9" s="251"/>
      <c r="JZL9" s="251"/>
      <c r="JZY9" s="251"/>
      <c r="KAL9" s="251"/>
      <c r="KAY9" s="251"/>
      <c r="KBL9" s="251"/>
      <c r="KBY9" s="251"/>
      <c r="KCL9" s="251"/>
      <c r="KCY9" s="251"/>
      <c r="KDL9" s="251"/>
      <c r="KDY9" s="251"/>
      <c r="KEL9" s="251"/>
      <c r="KEY9" s="251"/>
      <c r="KFL9" s="251"/>
      <c r="KFY9" s="251"/>
      <c r="KGL9" s="251"/>
      <c r="KGY9" s="251"/>
      <c r="KHL9" s="251"/>
      <c r="KHY9" s="251"/>
      <c r="KIL9" s="251"/>
      <c r="KIY9" s="251"/>
      <c r="KJL9" s="251"/>
      <c r="KJY9" s="251"/>
      <c r="KKL9" s="251"/>
      <c r="KKY9" s="251"/>
      <c r="KLL9" s="251"/>
      <c r="KLY9" s="251"/>
      <c r="KML9" s="251"/>
      <c r="KMY9" s="251"/>
      <c r="KNL9" s="251"/>
      <c r="KNY9" s="251"/>
      <c r="KOL9" s="251"/>
      <c r="KOY9" s="251"/>
      <c r="KPL9" s="251"/>
      <c r="KPY9" s="251"/>
      <c r="KQL9" s="251"/>
      <c r="KQY9" s="251"/>
      <c r="KRL9" s="251"/>
      <c r="KRY9" s="251"/>
      <c r="KSL9" s="251"/>
      <c r="KSY9" s="251"/>
      <c r="KTL9" s="251"/>
      <c r="KTY9" s="251"/>
      <c r="KUL9" s="251"/>
      <c r="KUY9" s="251"/>
      <c r="KVL9" s="251"/>
      <c r="KVY9" s="251"/>
      <c r="KWL9" s="251"/>
      <c r="KWY9" s="251"/>
      <c r="KXL9" s="251"/>
      <c r="KXY9" s="251"/>
      <c r="KYL9" s="251"/>
      <c r="KYY9" s="251"/>
      <c r="KZL9" s="251"/>
      <c r="KZY9" s="251"/>
      <c r="LAL9" s="251"/>
      <c r="LAY9" s="251"/>
      <c r="LBL9" s="251"/>
      <c r="LBY9" s="251"/>
      <c r="LCL9" s="251"/>
      <c r="LCY9" s="251"/>
      <c r="LDL9" s="251"/>
      <c r="LDY9" s="251"/>
      <c r="LEL9" s="251"/>
      <c r="LEY9" s="251"/>
      <c r="LFL9" s="251"/>
      <c r="LFY9" s="251"/>
      <c r="LGL9" s="251"/>
      <c r="LGY9" s="251"/>
      <c r="LHL9" s="251"/>
      <c r="LHY9" s="251"/>
      <c r="LIL9" s="251"/>
      <c r="LIY9" s="251"/>
      <c r="LJL9" s="251"/>
      <c r="LJY9" s="251"/>
      <c r="LKL9" s="251"/>
      <c r="LKY9" s="251"/>
      <c r="LLL9" s="251"/>
      <c r="LLY9" s="251"/>
      <c r="LML9" s="251"/>
      <c r="LMY9" s="251"/>
      <c r="LNL9" s="251"/>
      <c r="LNY9" s="251"/>
      <c r="LOL9" s="251"/>
      <c r="LOY9" s="251"/>
      <c r="LPL9" s="251"/>
      <c r="LPY9" s="251"/>
      <c r="LQL9" s="251"/>
      <c r="LQY9" s="251"/>
      <c r="LRL9" s="251"/>
      <c r="LRY9" s="251"/>
      <c r="LSL9" s="251"/>
      <c r="LSY9" s="251"/>
      <c r="LTL9" s="251"/>
      <c r="LTY9" s="251"/>
      <c r="LUL9" s="251"/>
      <c r="LUY9" s="251"/>
      <c r="LVL9" s="251"/>
      <c r="LVY9" s="251"/>
      <c r="LWL9" s="251"/>
      <c r="LWY9" s="251"/>
      <c r="LXL9" s="251"/>
      <c r="LXY9" s="251"/>
      <c r="LYL9" s="251"/>
      <c r="LYY9" s="251"/>
      <c r="LZL9" s="251"/>
      <c r="LZY9" s="251"/>
      <c r="MAL9" s="251"/>
      <c r="MAY9" s="251"/>
      <c r="MBL9" s="251"/>
      <c r="MBY9" s="251"/>
      <c r="MCL9" s="251"/>
      <c r="MCY9" s="251"/>
      <c r="MDL9" s="251"/>
      <c r="MDY9" s="251"/>
      <c r="MEL9" s="251"/>
      <c r="MEY9" s="251"/>
      <c r="MFL9" s="251"/>
      <c r="MFY9" s="251"/>
      <c r="MGL9" s="251"/>
      <c r="MGY9" s="251"/>
      <c r="MHL9" s="251"/>
      <c r="MHY9" s="251"/>
      <c r="MIL9" s="251"/>
      <c r="MIY9" s="251"/>
      <c r="MJL9" s="251"/>
      <c r="MJY9" s="251"/>
      <c r="MKL9" s="251"/>
      <c r="MKY9" s="251"/>
      <c r="MLL9" s="251"/>
      <c r="MLY9" s="251"/>
      <c r="MML9" s="251"/>
      <c r="MMY9" s="251"/>
      <c r="MNL9" s="251"/>
      <c r="MNY9" s="251"/>
      <c r="MOL9" s="251"/>
      <c r="MOY9" s="251"/>
      <c r="MPL9" s="251"/>
      <c r="MPY9" s="251"/>
      <c r="MQL9" s="251"/>
      <c r="MQY9" s="251"/>
      <c r="MRL9" s="251"/>
      <c r="MRY9" s="251"/>
      <c r="MSL9" s="251"/>
      <c r="MSY9" s="251"/>
      <c r="MTL9" s="251"/>
      <c r="MTY9" s="251"/>
      <c r="MUL9" s="251"/>
      <c r="MUY9" s="251"/>
      <c r="MVL9" s="251"/>
      <c r="MVY9" s="251"/>
      <c r="MWL9" s="251"/>
      <c r="MWY9" s="251"/>
      <c r="MXL9" s="251"/>
      <c r="MXY9" s="251"/>
      <c r="MYL9" s="251"/>
      <c r="MYY9" s="251"/>
      <c r="MZL9" s="251"/>
      <c r="MZY9" s="251"/>
      <c r="NAL9" s="251"/>
      <c r="NAY9" s="251"/>
      <c r="NBL9" s="251"/>
      <c r="NBY9" s="251"/>
      <c r="NCL9" s="251"/>
      <c r="NCY9" s="251"/>
      <c r="NDL9" s="251"/>
      <c r="NDY9" s="251"/>
      <c r="NEL9" s="251"/>
      <c r="NEY9" s="251"/>
      <c r="NFL9" s="251"/>
      <c r="NFY9" s="251"/>
      <c r="NGL9" s="251"/>
      <c r="NGY9" s="251"/>
      <c r="NHL9" s="251"/>
      <c r="NHY9" s="251"/>
      <c r="NIL9" s="251"/>
      <c r="NIY9" s="251"/>
      <c r="NJL9" s="251"/>
      <c r="NJY9" s="251"/>
      <c r="NKL9" s="251"/>
      <c r="NKY9" s="251"/>
      <c r="NLL9" s="251"/>
      <c r="NLY9" s="251"/>
      <c r="NML9" s="251"/>
      <c r="NMY9" s="251"/>
      <c r="NNL9" s="251"/>
      <c r="NNY9" s="251"/>
      <c r="NOL9" s="251"/>
      <c r="NOY9" s="251"/>
      <c r="NPL9" s="251"/>
      <c r="NPY9" s="251"/>
      <c r="NQL9" s="251"/>
      <c r="NQY9" s="251"/>
      <c r="NRL9" s="251"/>
      <c r="NRY9" s="251"/>
      <c r="NSL9" s="251"/>
      <c r="NSY9" s="251"/>
      <c r="NTL9" s="251"/>
      <c r="NTY9" s="251"/>
      <c r="NUL9" s="251"/>
      <c r="NUY9" s="251"/>
      <c r="NVL9" s="251"/>
      <c r="NVY9" s="251"/>
      <c r="NWL9" s="251"/>
      <c r="NWY9" s="251"/>
      <c r="NXL9" s="251"/>
      <c r="NXY9" s="251"/>
      <c r="NYL9" s="251"/>
      <c r="NYY9" s="251"/>
      <c r="NZL9" s="251"/>
      <c r="NZY9" s="251"/>
      <c r="OAL9" s="251"/>
      <c r="OAY9" s="251"/>
      <c r="OBL9" s="251"/>
      <c r="OBY9" s="251"/>
      <c r="OCL9" s="251"/>
      <c r="OCY9" s="251"/>
      <c r="ODL9" s="251"/>
      <c r="ODY9" s="251"/>
      <c r="OEL9" s="251"/>
      <c r="OEY9" s="251"/>
      <c r="OFL9" s="251"/>
      <c r="OFY9" s="251"/>
      <c r="OGL9" s="251"/>
      <c r="OGY9" s="251"/>
      <c r="OHL9" s="251"/>
      <c r="OHY9" s="251"/>
      <c r="OIL9" s="251"/>
      <c r="OIY9" s="251"/>
      <c r="OJL9" s="251"/>
      <c r="OJY9" s="251"/>
      <c r="OKL9" s="251"/>
      <c r="OKY9" s="251"/>
      <c r="OLL9" s="251"/>
      <c r="OLY9" s="251"/>
      <c r="OML9" s="251"/>
      <c r="OMY9" s="251"/>
      <c r="ONL9" s="251"/>
      <c r="ONY9" s="251"/>
      <c r="OOL9" s="251"/>
      <c r="OOY9" s="251"/>
      <c r="OPL9" s="251"/>
      <c r="OPY9" s="251"/>
      <c r="OQL9" s="251"/>
      <c r="OQY9" s="251"/>
      <c r="ORL9" s="251"/>
      <c r="ORY9" s="251"/>
      <c r="OSL9" s="251"/>
      <c r="OSY9" s="251"/>
      <c r="OTL9" s="251"/>
      <c r="OTY9" s="251"/>
      <c r="OUL9" s="251"/>
      <c r="OUY9" s="251"/>
      <c r="OVL9" s="251"/>
      <c r="OVY9" s="251"/>
      <c r="OWL9" s="251"/>
      <c r="OWY9" s="251"/>
      <c r="OXL9" s="251"/>
      <c r="OXY9" s="251"/>
      <c r="OYL9" s="251"/>
      <c r="OYY9" s="251"/>
      <c r="OZL9" s="251"/>
      <c r="OZY9" s="251"/>
      <c r="PAL9" s="251"/>
      <c r="PAY9" s="251"/>
      <c r="PBL9" s="251"/>
      <c r="PBY9" s="251"/>
      <c r="PCL9" s="251"/>
      <c r="PCY9" s="251"/>
      <c r="PDL9" s="251"/>
      <c r="PDY9" s="251"/>
      <c r="PEL9" s="251"/>
      <c r="PEY9" s="251"/>
      <c r="PFL9" s="251"/>
      <c r="PFY9" s="251"/>
      <c r="PGL9" s="251"/>
      <c r="PGY9" s="251"/>
      <c r="PHL9" s="251"/>
      <c r="PHY9" s="251"/>
      <c r="PIL9" s="251"/>
      <c r="PIY9" s="251"/>
      <c r="PJL9" s="251"/>
      <c r="PJY9" s="251"/>
      <c r="PKL9" s="251"/>
      <c r="PKY9" s="251"/>
      <c r="PLL9" s="251"/>
      <c r="PLY9" s="251"/>
      <c r="PML9" s="251"/>
      <c r="PMY9" s="251"/>
      <c r="PNL9" s="251"/>
      <c r="PNY9" s="251"/>
      <c r="POL9" s="251"/>
      <c r="POY9" s="251"/>
      <c r="PPL9" s="251"/>
      <c r="PPY9" s="251"/>
      <c r="PQL9" s="251"/>
      <c r="PQY9" s="251"/>
      <c r="PRL9" s="251"/>
      <c r="PRY9" s="251"/>
      <c r="PSL9" s="251"/>
      <c r="PSY9" s="251"/>
      <c r="PTL9" s="251"/>
      <c r="PTY9" s="251"/>
      <c r="PUL9" s="251"/>
      <c r="PUY9" s="251"/>
      <c r="PVL9" s="251"/>
      <c r="PVY9" s="251"/>
      <c r="PWL9" s="251"/>
      <c r="PWY9" s="251"/>
      <c r="PXL9" s="251"/>
      <c r="PXY9" s="251"/>
      <c r="PYL9" s="251"/>
      <c r="PYY9" s="251"/>
      <c r="PZL9" s="251"/>
      <c r="PZY9" s="251"/>
      <c r="QAL9" s="251"/>
      <c r="QAY9" s="251"/>
      <c r="QBL9" s="251"/>
      <c r="QBY9" s="251"/>
      <c r="QCL9" s="251"/>
      <c r="QCY9" s="251"/>
      <c r="QDL9" s="251"/>
      <c r="QDY9" s="251"/>
      <c r="QEL9" s="251"/>
      <c r="QEY9" s="251"/>
      <c r="QFL9" s="251"/>
      <c r="QFY9" s="251"/>
      <c r="QGL9" s="251"/>
      <c r="QGY9" s="251"/>
      <c r="QHL9" s="251"/>
      <c r="QHY9" s="251"/>
      <c r="QIL9" s="251"/>
      <c r="QIY9" s="251"/>
      <c r="QJL9" s="251"/>
      <c r="QJY9" s="251"/>
      <c r="QKL9" s="251"/>
      <c r="QKY9" s="251"/>
      <c r="QLL9" s="251"/>
      <c r="QLY9" s="251"/>
      <c r="QML9" s="251"/>
      <c r="QMY9" s="251"/>
      <c r="QNL9" s="251"/>
      <c r="QNY9" s="251"/>
      <c r="QOL9" s="251"/>
      <c r="QOY9" s="251"/>
      <c r="QPL9" s="251"/>
      <c r="QPY9" s="251"/>
      <c r="QQL9" s="251"/>
      <c r="QQY9" s="251"/>
      <c r="QRL9" s="251"/>
      <c r="QRY9" s="251"/>
      <c r="QSL9" s="251"/>
      <c r="QSY9" s="251"/>
      <c r="QTL9" s="251"/>
      <c r="QTY9" s="251"/>
      <c r="QUL9" s="251"/>
      <c r="QUY9" s="251"/>
      <c r="QVL9" s="251"/>
      <c r="QVY9" s="251"/>
      <c r="QWL9" s="251"/>
      <c r="QWY9" s="251"/>
      <c r="QXL9" s="251"/>
      <c r="QXY9" s="251"/>
      <c r="QYL9" s="251"/>
      <c r="QYY9" s="251"/>
      <c r="QZL9" s="251"/>
      <c r="QZY9" s="251"/>
      <c r="RAL9" s="251"/>
      <c r="RAY9" s="251"/>
      <c r="RBL9" s="251"/>
      <c r="RBY9" s="251"/>
      <c r="RCL9" s="251"/>
      <c r="RCY9" s="251"/>
      <c r="RDL9" s="251"/>
      <c r="RDY9" s="251"/>
      <c r="REL9" s="251"/>
      <c r="REY9" s="251"/>
      <c r="RFL9" s="251"/>
      <c r="RFY9" s="251"/>
      <c r="RGL9" s="251"/>
      <c r="RGY9" s="251"/>
      <c r="RHL9" s="251"/>
      <c r="RHY9" s="251"/>
      <c r="RIL9" s="251"/>
      <c r="RIY9" s="251"/>
      <c r="RJL9" s="251"/>
      <c r="RJY9" s="251"/>
      <c r="RKL9" s="251"/>
      <c r="RKY9" s="251"/>
      <c r="RLL9" s="251"/>
      <c r="RLY9" s="251"/>
      <c r="RML9" s="251"/>
      <c r="RMY9" s="251"/>
      <c r="RNL9" s="251"/>
      <c r="RNY9" s="251"/>
      <c r="ROL9" s="251"/>
      <c r="ROY9" s="251"/>
      <c r="RPL9" s="251"/>
      <c r="RPY9" s="251"/>
      <c r="RQL9" s="251"/>
      <c r="RQY9" s="251"/>
      <c r="RRL9" s="251"/>
      <c r="RRY9" s="251"/>
      <c r="RSL9" s="251"/>
      <c r="RSY9" s="251"/>
      <c r="RTL9" s="251"/>
      <c r="RTY9" s="251"/>
      <c r="RUL9" s="251"/>
      <c r="RUY9" s="251"/>
      <c r="RVL9" s="251"/>
      <c r="RVY9" s="251"/>
      <c r="RWL9" s="251"/>
      <c r="RWY9" s="251"/>
      <c r="RXL9" s="251"/>
      <c r="RXY9" s="251"/>
      <c r="RYL9" s="251"/>
      <c r="RYY9" s="251"/>
      <c r="RZL9" s="251"/>
      <c r="RZY9" s="251"/>
      <c r="SAL9" s="251"/>
      <c r="SAY9" s="251"/>
      <c r="SBL9" s="251"/>
      <c r="SBY9" s="251"/>
      <c r="SCL9" s="251"/>
      <c r="SCY9" s="251"/>
      <c r="SDL9" s="251"/>
      <c r="SDY9" s="251"/>
      <c r="SEL9" s="251"/>
      <c r="SEY9" s="251"/>
      <c r="SFL9" s="251"/>
      <c r="SFY9" s="251"/>
      <c r="SGL9" s="251"/>
      <c r="SGY9" s="251"/>
      <c r="SHL9" s="251"/>
      <c r="SHY9" s="251"/>
      <c r="SIL9" s="251"/>
      <c r="SIY9" s="251"/>
      <c r="SJL9" s="251"/>
      <c r="SJY9" s="251"/>
      <c r="SKL9" s="251"/>
      <c r="SKY9" s="251"/>
      <c r="SLL9" s="251"/>
      <c r="SLY9" s="251"/>
      <c r="SML9" s="251"/>
      <c r="SMY9" s="251"/>
      <c r="SNL9" s="251"/>
      <c r="SNY9" s="251"/>
      <c r="SOL9" s="251"/>
      <c r="SOY9" s="251"/>
      <c r="SPL9" s="251"/>
      <c r="SPY9" s="251"/>
      <c r="SQL9" s="251"/>
      <c r="SQY9" s="251"/>
      <c r="SRL9" s="251"/>
      <c r="SRY9" s="251"/>
      <c r="SSL9" s="251"/>
      <c r="SSY9" s="251"/>
      <c r="STL9" s="251"/>
      <c r="STY9" s="251"/>
      <c r="SUL9" s="251"/>
      <c r="SUY9" s="251"/>
      <c r="SVL9" s="251"/>
      <c r="SVY9" s="251"/>
      <c r="SWL9" s="251"/>
      <c r="SWY9" s="251"/>
      <c r="SXL9" s="251"/>
      <c r="SXY9" s="251"/>
      <c r="SYL9" s="251"/>
      <c r="SYY9" s="251"/>
      <c r="SZL9" s="251"/>
      <c r="SZY9" s="251"/>
      <c r="TAL9" s="251"/>
      <c r="TAY9" s="251"/>
      <c r="TBL9" s="251"/>
      <c r="TBY9" s="251"/>
      <c r="TCL9" s="251"/>
      <c r="TCY9" s="251"/>
      <c r="TDL9" s="251"/>
      <c r="TDY9" s="251"/>
      <c r="TEL9" s="251"/>
      <c r="TEY9" s="251"/>
      <c r="TFL9" s="251"/>
      <c r="TFY9" s="251"/>
      <c r="TGL9" s="251"/>
      <c r="TGY9" s="251"/>
      <c r="THL9" s="251"/>
      <c r="THY9" s="251"/>
      <c r="TIL9" s="251"/>
      <c r="TIY9" s="251"/>
      <c r="TJL9" s="251"/>
      <c r="TJY9" s="251"/>
      <c r="TKL9" s="251"/>
      <c r="TKY9" s="251"/>
      <c r="TLL9" s="251"/>
      <c r="TLY9" s="251"/>
      <c r="TML9" s="251"/>
      <c r="TMY9" s="251"/>
      <c r="TNL9" s="251"/>
      <c r="TNY9" s="251"/>
      <c r="TOL9" s="251"/>
      <c r="TOY9" s="251"/>
      <c r="TPL9" s="251"/>
      <c r="TPY9" s="251"/>
      <c r="TQL9" s="251"/>
      <c r="TQY9" s="251"/>
      <c r="TRL9" s="251"/>
      <c r="TRY9" s="251"/>
      <c r="TSL9" s="251"/>
      <c r="TSY9" s="251"/>
      <c r="TTL9" s="251"/>
      <c r="TTY9" s="251"/>
      <c r="TUL9" s="251"/>
      <c r="TUY9" s="251"/>
      <c r="TVL9" s="251"/>
      <c r="TVY9" s="251"/>
      <c r="TWL9" s="251"/>
      <c r="TWY9" s="251"/>
      <c r="TXL9" s="251"/>
      <c r="TXY9" s="251"/>
      <c r="TYL9" s="251"/>
      <c r="TYY9" s="251"/>
      <c r="TZL9" s="251"/>
      <c r="TZY9" s="251"/>
      <c r="UAL9" s="251"/>
      <c r="UAY9" s="251"/>
      <c r="UBL9" s="251"/>
      <c r="UBY9" s="251"/>
      <c r="UCL9" s="251"/>
      <c r="UCY9" s="251"/>
      <c r="UDL9" s="251"/>
      <c r="UDY9" s="251"/>
      <c r="UEL9" s="251"/>
      <c r="UEY9" s="251"/>
      <c r="UFL9" s="251"/>
      <c r="UFY9" s="251"/>
      <c r="UGL9" s="251"/>
      <c r="UGY9" s="251"/>
      <c r="UHL9" s="251"/>
      <c r="UHY9" s="251"/>
      <c r="UIL9" s="251"/>
      <c r="UIY9" s="251"/>
      <c r="UJL9" s="251"/>
      <c r="UJY9" s="251"/>
      <c r="UKL9" s="251"/>
      <c r="UKY9" s="251"/>
      <c r="ULL9" s="251"/>
      <c r="ULY9" s="251"/>
      <c r="UML9" s="251"/>
      <c r="UMY9" s="251"/>
      <c r="UNL9" s="251"/>
      <c r="UNY9" s="251"/>
      <c r="UOL9" s="251"/>
      <c r="UOY9" s="251"/>
      <c r="UPL9" s="251"/>
      <c r="UPY9" s="251"/>
      <c r="UQL9" s="251"/>
      <c r="UQY9" s="251"/>
      <c r="URL9" s="251"/>
      <c r="URY9" s="251"/>
      <c r="USL9" s="251"/>
      <c r="USY9" s="251"/>
      <c r="UTL9" s="251"/>
      <c r="UTY9" s="251"/>
      <c r="UUL9" s="251"/>
      <c r="UUY9" s="251"/>
      <c r="UVL9" s="251"/>
      <c r="UVY9" s="251"/>
      <c r="UWL9" s="251"/>
      <c r="UWY9" s="251"/>
      <c r="UXL9" s="251"/>
      <c r="UXY9" s="251"/>
      <c r="UYL9" s="251"/>
      <c r="UYY9" s="251"/>
      <c r="UZL9" s="251"/>
      <c r="UZY9" s="251"/>
      <c r="VAL9" s="251"/>
      <c r="VAY9" s="251"/>
      <c r="VBL9" s="251"/>
      <c r="VBY9" s="251"/>
      <c r="VCL9" s="251"/>
      <c r="VCY9" s="251"/>
      <c r="VDL9" s="251"/>
      <c r="VDY9" s="251"/>
      <c r="VEL9" s="251"/>
      <c r="VEY9" s="251"/>
      <c r="VFL9" s="251"/>
      <c r="VFY9" s="251"/>
      <c r="VGL9" s="251"/>
      <c r="VGY9" s="251"/>
      <c r="VHL9" s="251"/>
      <c r="VHY9" s="251"/>
      <c r="VIL9" s="251"/>
      <c r="VIY9" s="251"/>
      <c r="VJL9" s="251"/>
      <c r="VJY9" s="251"/>
      <c r="VKL9" s="251"/>
      <c r="VKY9" s="251"/>
      <c r="VLL9" s="251"/>
      <c r="VLY9" s="251"/>
      <c r="VML9" s="251"/>
      <c r="VMY9" s="251"/>
      <c r="VNL9" s="251"/>
      <c r="VNY9" s="251"/>
      <c r="VOL9" s="251"/>
      <c r="VOY9" s="251"/>
      <c r="VPL9" s="251"/>
      <c r="VPY9" s="251"/>
      <c r="VQL9" s="251"/>
      <c r="VQY9" s="251"/>
      <c r="VRL9" s="251"/>
      <c r="VRY9" s="251"/>
      <c r="VSL9" s="251"/>
      <c r="VSY9" s="251"/>
      <c r="VTL9" s="251"/>
      <c r="VTY9" s="251"/>
      <c r="VUL9" s="251"/>
      <c r="VUY9" s="251"/>
      <c r="VVL9" s="251"/>
      <c r="VVY9" s="251"/>
      <c r="VWL9" s="251"/>
      <c r="VWY9" s="251"/>
      <c r="VXL9" s="251"/>
      <c r="VXY9" s="251"/>
      <c r="VYL9" s="251"/>
      <c r="VYY9" s="251"/>
      <c r="VZL9" s="251"/>
      <c r="VZY9" s="251"/>
      <c r="WAL9" s="251"/>
      <c r="WAY9" s="251"/>
      <c r="WBL9" s="251"/>
      <c r="WBY9" s="251"/>
      <c r="WCL9" s="251"/>
      <c r="WCY9" s="251"/>
      <c r="WDL9" s="251"/>
      <c r="WDY9" s="251"/>
      <c r="WEL9" s="251"/>
      <c r="WEY9" s="251"/>
      <c r="WFL9" s="251"/>
      <c r="WFY9" s="251"/>
      <c r="WGL9" s="251"/>
      <c r="WGY9" s="251"/>
      <c r="WHL9" s="251"/>
      <c r="WHY9" s="251"/>
      <c r="WIL9" s="251"/>
      <c r="WIY9" s="251"/>
      <c r="WJL9" s="251"/>
      <c r="WJY9" s="251"/>
      <c r="WKL9" s="251"/>
      <c r="WKY9" s="251"/>
      <c r="WLL9" s="251"/>
      <c r="WLY9" s="251"/>
      <c r="WML9" s="251"/>
      <c r="WMY9" s="251"/>
      <c r="WNL9" s="251"/>
      <c r="WNY9" s="251"/>
      <c r="WOL9" s="251"/>
      <c r="WOY9" s="251"/>
      <c r="WPL9" s="251"/>
      <c r="WPY9" s="251"/>
      <c r="WQL9" s="251"/>
      <c r="WQY9" s="251"/>
      <c r="WRL9" s="251"/>
      <c r="WRY9" s="251"/>
      <c r="WSL9" s="251"/>
      <c r="WSY9" s="251"/>
      <c r="WTL9" s="251"/>
      <c r="WTY9" s="251"/>
      <c r="WUL9" s="251"/>
      <c r="WUY9" s="251"/>
      <c r="WVL9" s="251"/>
      <c r="WVY9" s="251"/>
      <c r="WWL9" s="251"/>
      <c r="WWY9" s="251"/>
      <c r="WXL9" s="251"/>
      <c r="WXY9" s="251"/>
      <c r="WYL9" s="251"/>
      <c r="WYY9" s="251"/>
      <c r="WZL9" s="251"/>
      <c r="WZY9" s="251"/>
      <c r="XAL9" s="251"/>
      <c r="XAY9" s="251"/>
      <c r="XBL9" s="251"/>
      <c r="XBY9" s="251"/>
      <c r="XCL9" s="251"/>
      <c r="XCY9" s="251"/>
      <c r="XDL9" s="251"/>
      <c r="XDY9" s="251"/>
      <c r="XEL9" s="251"/>
      <c r="XEY9" s="251"/>
    </row>
    <row r="10" spans="1:1013 1026:2040 2053:3067 3080:4094 4107:5108 5121:6135 6148:7162 7175:8189 8202:9216 9229:10230 10243:11257 11270:12284 12297:13311 13324:14325 14338:15352 15365:16379" s="193" customFormat="1" ht="13" customHeight="1">
      <c r="A10" s="262"/>
      <c r="B10" s="16" t="str">
        <f>IF('Summary | Sumário'!D$6=Names!B$3,Names!M7,Names!N7)</f>
        <v>Expenses from services and commissions</v>
      </c>
      <c r="C10" s="253">
        <v>-56627.339</v>
      </c>
      <c r="D10" s="253">
        <v>-71611</v>
      </c>
      <c r="E10" s="253">
        <v>-100297</v>
      </c>
      <c r="F10" s="253">
        <v>-129233</v>
      </c>
      <c r="G10" s="253">
        <v>-135582</v>
      </c>
      <c r="H10" s="253">
        <v>-23279</v>
      </c>
      <c r="I10" s="253">
        <v>-21841</v>
      </c>
      <c r="J10" s="253">
        <v>-26430</v>
      </c>
      <c r="K10" s="253">
        <v>-28747</v>
      </c>
      <c r="L10" s="253">
        <v>-28516</v>
      </c>
      <c r="M10" s="253">
        <v>-33954</v>
      </c>
      <c r="N10" s="253">
        <v>-33404</v>
      </c>
      <c r="O10" s="253">
        <v>-33359</v>
      </c>
      <c r="P10" s="253">
        <v>-35678</v>
      </c>
      <c r="Q10" s="253">
        <v>-31723</v>
      </c>
      <c r="R10" s="253">
        <v>-32271</v>
      </c>
      <c r="S10" s="253">
        <v>-35910</v>
      </c>
      <c r="T10" s="253">
        <v>-34021.773478642281</v>
      </c>
      <c r="U10" s="253">
        <v>-32942.008999999998</v>
      </c>
      <c r="V10" s="253">
        <v>-37677.792999999998</v>
      </c>
      <c r="W10" s="253"/>
      <c r="X10" s="260">
        <f t="shared" si="2"/>
        <v>0.14376123811999442</v>
      </c>
      <c r="Y10" s="260">
        <f t="shared" si="3"/>
        <v>0.16754339809736285</v>
      </c>
    </row>
    <row r="11" spans="1:1013 1026:2040 2053:3067 3080:4094 4107:5108 5121:6135 6148:7162 7175:8189 8202:9216 9229:10230 10243:11257 11270:12284 12297:13311 13324:14325 14338:15352 15365:16379" ht="13" customHeight="1">
      <c r="A11" s="249"/>
      <c r="B11" s="22" t="str">
        <f>IF('Summary | Sumário'!D$6=Names!B$3,Names!M10,Names!N10)</f>
        <v>Other revenues</v>
      </c>
      <c r="C11" s="252">
        <v>52843</v>
      </c>
      <c r="D11" s="252">
        <v>109882</v>
      </c>
      <c r="E11" s="252">
        <v>190082</v>
      </c>
      <c r="F11" s="252">
        <v>388462</v>
      </c>
      <c r="G11" s="252">
        <v>375688</v>
      </c>
      <c r="H11" s="252">
        <v>47499</v>
      </c>
      <c r="I11" s="252">
        <v>76048</v>
      </c>
      <c r="J11" s="252">
        <v>36287</v>
      </c>
      <c r="K11" s="252">
        <v>30248</v>
      </c>
      <c r="L11" s="252">
        <v>112407</v>
      </c>
      <c r="M11" s="252">
        <v>111372</v>
      </c>
      <c r="N11" s="252">
        <v>77687</v>
      </c>
      <c r="O11" s="252">
        <v>86996</v>
      </c>
      <c r="P11" s="252">
        <v>65877</v>
      </c>
      <c r="Q11" s="252">
        <v>81158</v>
      </c>
      <c r="R11" s="252">
        <v>131429.50028000001</v>
      </c>
      <c r="S11" s="252">
        <v>97223.499719999993</v>
      </c>
      <c r="T11" s="252">
        <v>89957</v>
      </c>
      <c r="U11" s="252">
        <v>84728.682927619986</v>
      </c>
      <c r="V11" s="252">
        <v>111387.30948870655</v>
      </c>
      <c r="W11" s="253"/>
      <c r="X11" s="263">
        <f t="shared" si="2"/>
        <v>0.31463520545763557</v>
      </c>
      <c r="Y11" s="263">
        <f t="shared" si="3"/>
        <v>-0.15249385220665967</v>
      </c>
    </row>
    <row r="12" spans="1:1013 1026:2040 2053:3067 3080:4094 4107:5108 5121:6135 6148:7162 7175:8189 8202:9216 9229:10230 10243:11257 11270:12284 12297:13311 13324:14325 14338:15352 15365:16379" s="187" customFormat="1" ht="13" customHeight="1">
      <c r="A12" s="276"/>
      <c r="B12" s="351" t="str">
        <f>IF('Summary | Sumário'!D$6=Names!B$3,Names!M26,Names!N26)</f>
        <v>Revenues</v>
      </c>
      <c r="C12" s="352">
        <v>712223.66099999996</v>
      </c>
      <c r="D12" s="352">
        <v>1011378.89518</v>
      </c>
      <c r="E12" s="352">
        <v>2221823.2459999998</v>
      </c>
      <c r="F12" s="352">
        <v>3562697.0819999995</v>
      </c>
      <c r="G12" s="352">
        <v>4752576</v>
      </c>
      <c r="H12" s="352">
        <v>416765.935</v>
      </c>
      <c r="I12" s="352">
        <v>467413.75100000005</v>
      </c>
      <c r="J12" s="352">
        <v>606509.88</v>
      </c>
      <c r="K12" s="352">
        <v>731132.67999999993</v>
      </c>
      <c r="L12" s="352">
        <v>833520.63199999998</v>
      </c>
      <c r="M12" s="352">
        <v>877020.6370000001</v>
      </c>
      <c r="N12" s="352">
        <v>850303.73100000003</v>
      </c>
      <c r="O12" s="352">
        <v>1001852.0819999999</v>
      </c>
      <c r="P12" s="352">
        <v>1024113.822</v>
      </c>
      <c r="Q12" s="352">
        <v>1150034</v>
      </c>
      <c r="R12" s="352">
        <v>1265495.5890200001</v>
      </c>
      <c r="S12" s="352">
        <v>1312934.1839799997</v>
      </c>
      <c r="T12" s="352">
        <v>1400940.504551532</v>
      </c>
      <c r="U12" s="352">
        <v>1478596.27892762</v>
      </c>
      <c r="V12" s="352">
        <v>1676138.5664887065</v>
      </c>
      <c r="W12" s="265"/>
      <c r="X12" s="435">
        <f t="shared" si="2"/>
        <v>0.13360123407341296</v>
      </c>
      <c r="Y12" s="435">
        <f t="shared" si="3"/>
        <v>0.32449182836481349</v>
      </c>
    </row>
    <row r="13" spans="1:1013 1026:2040 2053:3067 3080:4094 4107:5108 5121:6135 6148:7162 7175:8189 8202:9216 9229:10230 10243:11257 11270:12284 12297:13311 13324:14325 14338:15352 15365:16379" s="187" customFormat="1" ht="13" customHeight="1">
      <c r="A13" s="276"/>
      <c r="B13" s="54"/>
      <c r="C13" s="277"/>
      <c r="D13" s="277"/>
      <c r="E13" s="277"/>
      <c r="F13" s="277"/>
      <c r="G13" s="277"/>
      <c r="H13" s="277"/>
      <c r="I13" s="277"/>
      <c r="J13" s="277"/>
      <c r="K13" s="277"/>
      <c r="L13" s="277"/>
      <c r="M13" s="277"/>
      <c r="N13" s="277"/>
      <c r="O13" s="277"/>
      <c r="P13" s="277"/>
      <c r="Q13" s="277"/>
      <c r="R13" s="277"/>
      <c r="S13" s="277"/>
      <c r="T13" s="277"/>
      <c r="U13" s="277"/>
      <c r="V13" s="277"/>
      <c r="W13" s="265"/>
      <c r="X13" s="426"/>
      <c r="Y13" s="426"/>
    </row>
    <row r="14" spans="1:1013 1026:2040 2053:3067 3080:4094 4107:5108 5121:6135 6148:7162 7175:8189 8202:9216 9229:10230 10243:11257 11270:12284 12297:13311 13324:14325 14338:15352 15365:16379" ht="13" customHeight="1">
      <c r="A14" s="249"/>
      <c r="B14" s="16" t="str">
        <f>IF('Summary | Sumário'!D$6=Names!B$3,Names!M13,Names!N13)</f>
        <v>Impairment losses on financial assets</v>
      </c>
      <c r="C14" s="174">
        <v>-138570</v>
      </c>
      <c r="D14" s="174">
        <v>-213688</v>
      </c>
      <c r="E14" s="174">
        <v>-595581</v>
      </c>
      <c r="F14" s="174">
        <v>-1083237</v>
      </c>
      <c r="G14" s="174">
        <v>-1541584</v>
      </c>
      <c r="H14" s="174">
        <v>-106669</v>
      </c>
      <c r="I14" s="174">
        <v>-167441</v>
      </c>
      <c r="J14" s="174">
        <v>-138005</v>
      </c>
      <c r="K14" s="174">
        <v>-183466</v>
      </c>
      <c r="L14" s="174">
        <v>-312946</v>
      </c>
      <c r="M14" s="174">
        <v>-242464</v>
      </c>
      <c r="N14" s="174">
        <v>-263113</v>
      </c>
      <c r="O14" s="174">
        <v>-264714</v>
      </c>
      <c r="P14" s="174">
        <v>-350681</v>
      </c>
      <c r="Q14" s="174">
        <v>-398560</v>
      </c>
      <c r="R14" s="174">
        <v>-407899</v>
      </c>
      <c r="S14" s="174">
        <v>-384444</v>
      </c>
      <c r="T14" s="174">
        <v>-411048</v>
      </c>
      <c r="U14" s="174">
        <v>-421247.66100000002</v>
      </c>
      <c r="V14" s="174">
        <v>-471427.65</v>
      </c>
      <c r="W14" s="174"/>
      <c r="X14" s="421">
        <f t="shared" ref="X14:X15" si="4">V14/U14-1</f>
        <v>0.11912229703751409</v>
      </c>
      <c r="Y14" s="421">
        <f t="shared" ref="Y14:Y15" si="5">V14/R14-1</f>
        <v>0.15574603026729661</v>
      </c>
    </row>
    <row r="15" spans="1:1013 1026:2040 2053:3067 3080:4094 4107:5108 5121:6135 6148:7162 7175:8189 8202:9216 9229:10230 10243:11257 11270:12284 12297:13311 13324:14325 14338:15352 15365:16379" s="187" customFormat="1" ht="13" customHeight="1">
      <c r="A15" s="276"/>
      <c r="B15" s="353" t="str">
        <f>IF('Summary | Sumário'!D$6=Names!B$3,Names!M25,Names!N25)</f>
        <v>Net result of losses</v>
      </c>
      <c r="C15" s="350">
        <v>573653.66099999996</v>
      </c>
      <c r="D15" s="350">
        <v>797690.89517999999</v>
      </c>
      <c r="E15" s="350">
        <v>1626242.2459999998</v>
      </c>
      <c r="F15" s="350">
        <v>2479460.0819999995</v>
      </c>
      <c r="G15" s="350">
        <v>3210992</v>
      </c>
      <c r="H15" s="350">
        <v>310096.935</v>
      </c>
      <c r="I15" s="350">
        <v>299972.75100000005</v>
      </c>
      <c r="J15" s="350">
        <v>468504.88</v>
      </c>
      <c r="K15" s="350">
        <v>547666.67999999993</v>
      </c>
      <c r="L15" s="350">
        <v>520574.63199999998</v>
      </c>
      <c r="M15" s="350">
        <v>634556.6370000001</v>
      </c>
      <c r="N15" s="350">
        <v>587190.73100000003</v>
      </c>
      <c r="O15" s="350">
        <v>737138.08199999994</v>
      </c>
      <c r="P15" s="350">
        <v>673432.82200000004</v>
      </c>
      <c r="Q15" s="350">
        <v>751474</v>
      </c>
      <c r="R15" s="350">
        <v>857596.58902000007</v>
      </c>
      <c r="S15" s="350">
        <v>928490.18397999974</v>
      </c>
      <c r="T15" s="350">
        <v>989892.50455153198</v>
      </c>
      <c r="U15" s="350">
        <v>1057348.61792762</v>
      </c>
      <c r="V15" s="350">
        <v>1204710.9164887066</v>
      </c>
      <c r="W15" s="265"/>
      <c r="X15" s="411">
        <f t="shared" si="4"/>
        <v>0.13936964219985781</v>
      </c>
      <c r="Y15" s="411">
        <f t="shared" si="5"/>
        <v>0.40475245810546423</v>
      </c>
      <c r="AA15" s="251"/>
    </row>
    <row r="16" spans="1:1013 1026:2040 2053:3067 3080:4094 4107:5108 5121:6135 6148:7162 7175:8189 8202:9216 9229:10230 10243:11257 11270:12284 12297:13311 13324:14325 14338:15352 15365:16379" ht="13" customHeight="1">
      <c r="C16" s="136"/>
      <c r="D16" s="136"/>
      <c r="E16" s="136"/>
      <c r="F16" s="136"/>
      <c r="G16" s="136"/>
      <c r="H16" s="136"/>
      <c r="I16" s="136"/>
      <c r="J16" s="136"/>
      <c r="K16" s="136"/>
      <c r="L16" s="136"/>
      <c r="M16" s="136"/>
      <c r="N16" s="136"/>
      <c r="O16" s="136"/>
      <c r="P16" s="136"/>
      <c r="Q16" s="136"/>
      <c r="R16" s="136"/>
      <c r="S16" s="136"/>
      <c r="T16" s="136"/>
      <c r="U16" s="136"/>
      <c r="V16" s="136"/>
      <c r="W16" s="136"/>
      <c r="X16" s="248"/>
      <c r="Y16" s="248"/>
    </row>
    <row r="17" spans="1:25" ht="13" customHeight="1">
      <c r="A17" s="249"/>
      <c r="B17" s="22" t="str">
        <f>IF('Summary | Sumário'!D$6=Names!B$3,Names!M12,Names!N12)</f>
        <v>Other income</v>
      </c>
      <c r="C17" s="278">
        <v>0</v>
      </c>
      <c r="D17" s="278">
        <v>109216</v>
      </c>
      <c r="E17" s="278">
        <v>0</v>
      </c>
      <c r="F17" s="278">
        <v>0</v>
      </c>
      <c r="G17" s="278">
        <v>0</v>
      </c>
      <c r="H17" s="278">
        <v>0</v>
      </c>
      <c r="I17" s="278">
        <v>0</v>
      </c>
      <c r="J17" s="278">
        <v>0</v>
      </c>
      <c r="K17" s="278">
        <v>0</v>
      </c>
      <c r="L17" s="278">
        <v>0</v>
      </c>
      <c r="M17" s="278">
        <v>0</v>
      </c>
      <c r="N17" s="278">
        <v>0</v>
      </c>
      <c r="O17" s="278">
        <v>0</v>
      </c>
      <c r="P17" s="278" t="s">
        <v>911</v>
      </c>
      <c r="Q17" s="278">
        <v>0</v>
      </c>
      <c r="R17" s="278">
        <v>0</v>
      </c>
      <c r="S17" s="278">
        <v>0</v>
      </c>
      <c r="T17" s="278">
        <v>0</v>
      </c>
      <c r="U17" s="278">
        <v>0</v>
      </c>
      <c r="V17" s="278">
        <v>0</v>
      </c>
      <c r="W17" s="174"/>
      <c r="X17" s="436"/>
      <c r="Y17" s="436"/>
    </row>
    <row r="18" spans="1:25" ht="13" customHeight="1">
      <c r="A18" s="249"/>
      <c r="B18" s="16" t="str">
        <f>IF('Summary | Sumário'!D$6=Names!B$3,Names!M14,Names!N14)</f>
        <v>Personnel expenses</v>
      </c>
      <c r="C18" s="174">
        <v>-169198</v>
      </c>
      <c r="D18" s="174">
        <v>-229096</v>
      </c>
      <c r="E18" s="174">
        <v>-443328</v>
      </c>
      <c r="F18" s="174">
        <v>-733605</v>
      </c>
      <c r="G18" s="174">
        <v>-790739</v>
      </c>
      <c r="H18" s="174">
        <v>-81861</v>
      </c>
      <c r="I18" s="174">
        <v>-93046</v>
      </c>
      <c r="J18" s="174">
        <v>-121250</v>
      </c>
      <c r="K18" s="174">
        <v>-147171</v>
      </c>
      <c r="L18" s="174">
        <v>-145120</v>
      </c>
      <c r="M18" s="174">
        <v>-172466</v>
      </c>
      <c r="N18" s="174">
        <v>-176232</v>
      </c>
      <c r="O18" s="174">
        <v>-239787</v>
      </c>
      <c r="P18" s="174">
        <v>-172412</v>
      </c>
      <c r="Q18" s="174">
        <v>-186249</v>
      </c>
      <c r="R18" s="174">
        <v>-210661</v>
      </c>
      <c r="S18" s="174">
        <v>-221417</v>
      </c>
      <c r="T18" s="174">
        <v>-190463</v>
      </c>
      <c r="U18" s="174">
        <v>-204206.56551999997</v>
      </c>
      <c r="V18" s="174">
        <v>-258955.60448000001</v>
      </c>
      <c r="W18" s="174"/>
      <c r="X18" s="421">
        <f t="shared" ref="X18:X23" si="6">V18/U18-1</f>
        <v>0.2681061640725646</v>
      </c>
      <c r="Y18" s="421">
        <f t="shared" ref="Y18:Y23" si="7">V18/R18-1</f>
        <v>0.22925270686078592</v>
      </c>
    </row>
    <row r="19" spans="1:25" ht="13" customHeight="1">
      <c r="A19" s="249"/>
      <c r="B19" s="22" t="str">
        <f>IF('Summary | Sumário'!D$6=Names!B$3,Names!M15,Names!N15)</f>
        <v>Depreciation and amortization</v>
      </c>
      <c r="C19" s="278">
        <v>-17463</v>
      </c>
      <c r="D19" s="278">
        <v>-43659</v>
      </c>
      <c r="E19" s="278">
        <v>-94250.52</v>
      </c>
      <c r="F19" s="278">
        <v>-163972</v>
      </c>
      <c r="G19" s="278">
        <v>-160440</v>
      </c>
      <c r="H19" s="278">
        <v>-19166</v>
      </c>
      <c r="I19" s="278">
        <v>-25338</v>
      </c>
      <c r="J19" s="278">
        <v>-30883</v>
      </c>
      <c r="K19" s="278">
        <v>-18863.520000000004</v>
      </c>
      <c r="L19" s="278">
        <v>-36478</v>
      </c>
      <c r="M19" s="278">
        <v>-35511</v>
      </c>
      <c r="N19" s="278">
        <v>-35620</v>
      </c>
      <c r="O19" s="278">
        <v>-56363</v>
      </c>
      <c r="P19" s="278">
        <v>-37577</v>
      </c>
      <c r="Q19" s="278">
        <v>-41130</v>
      </c>
      <c r="R19" s="278">
        <v>-40591</v>
      </c>
      <c r="S19" s="278">
        <v>-41142</v>
      </c>
      <c r="T19" s="278">
        <v>-41900</v>
      </c>
      <c r="U19" s="278">
        <v>-53034.879000000001</v>
      </c>
      <c r="V19" s="278">
        <v>-53349.046999999999</v>
      </c>
      <c r="W19" s="174"/>
      <c r="X19" s="436">
        <f t="shared" si="6"/>
        <v>5.9237996941596816E-3</v>
      </c>
      <c r="Y19" s="436">
        <f t="shared" si="7"/>
        <v>0.31430728486610326</v>
      </c>
    </row>
    <row r="20" spans="1:25" ht="13" customHeight="1">
      <c r="A20" s="249"/>
      <c r="B20" s="16" t="str">
        <f>IF('Summary | Sumário'!D$6=Names!B$3,Names!M16,Names!N16)</f>
        <v>Tax expenses</v>
      </c>
      <c r="C20" s="253">
        <v>0</v>
      </c>
      <c r="D20" s="253">
        <v>0</v>
      </c>
      <c r="E20" s="253">
        <v>-146721.22500000001</v>
      </c>
      <c r="F20" s="253">
        <v>-248588</v>
      </c>
      <c r="G20" s="253">
        <v>-326584</v>
      </c>
      <c r="H20" s="253">
        <v>-27534.687000000002</v>
      </c>
      <c r="I20" s="253">
        <v>-30373</v>
      </c>
      <c r="J20" s="253">
        <v>-40645.811999999998</v>
      </c>
      <c r="K20" s="253">
        <v>-48167.726000000002</v>
      </c>
      <c r="L20" s="253">
        <v>-56693</v>
      </c>
      <c r="M20" s="253">
        <v>-61600</v>
      </c>
      <c r="N20" s="253">
        <v>-61544</v>
      </c>
      <c r="O20" s="253">
        <v>-68751</v>
      </c>
      <c r="P20" s="253">
        <v>-68871</v>
      </c>
      <c r="Q20" s="253">
        <v>-72463</v>
      </c>
      <c r="R20" s="253">
        <v>-94072</v>
      </c>
      <c r="S20" s="253">
        <v>-91178</v>
      </c>
      <c r="T20" s="253">
        <v>-86331</v>
      </c>
      <c r="U20" s="253">
        <v>-99417.270999999993</v>
      </c>
      <c r="V20" s="253">
        <v>-123633.909</v>
      </c>
      <c r="W20" s="253"/>
      <c r="X20" s="260">
        <f t="shared" si="6"/>
        <v>0.24358582524358385</v>
      </c>
      <c r="Y20" s="260">
        <f t="shared" si="7"/>
        <v>0.31424769325622925</v>
      </c>
    </row>
    <row r="21" spans="1:25" ht="13" customHeight="1">
      <c r="A21" s="249"/>
      <c r="B21" s="22" t="str">
        <f>IF('Summary | Sumário'!D$6=Names!B$3,Names!M17,Names!N17)</f>
        <v>Administrative expenses</v>
      </c>
      <c r="C21" s="252">
        <v>-386309</v>
      </c>
      <c r="D21" s="252">
        <v>-641327</v>
      </c>
      <c r="E21" s="252">
        <v>-1164239.7749999999</v>
      </c>
      <c r="F21" s="252">
        <v>-1494484</v>
      </c>
      <c r="G21" s="252">
        <v>-1461348</v>
      </c>
      <c r="H21" s="252">
        <v>-219095.31299999999</v>
      </c>
      <c r="I21" s="252">
        <v>-272761</v>
      </c>
      <c r="J21" s="252">
        <v>-235355.18799999999</v>
      </c>
      <c r="K21" s="252">
        <v>-437028.27399999998</v>
      </c>
      <c r="L21" s="252">
        <v>-376806</v>
      </c>
      <c r="M21" s="252">
        <v>-348618</v>
      </c>
      <c r="N21" s="252">
        <v>-379946</v>
      </c>
      <c r="O21" s="252">
        <v>-389114</v>
      </c>
      <c r="P21" s="252">
        <v>-385615</v>
      </c>
      <c r="Q21" s="252">
        <v>-347868</v>
      </c>
      <c r="R21" s="252">
        <v>-362877</v>
      </c>
      <c r="S21" s="252">
        <v>-364988</v>
      </c>
      <c r="T21" s="252">
        <v>-395244</v>
      </c>
      <c r="U21" s="252">
        <v>-402827.25400000002</v>
      </c>
      <c r="V21" s="252">
        <v>-474826.42099999997</v>
      </c>
      <c r="W21" s="253"/>
      <c r="X21" s="263">
        <f t="shared" si="6"/>
        <v>0.17873459723755425</v>
      </c>
      <c r="Y21" s="263">
        <f t="shared" si="7"/>
        <v>0.30850514361615633</v>
      </c>
    </row>
    <row r="22" spans="1:25" ht="13" customHeight="1">
      <c r="A22" s="249"/>
      <c r="B22" s="53" t="str">
        <f>IF('Summary | Sumário'!D$6=Names!B$3,Names!M19,Names!N19)</f>
        <v>Income from equity interests in affiliates</v>
      </c>
      <c r="C22" s="253">
        <v>0</v>
      </c>
      <c r="D22" s="253">
        <v>0</v>
      </c>
      <c r="E22" s="253">
        <v>-8764</v>
      </c>
      <c r="F22" s="253">
        <v>-17384</v>
      </c>
      <c r="G22" s="253">
        <v>-32040</v>
      </c>
      <c r="H22" s="253">
        <v>0</v>
      </c>
      <c r="I22" s="253">
        <v>3893</v>
      </c>
      <c r="J22" s="253">
        <v>-5454</v>
      </c>
      <c r="K22" s="253">
        <v>-7203</v>
      </c>
      <c r="L22" s="253">
        <v>-5572</v>
      </c>
      <c r="M22" s="253">
        <v>-4490</v>
      </c>
      <c r="N22" s="253">
        <v>-3892</v>
      </c>
      <c r="O22" s="253">
        <v>-3430</v>
      </c>
      <c r="P22" s="253">
        <v>-3061</v>
      </c>
      <c r="Q22" s="253">
        <v>-23465</v>
      </c>
      <c r="R22" s="253">
        <v>-4070.8986899999982</v>
      </c>
      <c r="S22" s="253">
        <v>-1443.1013100000018</v>
      </c>
      <c r="T22" s="253">
        <v>-2223</v>
      </c>
      <c r="U22" s="253">
        <v>-257.02199999999999</v>
      </c>
      <c r="V22" s="253">
        <v>0</v>
      </c>
      <c r="W22" s="253"/>
      <c r="X22" s="260">
        <f t="shared" si="6"/>
        <v>-1</v>
      </c>
      <c r="Y22" s="260">
        <f t="shared" si="7"/>
        <v>-1</v>
      </c>
    </row>
    <row r="23" spans="1:25" ht="13" customHeight="1">
      <c r="A23" s="249"/>
      <c r="B23" s="354" t="str">
        <f>IF('Summary | Sumário'!D$6=Names!B$3,Names!M20,Names!N20)</f>
        <v>Profit / (loss) before income tax</v>
      </c>
      <c r="C23" s="350">
        <v>683.66099999996368</v>
      </c>
      <c r="D23" s="350">
        <v>-7175.1048200000077</v>
      </c>
      <c r="E23" s="350">
        <v>-231061.27400000021</v>
      </c>
      <c r="F23" s="350">
        <v>-178572.91800000053</v>
      </c>
      <c r="G23" s="350">
        <v>439841</v>
      </c>
      <c r="H23" s="350">
        <v>-37560.065000000002</v>
      </c>
      <c r="I23" s="350">
        <v>-117652.24899999995</v>
      </c>
      <c r="J23" s="350">
        <v>34916.880000000005</v>
      </c>
      <c r="K23" s="350">
        <v>-110766.84000000008</v>
      </c>
      <c r="L23" s="350">
        <v>-100094.36800000002</v>
      </c>
      <c r="M23" s="350">
        <v>11871.637000000104</v>
      </c>
      <c r="N23" s="350">
        <v>-70043.268999999971</v>
      </c>
      <c r="O23" s="350">
        <v>-20306.918000000063</v>
      </c>
      <c r="P23" s="350">
        <v>5896.8220000000438</v>
      </c>
      <c r="Q23" s="350">
        <v>80299</v>
      </c>
      <c r="R23" s="350">
        <v>145354</v>
      </c>
      <c r="S23" s="350">
        <v>208291.17799999996</v>
      </c>
      <c r="T23" s="350">
        <v>273732</v>
      </c>
      <c r="U23" s="350">
        <v>297605.62640762003</v>
      </c>
      <c r="V23" s="350">
        <v>293945.93500870664</v>
      </c>
      <c r="W23" s="265"/>
      <c r="X23" s="411">
        <f t="shared" si="6"/>
        <v>-1.2297117642194211E-2</v>
      </c>
      <c r="Y23" s="411">
        <f t="shared" si="7"/>
        <v>1.0222762016092206</v>
      </c>
    </row>
    <row r="24" spans="1:25" ht="13" customHeight="1">
      <c r="A24" s="249"/>
      <c r="X24" s="268"/>
      <c r="Y24" s="268"/>
    </row>
    <row r="25" spans="1:25" ht="13" customHeight="1">
      <c r="A25" s="249"/>
      <c r="B25" s="55" t="str">
        <f>IF('Summary | Sumário'!D$6=Names!B$3,Names!M27,Names!N27)</f>
        <v>Income tax and social contribution</v>
      </c>
      <c r="C25" s="275">
        <v>29686</v>
      </c>
      <c r="D25" s="275">
        <v>37709</v>
      </c>
      <c r="E25" s="275">
        <v>175993</v>
      </c>
      <c r="F25" s="275">
        <v>164494</v>
      </c>
      <c r="G25" s="275">
        <v>-87581</v>
      </c>
      <c r="H25" s="275">
        <v>34867</v>
      </c>
      <c r="I25" s="275">
        <v>87154</v>
      </c>
      <c r="J25" s="275">
        <v>-568.73549999999886</v>
      </c>
      <c r="K25" s="275">
        <v>54540.735499999995</v>
      </c>
      <c r="L25" s="275">
        <v>71272</v>
      </c>
      <c r="M25" s="275">
        <v>3654</v>
      </c>
      <c r="N25" s="275">
        <v>40448</v>
      </c>
      <c r="O25" s="275">
        <v>49120</v>
      </c>
      <c r="P25" s="275">
        <v>18319</v>
      </c>
      <c r="Q25" s="275">
        <v>-16127</v>
      </c>
      <c r="R25" s="275">
        <v>-41194</v>
      </c>
      <c r="S25" s="275">
        <v>-48579</v>
      </c>
      <c r="T25" s="275">
        <v>-78512</v>
      </c>
      <c r="U25" s="275">
        <v>-74943.733999999997</v>
      </c>
      <c r="V25" s="275">
        <v>-33941.832565540404</v>
      </c>
      <c r="W25" s="220"/>
      <c r="X25" s="434">
        <f t="shared" ref="X25:X26" si="8">V25/U25-1</f>
        <v>-0.54710246268833629</v>
      </c>
      <c r="Y25" s="434">
        <f t="shared" ref="Y25:Y26" si="9">V25/R25-1</f>
        <v>-0.17604911964022907</v>
      </c>
    </row>
    <row r="26" spans="1:25" ht="13" customHeight="1">
      <c r="A26" s="249"/>
      <c r="B26" s="355" t="str">
        <f>IF('Summary | Sumário'!D$6=Names!B$3,Names!M24,Names!N24)</f>
        <v>Profit / (loss) for the period</v>
      </c>
      <c r="C26" s="352">
        <v>30369.660999999964</v>
      </c>
      <c r="D26" s="352">
        <v>30533.895179999992</v>
      </c>
      <c r="E26" s="352">
        <v>-55068</v>
      </c>
      <c r="F26" s="352">
        <v>-14078.918000000529</v>
      </c>
      <c r="G26" s="352">
        <v>352260</v>
      </c>
      <c r="H26" s="352">
        <v>-2693.0650000000023</v>
      </c>
      <c r="I26" s="352">
        <v>-30498.248999999953</v>
      </c>
      <c r="J26" s="352">
        <v>34348.144500000009</v>
      </c>
      <c r="K26" s="352">
        <v>-56225.264500000005</v>
      </c>
      <c r="L26" s="352">
        <v>-28822.368000000017</v>
      </c>
      <c r="M26" s="352">
        <v>15525.637000000104</v>
      </c>
      <c r="N26" s="352">
        <v>-29595.268999999971</v>
      </c>
      <c r="O26" s="352">
        <v>28813.081999999355</v>
      </c>
      <c r="P26" s="352">
        <v>24216</v>
      </c>
      <c r="Q26" s="352">
        <v>64172</v>
      </c>
      <c r="R26" s="352">
        <v>104161</v>
      </c>
      <c r="S26" s="352">
        <v>159712.17799999996</v>
      </c>
      <c r="T26" s="352">
        <v>195220</v>
      </c>
      <c r="U26" s="352">
        <v>222661.89240762003</v>
      </c>
      <c r="V26" s="352">
        <v>260004.10244316625</v>
      </c>
      <c r="W26" s="265"/>
      <c r="X26" s="435">
        <f t="shared" si="8"/>
        <v>0.1677081319653253</v>
      </c>
      <c r="Y26" s="435">
        <f t="shared" si="9"/>
        <v>1.4961751753839367</v>
      </c>
    </row>
    <row r="27" spans="1:25" ht="13" customHeight="1">
      <c r="B27" s="8"/>
      <c r="C27" s="663"/>
      <c r="D27" s="663"/>
      <c r="E27" s="663"/>
      <c r="F27" s="663"/>
      <c r="G27" s="663"/>
      <c r="H27" s="663"/>
      <c r="I27" s="663"/>
      <c r="J27" s="663"/>
      <c r="K27" s="663"/>
      <c r="L27" s="663"/>
      <c r="M27" s="663"/>
      <c r="N27" s="663"/>
      <c r="O27" s="663"/>
      <c r="P27" s="663"/>
      <c r="Q27" s="663"/>
      <c r="R27" s="663"/>
      <c r="S27" s="663"/>
      <c r="T27" s="663"/>
      <c r="U27" s="663"/>
      <c r="V27" s="663"/>
      <c r="W27" s="279"/>
      <c r="X27" s="279"/>
      <c r="Y27" s="279"/>
    </row>
    <row r="28" spans="1:25" ht="13" customHeight="1">
      <c r="B28" s="26" t="str">
        <f>IF('Summary | Sumário'!D$6=Names!B$3,Names!M29,Names!N29)</f>
        <v>Profit attributable to:</v>
      </c>
    </row>
    <row r="29" spans="1:25" ht="13" customHeight="1">
      <c r="B29" s="8" t="str">
        <f>IF('Summary | Sumário'!D$6=Names!B$3,Names!M30,Names!N30)</f>
        <v>Owners of the Company</v>
      </c>
      <c r="C29" s="275">
        <v>27683</v>
      </c>
      <c r="D29" s="275">
        <v>17911</v>
      </c>
      <c r="E29" s="275">
        <v>-72664</v>
      </c>
      <c r="F29" s="275">
        <v>-11090</v>
      </c>
      <c r="G29" s="275">
        <v>302343</v>
      </c>
      <c r="H29" s="275">
        <v>-8659</v>
      </c>
      <c r="I29" s="275">
        <v>-12029</v>
      </c>
      <c r="J29" s="275">
        <v>3148.9583099999968</v>
      </c>
      <c r="K29" s="275">
        <v>-55124.958310000002</v>
      </c>
      <c r="L29" s="275">
        <v>3272</v>
      </c>
      <c r="M29" s="275">
        <v>-16590</v>
      </c>
      <c r="N29" s="275">
        <v>-30008</v>
      </c>
      <c r="O29" s="275">
        <v>32236</v>
      </c>
      <c r="P29" s="275">
        <v>11405</v>
      </c>
      <c r="Q29" s="275">
        <v>48746</v>
      </c>
      <c r="R29" s="275">
        <v>91291</v>
      </c>
      <c r="S29" s="275">
        <v>150901</v>
      </c>
      <c r="T29" s="275">
        <v>182793</v>
      </c>
      <c r="U29" s="275">
        <v>206479</v>
      </c>
      <c r="V29" s="275">
        <v>242670.64470535528</v>
      </c>
      <c r="X29" s="434">
        <f t="shared" ref="X29:X30" si="10">V29/U29-1</f>
        <v>0.17528002705047618</v>
      </c>
      <c r="Y29" s="434">
        <f t="shared" ref="Y29:Y30" si="11">V29/R29-1</f>
        <v>1.6582099517515996</v>
      </c>
    </row>
    <row r="30" spans="1:25" ht="13" customHeight="1">
      <c r="B30" s="25" t="str">
        <f>IF('Summary | Sumário'!D$6=Names!B$3,Names!M31,Names!N31)</f>
        <v>Non-controlling shareholders</v>
      </c>
      <c r="C30" s="253">
        <v>2687</v>
      </c>
      <c r="D30" s="253">
        <v>12775</v>
      </c>
      <c r="E30" s="253">
        <v>17597</v>
      </c>
      <c r="F30" s="253">
        <v>-2989</v>
      </c>
      <c r="G30" s="253">
        <v>49917</v>
      </c>
      <c r="H30" s="253">
        <v>5966</v>
      </c>
      <c r="I30" s="253">
        <v>-18469</v>
      </c>
      <c r="J30" s="253">
        <v>31198.785119999917</v>
      </c>
      <c r="K30" s="253">
        <v>-1098.7851199999168</v>
      </c>
      <c r="L30" s="253">
        <v>-32094</v>
      </c>
      <c r="M30" s="253">
        <v>32115</v>
      </c>
      <c r="N30" s="253">
        <v>413</v>
      </c>
      <c r="O30" s="253">
        <v>-3423</v>
      </c>
      <c r="P30" s="253">
        <v>12810</v>
      </c>
      <c r="Q30" s="253">
        <v>15426</v>
      </c>
      <c r="R30" s="253">
        <v>12870</v>
      </c>
      <c r="S30" s="253">
        <v>8811</v>
      </c>
      <c r="T30" s="253">
        <v>12427</v>
      </c>
      <c r="U30" s="253">
        <v>16186</v>
      </c>
      <c r="V30" s="253">
        <v>17336.50672910428</v>
      </c>
      <c r="X30" s="421">
        <f t="shared" si="10"/>
        <v>7.1080361368113243E-2</v>
      </c>
      <c r="Y30" s="421">
        <f t="shared" si="11"/>
        <v>0.34704791989932238</v>
      </c>
    </row>
    <row r="34" spans="28:28" ht="13" customHeight="1">
      <c r="AB34" s="222"/>
    </row>
  </sheetData>
  <sheetProtection algorithmName="SHA-512" hashValue="vJgZeXa9RyKF9fdHKU1i9fFqwnvOchDzjE648pSnPWmSCTdtgpe2Itj9oNQfXIpTSvzXlo3saTS4Zdo0brn1UQ==" saltValue="0KiRccFj6TePFWUU2dAdfg==" spinCount="100000" sheet="1" formatCells="0" formatColumns="0" formatRows="0" insertColumns="0" insertRows="0" insertHyperlinks="0" deleteColumns="0" deleteRows="0" sort="0" autoFilter="0" pivotTables="0"/>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2CD0F-7799-2A4B-B9E4-8C47FBB9B062}">
  <sheetPr codeName="Sheet5">
    <tabColor rgb="FFEB7100"/>
  </sheetPr>
  <dimension ref="A1:AE104"/>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16" width="10.83203125" style="135" customWidth="1"/>
    <col min="17" max="21" width="10.83203125" style="135"/>
    <col min="22" max="22" width="10.83203125" style="135" customWidth="1"/>
    <col min="23" max="23" width="5.83203125" style="135" customWidth="1"/>
    <col min="24" max="16384" width="10.83203125" style="135"/>
  </cols>
  <sheetData>
    <row r="1" spans="1:31" ht="13" customHeight="1">
      <c r="C1" s="136"/>
      <c r="D1" s="136"/>
      <c r="E1" s="136"/>
      <c r="F1" s="136"/>
      <c r="G1" s="136"/>
      <c r="H1" s="136"/>
      <c r="I1" s="136"/>
      <c r="J1" s="136"/>
      <c r="K1" s="136"/>
      <c r="L1" s="136"/>
      <c r="M1" s="136"/>
      <c r="N1" s="136"/>
      <c r="O1" s="136"/>
      <c r="P1" s="136"/>
      <c r="Q1" s="136"/>
      <c r="R1" s="136"/>
      <c r="S1" s="136"/>
      <c r="T1" s="136"/>
      <c r="U1" s="136"/>
      <c r="V1" s="136"/>
      <c r="W1" s="136"/>
      <c r="X1" s="136"/>
      <c r="Y1" s="136"/>
    </row>
    <row r="2" spans="1:31" s="10" customFormat="1" ht="13" customHeight="1">
      <c r="B2" s="319" t="str">
        <f>IF('Summary | Sumário'!D$6=Names!B$3,Names!O1,Names!P1)</f>
        <v>Credit (IFRS, R$ Thousands)</v>
      </c>
      <c r="C2" s="133">
        <f>IF('Summary | Sumário'!D6=Names!B3,Names!C2,Names!D2)</f>
        <v>2019</v>
      </c>
      <c r="D2" s="133">
        <f>IF('Summary | Sumário'!D6=Names!B3,Names!C3,Names!D3)</f>
        <v>2020</v>
      </c>
      <c r="E2" s="133">
        <f>IF('Summary | Sumário'!D6=Names!B3,Names!C4,Names!D4)</f>
        <v>2021</v>
      </c>
      <c r="F2" s="133">
        <f>IF('Summary | Sumário'!D6=Names!B3,Names!C5,Names!D5)</f>
        <v>2022</v>
      </c>
      <c r="G2" s="347">
        <f>IF('Summary | Sumário'!D6=Names!B3,Names!C18,Names!D18)</f>
        <v>2023</v>
      </c>
      <c r="H2" s="20" t="str">
        <f>IF('Summary | Sumário'!D6=Names!B3,Names!C6,Names!D6)</f>
        <v>1Q21</v>
      </c>
      <c r="I2" s="20" t="str">
        <f>IF('Summary | Sumário'!D6=Names!B3,Names!C7,Names!D7)</f>
        <v>2Q21</v>
      </c>
      <c r="J2" s="20"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60"/>
      <c r="AA2" s="60"/>
      <c r="AB2" s="11"/>
      <c r="AD2" s="12"/>
      <c r="AE2" s="13"/>
    </row>
    <row r="3" spans="1:31" ht="13" customHeight="1">
      <c r="B3" s="14"/>
      <c r="C3" s="146"/>
      <c r="D3" s="146"/>
      <c r="E3" s="146"/>
      <c r="F3" s="146"/>
      <c r="G3" s="320"/>
      <c r="H3" s="147"/>
      <c r="I3" s="147"/>
      <c r="J3" s="147"/>
      <c r="K3" s="147"/>
      <c r="L3" s="147"/>
      <c r="M3" s="147"/>
      <c r="N3" s="147"/>
      <c r="O3" s="147"/>
      <c r="P3" s="147"/>
      <c r="Q3" s="147"/>
      <c r="R3" s="147"/>
      <c r="S3" s="147"/>
      <c r="T3" s="147"/>
      <c r="U3" s="147"/>
      <c r="V3" s="139"/>
      <c r="W3" s="140"/>
      <c r="X3" s="140"/>
      <c r="Y3" s="140"/>
    </row>
    <row r="4" spans="1:31" s="168" customFormat="1" ht="13" customHeight="1">
      <c r="A4" s="166"/>
      <c r="B4" s="3" t="str">
        <f>IF('Summary | Sumário'!D$6=Names!B$3,Names!O2,Names!P2)</f>
        <v>Loan portfolio</v>
      </c>
      <c r="C4" s="215"/>
      <c r="D4" s="215"/>
      <c r="E4" s="215"/>
      <c r="F4" s="215"/>
      <c r="G4" s="215"/>
      <c r="H4" s="215"/>
      <c r="I4" s="215"/>
      <c r="J4" s="215"/>
      <c r="K4" s="215"/>
      <c r="L4" s="215"/>
      <c r="M4" s="215"/>
      <c r="N4" s="215"/>
      <c r="O4" s="215"/>
      <c r="P4" s="215"/>
      <c r="Q4" s="215"/>
      <c r="R4" s="215"/>
      <c r="S4" s="215"/>
      <c r="T4" s="215"/>
      <c r="U4" s="215"/>
      <c r="V4" s="215"/>
      <c r="W4" s="215"/>
      <c r="X4" s="214"/>
      <c r="Y4" s="214"/>
    </row>
    <row r="5" spans="1:31" ht="13" customHeight="1">
      <c r="A5" s="249"/>
      <c r="B5" s="356" t="str">
        <f>IF('Summary | Sumário'!D$6=Names!B$3,Names!O3,Names!P3)</f>
        <v>Gross loans and advances to customers</v>
      </c>
      <c r="C5" s="357">
        <f>SUM(C6:C10)</f>
        <v>4777387</v>
      </c>
      <c r="D5" s="357">
        <f t="shared" ref="D5:P5" si="0">SUM(D6:D10)</f>
        <v>8790058</v>
      </c>
      <c r="E5" s="357">
        <f>K5</f>
        <v>17216362</v>
      </c>
      <c r="F5" s="357">
        <f>O5</f>
        <v>22698328</v>
      </c>
      <c r="G5" s="357">
        <f>S5</f>
        <v>29784301</v>
      </c>
      <c r="H5" s="357">
        <f t="shared" si="0"/>
        <v>10242909.3443</v>
      </c>
      <c r="I5" s="357">
        <f t="shared" si="0"/>
        <v>12527246</v>
      </c>
      <c r="J5" s="357">
        <f t="shared" si="0"/>
        <v>14860083</v>
      </c>
      <c r="K5" s="357">
        <f t="shared" si="0"/>
        <v>17216362</v>
      </c>
      <c r="L5" s="357">
        <f t="shared" si="0"/>
        <v>18176304</v>
      </c>
      <c r="M5" s="357">
        <f t="shared" si="0"/>
        <v>19484646.399999999</v>
      </c>
      <c r="N5" s="357">
        <f t="shared" si="0"/>
        <v>21005268</v>
      </c>
      <c r="O5" s="357">
        <f t="shared" si="0"/>
        <v>22698328</v>
      </c>
      <c r="P5" s="357">
        <f t="shared" si="0"/>
        <v>23832874</v>
      </c>
      <c r="Q5" s="357">
        <f t="shared" ref="Q5:R5" si="1">SUM(Q6:Q10)</f>
        <v>25141383</v>
      </c>
      <c r="R5" s="357">
        <f t="shared" si="1"/>
        <v>27043601</v>
      </c>
      <c r="S5" s="357">
        <f t="shared" ref="S5:T5" si="2">SUM(S6:S10)</f>
        <v>29784301</v>
      </c>
      <c r="T5" s="357">
        <f t="shared" si="2"/>
        <v>30858626.881090201</v>
      </c>
      <c r="U5" s="357">
        <f t="shared" ref="U5:V5" si="3">SUM(U6:U10)</f>
        <v>32971552</v>
      </c>
      <c r="V5" s="357">
        <f t="shared" si="3"/>
        <v>33705888</v>
      </c>
      <c r="W5" s="211"/>
      <c r="X5" s="439">
        <f>V5/U5-1</f>
        <v>2.2271805706931769E-2</v>
      </c>
      <c r="Y5" s="439">
        <f>V5/R5-1</f>
        <v>0.24635354589057878</v>
      </c>
    </row>
    <row r="6" spans="1:31" ht="13" customHeight="1">
      <c r="A6" s="249"/>
      <c r="B6" s="56" t="str">
        <f>IF('Summary | Sumário'!D$6=Names!B$3,Names!O4,Names!P4)</f>
        <v>Real estate</v>
      </c>
      <c r="C6" s="258">
        <v>2519153</v>
      </c>
      <c r="D6" s="258">
        <v>3471356</v>
      </c>
      <c r="E6" s="258">
        <f t="shared" ref="E6:E12" si="4">K6</f>
        <v>5121411</v>
      </c>
      <c r="F6" s="258">
        <f t="shared" ref="F6:F12" si="5">O6</f>
        <v>6251813</v>
      </c>
      <c r="G6" s="258">
        <f t="shared" ref="G6:G12" si="6">S6</f>
        <v>8583568</v>
      </c>
      <c r="H6" s="258">
        <v>3925594.9876600001</v>
      </c>
      <c r="I6" s="258">
        <v>4211173</v>
      </c>
      <c r="J6" s="258">
        <v>4703223</v>
      </c>
      <c r="K6" s="258">
        <v>5121411</v>
      </c>
      <c r="L6" s="258">
        <v>5350879</v>
      </c>
      <c r="M6" s="258">
        <v>5647720</v>
      </c>
      <c r="N6" s="258">
        <v>5930070</v>
      </c>
      <c r="O6" s="258">
        <v>6251813</v>
      </c>
      <c r="P6" s="258">
        <v>6616802</v>
      </c>
      <c r="Q6" s="258">
        <v>7020433</v>
      </c>
      <c r="R6" s="258">
        <v>7527810</v>
      </c>
      <c r="S6" s="258">
        <v>8583568</v>
      </c>
      <c r="T6" s="258">
        <v>9124375.4985301998</v>
      </c>
      <c r="U6" s="258">
        <v>9703768</v>
      </c>
      <c r="V6" s="258">
        <v>10266209</v>
      </c>
      <c r="W6" s="258"/>
      <c r="X6" s="400">
        <f t="shared" ref="X6:X12" si="7">V6/U6-1</f>
        <v>5.7961093051688728E-2</v>
      </c>
      <c r="Y6" s="400">
        <f t="shared" ref="Y6:Y12" si="8">V6/R6-1</f>
        <v>0.36377100378463334</v>
      </c>
      <c r="Z6" s="185"/>
      <c r="AA6" s="185"/>
      <c r="AB6" s="185"/>
    </row>
    <row r="7" spans="1:31" ht="13" customHeight="1">
      <c r="A7" s="249"/>
      <c r="B7" s="61" t="str">
        <f>IF('Summary | Sumário'!D$6=Names!B$3,Names!O5,Names!P5)</f>
        <v>Personal</v>
      </c>
      <c r="C7" s="259">
        <v>1002386</v>
      </c>
      <c r="D7" s="259">
        <v>1653554</v>
      </c>
      <c r="E7" s="259">
        <f t="shared" si="4"/>
        <v>3579283</v>
      </c>
      <c r="F7" s="259">
        <f t="shared" si="5"/>
        <v>5463781</v>
      </c>
      <c r="G7" s="259">
        <f t="shared" si="6"/>
        <v>7138744</v>
      </c>
      <c r="H7" s="259">
        <v>2123654.0038399999</v>
      </c>
      <c r="I7" s="259">
        <v>2620848</v>
      </c>
      <c r="J7" s="259">
        <v>3100640</v>
      </c>
      <c r="K7" s="259">
        <v>3579283</v>
      </c>
      <c r="L7" s="259">
        <v>3936755</v>
      </c>
      <c r="M7" s="259">
        <v>4460508.5</v>
      </c>
      <c r="N7" s="259">
        <v>5057444</v>
      </c>
      <c r="O7" s="259">
        <v>5463781</v>
      </c>
      <c r="P7" s="259">
        <v>6081266</v>
      </c>
      <c r="Q7" s="259">
        <v>6500480</v>
      </c>
      <c r="R7" s="259">
        <v>6663058</v>
      </c>
      <c r="S7" s="259">
        <v>7138744</v>
      </c>
      <c r="T7" s="259">
        <v>7437794.5190500002</v>
      </c>
      <c r="U7" s="259">
        <v>7555457</v>
      </c>
      <c r="V7" s="259">
        <v>8003536</v>
      </c>
      <c r="W7" s="258"/>
      <c r="X7" s="440">
        <f t="shared" si="7"/>
        <v>5.9305347115336637E-2</v>
      </c>
      <c r="Y7" s="440">
        <f t="shared" si="8"/>
        <v>0.20118059905827024</v>
      </c>
      <c r="Z7" s="185"/>
      <c r="AA7" s="185"/>
      <c r="AB7" s="185"/>
    </row>
    <row r="8" spans="1:31" ht="13" customHeight="1">
      <c r="A8" s="249"/>
      <c r="B8" s="56" t="str">
        <f>IF('Summary | Sumário'!D$6=Names!B$3,Names!O6,Names!P6)</f>
        <v>SME</v>
      </c>
      <c r="C8" s="258">
        <v>472304</v>
      </c>
      <c r="D8" s="258">
        <v>1582869</v>
      </c>
      <c r="E8" s="258">
        <f t="shared" si="4"/>
        <v>3017159</v>
      </c>
      <c r="F8" s="258">
        <f t="shared" si="5"/>
        <v>3392500</v>
      </c>
      <c r="G8" s="258">
        <f t="shared" si="6"/>
        <v>3855754</v>
      </c>
      <c r="H8" s="258">
        <v>1572378.9388100002</v>
      </c>
      <c r="I8" s="258">
        <v>2153921</v>
      </c>
      <c r="J8" s="258">
        <v>2703302</v>
      </c>
      <c r="K8" s="258">
        <v>3017159</v>
      </c>
      <c r="L8" s="258">
        <v>2929546</v>
      </c>
      <c r="M8" s="258">
        <v>2905002.5</v>
      </c>
      <c r="N8" s="258">
        <v>2978792</v>
      </c>
      <c r="O8" s="258">
        <v>3392500</v>
      </c>
      <c r="P8" s="258">
        <v>3110840</v>
      </c>
      <c r="Q8" s="258">
        <v>3215316</v>
      </c>
      <c r="R8" s="258">
        <v>3438526</v>
      </c>
      <c r="S8" s="258">
        <v>3855754</v>
      </c>
      <c r="T8" s="258">
        <v>3376688</v>
      </c>
      <c r="U8" s="258">
        <v>4359140</v>
      </c>
      <c r="V8" s="258">
        <v>4149476</v>
      </c>
      <c r="W8" s="258"/>
      <c r="X8" s="400">
        <f t="shared" si="7"/>
        <v>-4.8097560527994077E-2</v>
      </c>
      <c r="Y8" s="400">
        <f t="shared" si="8"/>
        <v>0.20676010592911043</v>
      </c>
      <c r="Z8" s="185"/>
      <c r="AA8" s="185"/>
      <c r="AB8" s="185"/>
    </row>
    <row r="9" spans="1:31" ht="13" customHeight="1">
      <c r="A9" s="249"/>
      <c r="B9" s="61" t="str">
        <f>IF('Summary | Sumário'!D$6=Names!B$3,Names!O7,Names!P7)</f>
        <v>Credit cards</v>
      </c>
      <c r="C9" s="259">
        <v>783544</v>
      </c>
      <c r="D9" s="259">
        <v>1904642</v>
      </c>
      <c r="E9" s="259">
        <f t="shared" si="4"/>
        <v>4798318</v>
      </c>
      <c r="F9" s="259">
        <f t="shared" si="5"/>
        <v>6870565</v>
      </c>
      <c r="G9" s="259">
        <f t="shared" si="6"/>
        <v>9461277</v>
      </c>
      <c r="H9" s="259">
        <v>2404920.48868</v>
      </c>
      <c r="I9" s="259">
        <v>3116734</v>
      </c>
      <c r="J9" s="259">
        <v>3807684</v>
      </c>
      <c r="K9" s="259">
        <v>4798318</v>
      </c>
      <c r="L9" s="259">
        <v>5315930</v>
      </c>
      <c r="M9" s="259">
        <v>5981406.4000000004</v>
      </c>
      <c r="N9" s="259">
        <v>6411572</v>
      </c>
      <c r="O9" s="259">
        <v>6870565</v>
      </c>
      <c r="P9" s="259">
        <v>7273032</v>
      </c>
      <c r="Q9" s="259">
        <v>7681011</v>
      </c>
      <c r="R9" s="259">
        <v>8650139</v>
      </c>
      <c r="S9" s="259">
        <v>9461277</v>
      </c>
      <c r="T9" s="259">
        <v>10111845.135790002</v>
      </c>
      <c r="U9" s="259">
        <v>10508082</v>
      </c>
      <c r="V9" s="259">
        <v>10769815</v>
      </c>
      <c r="W9" s="258"/>
      <c r="X9" s="440">
        <f t="shared" si="7"/>
        <v>2.4907780506471022E-2</v>
      </c>
      <c r="Y9" s="440">
        <f t="shared" si="8"/>
        <v>0.24504531083257741</v>
      </c>
      <c r="Z9" s="186"/>
      <c r="AA9" s="186"/>
      <c r="AB9" s="186"/>
    </row>
    <row r="10" spans="1:31" ht="13" customHeight="1">
      <c r="A10" s="249"/>
      <c r="B10" s="56" t="str">
        <f>IF('Summary | Sumário'!D$6=Names!B$3,Names!O8,Names!P8)</f>
        <v>Agribusiness</v>
      </c>
      <c r="C10" s="258">
        <v>0</v>
      </c>
      <c r="D10" s="258">
        <v>177637</v>
      </c>
      <c r="E10" s="258">
        <f t="shared" si="4"/>
        <v>700191</v>
      </c>
      <c r="F10" s="258">
        <f t="shared" si="5"/>
        <v>719669</v>
      </c>
      <c r="G10" s="258">
        <f t="shared" si="6"/>
        <v>744958</v>
      </c>
      <c r="H10" s="258">
        <v>216360.92530999999</v>
      </c>
      <c r="I10" s="258">
        <v>424570</v>
      </c>
      <c r="J10" s="258">
        <v>545234</v>
      </c>
      <c r="K10" s="258">
        <v>700191</v>
      </c>
      <c r="L10" s="258">
        <v>643194</v>
      </c>
      <c r="M10" s="258">
        <v>490009</v>
      </c>
      <c r="N10" s="258">
        <v>627390</v>
      </c>
      <c r="O10" s="258">
        <v>719669</v>
      </c>
      <c r="P10" s="258">
        <v>750934</v>
      </c>
      <c r="Q10" s="258">
        <v>724143</v>
      </c>
      <c r="R10" s="258">
        <v>764068</v>
      </c>
      <c r="S10" s="258">
        <v>744958</v>
      </c>
      <c r="T10" s="258">
        <v>807923.72772000008</v>
      </c>
      <c r="U10" s="258">
        <v>845105</v>
      </c>
      <c r="V10" s="258">
        <v>516852</v>
      </c>
      <c r="W10" s="258"/>
      <c r="X10" s="400">
        <f t="shared" si="7"/>
        <v>-0.38841682394495358</v>
      </c>
      <c r="Y10" s="400">
        <f t="shared" si="8"/>
        <v>-0.3235523539789652</v>
      </c>
      <c r="Z10" s="185"/>
      <c r="AA10" s="185"/>
      <c r="AB10" s="185"/>
    </row>
    <row r="11" spans="1:31" ht="13" customHeight="1">
      <c r="A11" s="249"/>
      <c r="B11" s="55" t="str">
        <f>IF('Summary | Sumário'!D$6=Names!B$3,Names!O9,Names!P9)</f>
        <v>Prepayment of receivables</v>
      </c>
      <c r="C11" s="259">
        <v>0</v>
      </c>
      <c r="D11" s="259">
        <v>0</v>
      </c>
      <c r="E11" s="259">
        <f t="shared" si="4"/>
        <v>298104</v>
      </c>
      <c r="F11" s="259">
        <f t="shared" si="5"/>
        <v>1845665</v>
      </c>
      <c r="G11" s="259">
        <f t="shared" si="6"/>
        <v>1236536</v>
      </c>
      <c r="H11" s="259">
        <v>85776.282000000007</v>
      </c>
      <c r="I11" s="259">
        <v>71515.061000000002</v>
      </c>
      <c r="J11" s="259">
        <v>97555.932000000001</v>
      </c>
      <c r="K11" s="259">
        <v>298104</v>
      </c>
      <c r="L11" s="259">
        <v>347353.58600000001</v>
      </c>
      <c r="M11" s="259">
        <v>379917.21</v>
      </c>
      <c r="N11" s="259">
        <v>1029786.0000000001</v>
      </c>
      <c r="O11" s="259">
        <v>1845665</v>
      </c>
      <c r="P11" s="259">
        <v>1296424</v>
      </c>
      <c r="Q11" s="259">
        <v>1332977</v>
      </c>
      <c r="R11" s="259">
        <v>1215142</v>
      </c>
      <c r="S11" s="259">
        <v>1236536</v>
      </c>
      <c r="T11" s="259">
        <v>1284996.6508599999</v>
      </c>
      <c r="U11" s="259">
        <v>2702819.41658</v>
      </c>
      <c r="V11" s="259">
        <v>4353998.8030500002</v>
      </c>
      <c r="W11" s="258"/>
      <c r="X11" s="440">
        <f t="shared" si="7"/>
        <v>0.61090999137460411</v>
      </c>
      <c r="Y11" s="440">
        <f t="shared" si="8"/>
        <v>2.5831193416489597</v>
      </c>
      <c r="Z11" s="185"/>
      <c r="AA11" s="185"/>
      <c r="AB11" s="185"/>
    </row>
    <row r="12" spans="1:31" ht="13" customHeight="1">
      <c r="A12" s="249"/>
      <c r="B12" s="355" t="str">
        <f>IF('Summary | Sumário'!D$6=Names!B$3,Names!O10,Names!P10)</f>
        <v>Gross loan portfolio</v>
      </c>
      <c r="C12" s="358">
        <f>C5+C11</f>
        <v>4777387</v>
      </c>
      <c r="D12" s="358">
        <f t="shared" ref="D12:P12" si="9">D5+D11</f>
        <v>8790058</v>
      </c>
      <c r="E12" s="358">
        <f t="shared" si="4"/>
        <v>17514466</v>
      </c>
      <c r="F12" s="358">
        <f t="shared" si="5"/>
        <v>24543993</v>
      </c>
      <c r="G12" s="358">
        <f t="shared" si="6"/>
        <v>31020837</v>
      </c>
      <c r="H12" s="358">
        <f t="shared" si="9"/>
        <v>10328685.6263</v>
      </c>
      <c r="I12" s="358">
        <f t="shared" si="9"/>
        <v>12598761.061000001</v>
      </c>
      <c r="J12" s="358">
        <f t="shared" si="9"/>
        <v>14957638.932</v>
      </c>
      <c r="K12" s="358">
        <f>K5+K11</f>
        <v>17514466</v>
      </c>
      <c r="L12" s="358">
        <f t="shared" si="9"/>
        <v>18523657.585999999</v>
      </c>
      <c r="M12" s="358">
        <f t="shared" si="9"/>
        <v>19864563.609999999</v>
      </c>
      <c r="N12" s="358">
        <f t="shared" si="9"/>
        <v>22035054</v>
      </c>
      <c r="O12" s="358">
        <f t="shared" si="9"/>
        <v>24543993</v>
      </c>
      <c r="P12" s="358">
        <f t="shared" si="9"/>
        <v>25129298</v>
      </c>
      <c r="Q12" s="358">
        <f t="shared" ref="Q12:R12" si="10">Q5+Q11</f>
        <v>26474360</v>
      </c>
      <c r="R12" s="358">
        <f t="shared" si="10"/>
        <v>28258743</v>
      </c>
      <c r="S12" s="358">
        <f t="shared" ref="S12:T12" si="11">S5+S11</f>
        <v>31020837</v>
      </c>
      <c r="T12" s="358">
        <f t="shared" si="11"/>
        <v>32143623.531950202</v>
      </c>
      <c r="U12" s="358">
        <f t="shared" ref="U12:V12" si="12">U5+U11</f>
        <v>35674371.416579999</v>
      </c>
      <c r="V12" s="358">
        <f t="shared" si="12"/>
        <v>38059886.803049996</v>
      </c>
      <c r="W12" s="170"/>
      <c r="X12" s="365">
        <f t="shared" si="7"/>
        <v>6.686916382109831E-2</v>
      </c>
      <c r="Y12" s="365">
        <f t="shared" si="8"/>
        <v>0.34683580239397038</v>
      </c>
      <c r="AB12" s="185"/>
    </row>
    <row r="13" spans="1:31" ht="13" customHeight="1">
      <c r="A13" s="249"/>
      <c r="B13" s="53"/>
      <c r="C13" s="258"/>
      <c r="D13" s="258"/>
      <c r="E13" s="258"/>
      <c r="F13" s="258"/>
      <c r="G13" s="258"/>
      <c r="H13" s="258"/>
      <c r="I13" s="258"/>
      <c r="J13" s="258"/>
      <c r="K13" s="258"/>
      <c r="L13" s="258"/>
      <c r="M13" s="258"/>
      <c r="N13" s="258"/>
      <c r="O13" s="258"/>
      <c r="P13" s="258"/>
      <c r="Q13" s="258"/>
      <c r="R13" s="258"/>
      <c r="S13" s="258"/>
      <c r="T13" s="258"/>
      <c r="U13" s="258"/>
      <c r="V13" s="258"/>
      <c r="W13" s="258"/>
      <c r="X13" s="400"/>
      <c r="Y13" s="400"/>
    </row>
    <row r="14" spans="1:31" ht="13" customHeight="1">
      <c r="A14" s="249"/>
      <c r="B14" s="24" t="str">
        <f>IF('Summary | Sumário'!D$6=Names!B$3,Names!O11,Names!P11)</f>
        <v>Net loans and advances to customers</v>
      </c>
      <c r="C14" s="314"/>
      <c r="D14" s="314"/>
      <c r="E14" s="314"/>
      <c r="F14" s="314"/>
      <c r="G14" s="314"/>
      <c r="H14" s="314"/>
      <c r="I14" s="314"/>
      <c r="J14" s="314"/>
      <c r="K14" s="314"/>
      <c r="L14" s="314"/>
      <c r="M14" s="314"/>
      <c r="N14" s="314"/>
      <c r="O14" s="314"/>
      <c r="P14" s="314"/>
      <c r="Q14" s="314"/>
      <c r="R14" s="314"/>
      <c r="S14" s="314"/>
      <c r="T14" s="314"/>
      <c r="U14" s="314"/>
      <c r="V14" s="314"/>
      <c r="W14" s="215"/>
      <c r="X14" s="404"/>
      <c r="Y14" s="404"/>
    </row>
    <row r="15" spans="1:31" ht="13" customHeight="1">
      <c r="A15" s="249"/>
      <c r="B15" s="359" t="str">
        <f>IF('Summary | Sumário'!D$6=Names!B$3,Names!O12,Names!P12)</f>
        <v>Gross loans and advances to customers</v>
      </c>
      <c r="C15" s="360">
        <f>C5</f>
        <v>4777387</v>
      </c>
      <c r="D15" s="360">
        <f t="shared" ref="D15:P15" si="13">D5</f>
        <v>8790058</v>
      </c>
      <c r="E15" s="360">
        <f t="shared" ref="E15:E17" si="14">K15</f>
        <v>17216362</v>
      </c>
      <c r="F15" s="360">
        <f t="shared" ref="F15:F17" si="15">O15</f>
        <v>22698328</v>
      </c>
      <c r="G15" s="360">
        <f t="shared" ref="G15:G17" si="16">S15</f>
        <v>29784301</v>
      </c>
      <c r="H15" s="360">
        <f t="shared" si="13"/>
        <v>10242909.3443</v>
      </c>
      <c r="I15" s="360">
        <f t="shared" si="13"/>
        <v>12527246</v>
      </c>
      <c r="J15" s="360">
        <f t="shared" si="13"/>
        <v>14860083</v>
      </c>
      <c r="K15" s="360">
        <f t="shared" si="13"/>
        <v>17216362</v>
      </c>
      <c r="L15" s="360">
        <f t="shared" si="13"/>
        <v>18176304</v>
      </c>
      <c r="M15" s="360">
        <f t="shared" si="13"/>
        <v>19484646.399999999</v>
      </c>
      <c r="N15" s="360">
        <f t="shared" si="13"/>
        <v>21005268</v>
      </c>
      <c r="O15" s="360">
        <f t="shared" si="13"/>
        <v>22698328</v>
      </c>
      <c r="P15" s="360">
        <f t="shared" si="13"/>
        <v>23832874</v>
      </c>
      <c r="Q15" s="360">
        <f t="shared" ref="Q15:R15" si="17">Q5</f>
        <v>25141383</v>
      </c>
      <c r="R15" s="360">
        <f t="shared" si="17"/>
        <v>27043601</v>
      </c>
      <c r="S15" s="360">
        <f t="shared" ref="S15:T15" si="18">S5</f>
        <v>29784301</v>
      </c>
      <c r="T15" s="360">
        <f t="shared" si="18"/>
        <v>30858626.881090201</v>
      </c>
      <c r="U15" s="360">
        <f t="shared" ref="U15:V15" si="19">U5</f>
        <v>32971552</v>
      </c>
      <c r="V15" s="360">
        <f t="shared" si="19"/>
        <v>33705888</v>
      </c>
      <c r="W15" s="211"/>
      <c r="X15" s="441">
        <f t="shared" ref="X15:X17" si="20">V15/U15-1</f>
        <v>2.2271805706931769E-2</v>
      </c>
      <c r="Y15" s="441">
        <f t="shared" ref="Y15:Y17" si="21">V15/R15-1</f>
        <v>0.24635354589057878</v>
      </c>
    </row>
    <row r="16" spans="1:31" ht="13" customHeight="1">
      <c r="A16" s="249"/>
      <c r="B16" s="55" t="str">
        <f>IF('Summary | Sumário'!D$6=Names!B$3,Names!O13,Names!P13)</f>
        <v>(-) Provision for expected loss</v>
      </c>
      <c r="C16" s="259">
        <v>-215563</v>
      </c>
      <c r="D16" s="259">
        <v>-282355</v>
      </c>
      <c r="E16" s="259">
        <f t="shared" si="14"/>
        <v>-680932.27827000001</v>
      </c>
      <c r="F16" s="259">
        <f t="shared" si="15"/>
        <v>-1318412</v>
      </c>
      <c r="G16" s="259">
        <f t="shared" si="16"/>
        <v>-1883758</v>
      </c>
      <c r="H16" s="259">
        <v>-334789</v>
      </c>
      <c r="I16" s="259">
        <v>-486763</v>
      </c>
      <c r="J16" s="259">
        <v>-558546</v>
      </c>
      <c r="K16" s="259">
        <v>-680932.27827000001</v>
      </c>
      <c r="L16" s="259">
        <v>-801672</v>
      </c>
      <c r="M16" s="259">
        <v>-974457</v>
      </c>
      <c r="N16" s="259">
        <v>-1184365</v>
      </c>
      <c r="O16" s="259">
        <v>-1318412</v>
      </c>
      <c r="P16" s="259">
        <v>-1461707</v>
      </c>
      <c r="Q16" s="259">
        <v>-1617401</v>
      </c>
      <c r="R16" s="259">
        <v>-1746981</v>
      </c>
      <c r="S16" s="259">
        <v>-1883758</v>
      </c>
      <c r="T16" s="259">
        <v>-2031628</v>
      </c>
      <c r="U16" s="259">
        <v>-2164911.7689999999</v>
      </c>
      <c r="V16" s="259">
        <v>-2227465.776391461</v>
      </c>
      <c r="W16" s="258"/>
      <c r="X16" s="440">
        <f t="shared" si="20"/>
        <v>2.8894483501447965E-2</v>
      </c>
      <c r="Y16" s="440">
        <f t="shared" si="21"/>
        <v>0.27503720784110475</v>
      </c>
    </row>
    <row r="17" spans="1:27" ht="13" customHeight="1">
      <c r="A17" s="249"/>
      <c r="B17" s="355" t="str">
        <f>IF('Summary | Sumário'!D$6=Names!B$3,Names!O14,Names!P14)</f>
        <v>Net loans and advances to customers</v>
      </c>
      <c r="C17" s="358">
        <f>C15+C16</f>
        <v>4561824</v>
      </c>
      <c r="D17" s="358">
        <f t="shared" ref="D17:P17" si="22">D15+D16</f>
        <v>8507703</v>
      </c>
      <c r="E17" s="358">
        <f t="shared" si="14"/>
        <v>16535429.721729999</v>
      </c>
      <c r="F17" s="358">
        <f t="shared" si="15"/>
        <v>21379916</v>
      </c>
      <c r="G17" s="358">
        <f t="shared" si="16"/>
        <v>27900543</v>
      </c>
      <c r="H17" s="358">
        <f t="shared" si="22"/>
        <v>9908120.3443</v>
      </c>
      <c r="I17" s="358">
        <f t="shared" si="22"/>
        <v>12040483</v>
      </c>
      <c r="J17" s="358">
        <f t="shared" si="22"/>
        <v>14301537</v>
      </c>
      <c r="K17" s="358">
        <f t="shared" si="22"/>
        <v>16535429.721729999</v>
      </c>
      <c r="L17" s="358">
        <f t="shared" si="22"/>
        <v>17374632</v>
      </c>
      <c r="M17" s="358">
        <f t="shared" si="22"/>
        <v>18510189.399999999</v>
      </c>
      <c r="N17" s="358">
        <f t="shared" si="22"/>
        <v>19820903</v>
      </c>
      <c r="O17" s="358">
        <f t="shared" si="22"/>
        <v>21379916</v>
      </c>
      <c r="P17" s="358">
        <f t="shared" si="22"/>
        <v>22371167</v>
      </c>
      <c r="Q17" s="358">
        <f t="shared" ref="Q17:R17" si="23">Q15+Q16</f>
        <v>23523982</v>
      </c>
      <c r="R17" s="358">
        <f t="shared" si="23"/>
        <v>25296620</v>
      </c>
      <c r="S17" s="358">
        <f t="shared" ref="S17:T17" si="24">S15+S16</f>
        <v>27900543</v>
      </c>
      <c r="T17" s="358">
        <f t="shared" si="24"/>
        <v>28826998.881090201</v>
      </c>
      <c r="U17" s="358">
        <f t="shared" ref="U17:V17" si="25">U15+U16</f>
        <v>30806640.230999999</v>
      </c>
      <c r="V17" s="358">
        <f t="shared" si="25"/>
        <v>31478422.223608539</v>
      </c>
      <c r="W17" s="170"/>
      <c r="X17" s="365">
        <f t="shared" si="20"/>
        <v>2.1806402372062106E-2</v>
      </c>
      <c r="Y17" s="365">
        <f t="shared" si="21"/>
        <v>0.24437265625243754</v>
      </c>
    </row>
    <row r="18" spans="1:27" ht="13" customHeight="1">
      <c r="A18" s="249"/>
      <c r="B18" s="55"/>
      <c r="C18" s="259"/>
      <c r="D18" s="259"/>
      <c r="E18" s="259"/>
      <c r="F18" s="259"/>
      <c r="G18" s="259"/>
      <c r="H18" s="259"/>
      <c r="I18" s="259"/>
      <c r="J18" s="259"/>
      <c r="K18" s="259"/>
      <c r="L18" s="259"/>
      <c r="M18" s="259"/>
      <c r="N18" s="259"/>
      <c r="O18" s="259"/>
      <c r="P18" s="259"/>
      <c r="Q18" s="259"/>
      <c r="R18" s="259"/>
      <c r="S18" s="259"/>
      <c r="T18" s="259"/>
      <c r="U18" s="259"/>
      <c r="V18" s="259"/>
      <c r="W18" s="258"/>
      <c r="X18" s="440"/>
      <c r="Y18" s="440"/>
    </row>
    <row r="19" spans="1:27" ht="13" customHeight="1">
      <c r="A19" s="249"/>
      <c r="B19" s="3" t="str">
        <f>IF('Summary | Sumário'!D$6=Names!B$3,Names!O15,Names!P15)</f>
        <v>NPL &gt; 90 days</v>
      </c>
      <c r="C19" s="215"/>
      <c r="D19" s="215"/>
      <c r="E19" s="215"/>
      <c r="F19" s="215"/>
      <c r="G19" s="215"/>
      <c r="H19" s="215"/>
      <c r="I19" s="215"/>
      <c r="J19" s="215"/>
      <c r="K19" s="215"/>
      <c r="L19" s="215"/>
      <c r="M19" s="215"/>
      <c r="N19" s="215"/>
      <c r="O19" s="215"/>
      <c r="P19" s="215"/>
      <c r="Q19" s="215"/>
      <c r="R19" s="215"/>
      <c r="S19" s="215"/>
      <c r="T19" s="215"/>
      <c r="U19" s="215"/>
      <c r="V19" s="215"/>
      <c r="W19" s="215"/>
      <c r="X19" s="214"/>
      <c r="Y19" s="214"/>
    </row>
    <row r="20" spans="1:27" ht="13" customHeight="1">
      <c r="A20" s="249"/>
      <c r="B20" s="356" t="str">
        <f>IF('Summary | Sumário'!D$6=Names!B$3,Names!O16,Names!P16)</f>
        <v>NPL &gt; 90 days</v>
      </c>
      <c r="C20" s="361">
        <v>220389.40100000001</v>
      </c>
      <c r="D20" s="361">
        <v>269061.29599999997</v>
      </c>
      <c r="E20" s="361">
        <f t="shared" ref="E20:E23" si="26">K20</f>
        <v>519936.66624999954</v>
      </c>
      <c r="F20" s="361">
        <f t="shared" ref="F20:F23" si="27">O20</f>
        <v>999522.19583999994</v>
      </c>
      <c r="G20" s="361">
        <f t="shared" ref="G20:G23" si="28">S20</f>
        <v>1425372.2890000001</v>
      </c>
      <c r="H20" s="361">
        <v>284231.98275000002</v>
      </c>
      <c r="I20" s="361">
        <v>375711.22700000001</v>
      </c>
      <c r="J20" s="361">
        <v>451788.65100000001</v>
      </c>
      <c r="K20" s="361">
        <v>519936.66624999954</v>
      </c>
      <c r="L20" s="361">
        <v>635025.51165999984</v>
      </c>
      <c r="M20" s="361">
        <v>754933.16899999999</v>
      </c>
      <c r="N20" s="361">
        <v>838860.77459000004</v>
      </c>
      <c r="O20" s="361">
        <v>999522.19583999994</v>
      </c>
      <c r="P20" s="361">
        <v>1112112.51</v>
      </c>
      <c r="Q20" s="361">
        <v>1242634.2890000001</v>
      </c>
      <c r="R20" s="361">
        <v>1324578.226</v>
      </c>
      <c r="S20" s="361">
        <v>1425372.2890000001</v>
      </c>
      <c r="T20" s="361">
        <v>1552791.92823</v>
      </c>
      <c r="U20" s="361">
        <v>1663073.9831000001</v>
      </c>
      <c r="V20" s="361">
        <v>1719621.82455</v>
      </c>
      <c r="W20" s="253"/>
      <c r="X20" s="442">
        <f>V20/U20-1</f>
        <v>3.4001999925820314E-2</v>
      </c>
      <c r="Y20" s="442">
        <f>V20/R20-1</f>
        <v>0.2982410482036717</v>
      </c>
      <c r="Z20" s="273"/>
      <c r="AA20" s="273"/>
    </row>
    <row r="21" spans="1:27" ht="13" customHeight="1">
      <c r="A21" s="249"/>
      <c r="B21" s="53" t="str">
        <f>IF('Summary | Sumário'!D$6=Names!B$3,Names!O17,Names!P17)</f>
        <v>NPL &gt; 90 days (%)</v>
      </c>
      <c r="C21" s="260">
        <v>4.613178731386007E-2</v>
      </c>
      <c r="D21" s="260">
        <v>3.0609729310091011E-2</v>
      </c>
      <c r="E21" s="260">
        <f t="shared" si="26"/>
        <v>3.0200147176854177E-2</v>
      </c>
      <c r="F21" s="260">
        <f t="shared" si="27"/>
        <v>4.4035058258035567E-2</v>
      </c>
      <c r="G21" s="260">
        <f t="shared" si="28"/>
        <v>4.7856496246126444E-2</v>
      </c>
      <c r="H21" s="260">
        <v>2.7749145598771716E-2</v>
      </c>
      <c r="I21" s="260">
        <v>2.9991526230106761E-2</v>
      </c>
      <c r="J21" s="260">
        <v>3.0402834963976985E-2</v>
      </c>
      <c r="K21" s="260">
        <v>3.0200147176854177E-2</v>
      </c>
      <c r="L21" s="260">
        <v>3.4936998834306461E-2</v>
      </c>
      <c r="M21" s="260">
        <v>3.8745027931325456E-2</v>
      </c>
      <c r="N21" s="260">
        <v>3.9935733007072323E-2</v>
      </c>
      <c r="O21" s="260">
        <v>4.4035058258035567E-2</v>
      </c>
      <c r="P21" s="260">
        <v>4.6662962679196812E-2</v>
      </c>
      <c r="Q21" s="260">
        <v>4.9425852547570676E-2</v>
      </c>
      <c r="R21" s="260">
        <v>4.897935840718845E-2</v>
      </c>
      <c r="S21" s="260">
        <v>4.7856496246126444E-2</v>
      </c>
      <c r="T21" s="260">
        <v>5.0319540600866214E-2</v>
      </c>
      <c r="U21" s="260">
        <v>5.0439663352820033E-2</v>
      </c>
      <c r="V21" s="260">
        <v>5.1018439999266599E-2</v>
      </c>
      <c r="W21" s="260"/>
      <c r="X21" s="452">
        <f>(V21-U21)*100</f>
        <v>5.7877664644656601E-2</v>
      </c>
      <c r="Y21" s="452">
        <f>(V21-R21)*100</f>
        <v>0.20390815920781485</v>
      </c>
    </row>
    <row r="22" spans="1:27" ht="13" customHeight="1">
      <c r="A22" s="249"/>
      <c r="B22" s="55" t="str">
        <f>IF('Summary | Sumário'!D$6=Names!B$3,Names!O18,Names!P18)</f>
        <v>NPL &gt; 90 days (including anticipation of credit card receivables, %)</v>
      </c>
      <c r="C22" s="263">
        <v>4.613178731386007E-2</v>
      </c>
      <c r="D22" s="263">
        <v>3.0609729310091011E-2</v>
      </c>
      <c r="E22" s="263">
        <f t="shared" si="26"/>
        <v>2.9686127241903896E-2</v>
      </c>
      <c r="F22" s="263">
        <f t="shared" si="27"/>
        <v>4.07236995153967E-2</v>
      </c>
      <c r="G22" s="263">
        <f t="shared" si="28"/>
        <v>4.5948866208864708E-2</v>
      </c>
      <c r="H22" s="263">
        <v>2.7518698219089782E-2</v>
      </c>
      <c r="I22" s="263">
        <v>2.982128363105719E-2</v>
      </c>
      <c r="J22" s="263">
        <v>3.0204543180505222E-2</v>
      </c>
      <c r="K22" s="263">
        <v>2.9686127241903896E-2</v>
      </c>
      <c r="L22" s="263">
        <v>3.428186408174301E-2</v>
      </c>
      <c r="M22" s="263">
        <v>3.8004014778354349E-2</v>
      </c>
      <c r="N22" s="263">
        <v>3.8069376847907885E-2</v>
      </c>
      <c r="O22" s="263">
        <v>4.07236995153967E-2</v>
      </c>
      <c r="P22" s="263">
        <v>4.425561390533074E-2</v>
      </c>
      <c r="Q22" s="263">
        <v>4.6937273988870744E-2</v>
      </c>
      <c r="R22" s="263">
        <v>4.6873218175344886E-2</v>
      </c>
      <c r="S22" s="263">
        <v>4.5948866208864708E-2</v>
      </c>
      <c r="T22" s="263">
        <v>4.8307930395170035E-2</v>
      </c>
      <c r="U22" s="263">
        <v>4.6618172011492563E-2</v>
      </c>
      <c r="V22" s="263">
        <v>4.5182000499596732E-2</v>
      </c>
      <c r="W22" s="260"/>
      <c r="X22" s="451">
        <f t="shared" ref="X22:X23" si="29">(V22-U22)*100</f>
        <v>-0.14361715118958313</v>
      </c>
      <c r="Y22" s="451">
        <f t="shared" ref="Y22:Y23" si="30">(V22-R22)*100</f>
        <v>-0.16912176757481537</v>
      </c>
    </row>
    <row r="23" spans="1:27" ht="13" customHeight="1">
      <c r="A23" s="249"/>
      <c r="B23" s="53" t="str">
        <f>IF('Summary | Sumário'!D$6=Names!B$3,Names!O19,Names!P19)</f>
        <v>Coverage ratio (%)</v>
      </c>
      <c r="C23" s="400">
        <v>0.97810057571688758</v>
      </c>
      <c r="D23" s="400">
        <v>1.0494077156307164</v>
      </c>
      <c r="E23" s="400">
        <f t="shared" si="26"/>
        <v>1.3096446595720361</v>
      </c>
      <c r="F23" s="400">
        <f t="shared" si="27"/>
        <v>1.3190422438713376</v>
      </c>
      <c r="G23" s="400">
        <f t="shared" si="28"/>
        <v>1.3215901659780338</v>
      </c>
      <c r="H23" s="400">
        <v>1.1778723729850911</v>
      </c>
      <c r="I23" s="400">
        <v>1.2955774675319989</v>
      </c>
      <c r="J23" s="400">
        <v>1.2362993155399116</v>
      </c>
      <c r="K23" s="400">
        <v>1.3096446595720361</v>
      </c>
      <c r="L23" s="400">
        <v>1.2624248715683484</v>
      </c>
      <c r="M23" s="400">
        <v>1.2907857808006844</v>
      </c>
      <c r="N23" s="400">
        <v>1.4118731449552733</v>
      </c>
      <c r="O23" s="400">
        <v>1.3190422438713376</v>
      </c>
      <c r="P23" s="400">
        <v>1.3143517286753656</v>
      </c>
      <c r="Q23" s="400">
        <v>1.3015905116392614</v>
      </c>
      <c r="R23" s="400">
        <v>1.3188960574080884</v>
      </c>
      <c r="S23" s="400">
        <f>-S16/S20</f>
        <v>1.3215901659780338</v>
      </c>
      <c r="T23" s="400">
        <f>-T16/T20</f>
        <v>1.3083710464130354</v>
      </c>
      <c r="U23" s="400">
        <f>-U16/U20</f>
        <v>1.3017531336546826</v>
      </c>
      <c r="V23" s="400">
        <f>-V16/V20</f>
        <v>1.2953230440503141</v>
      </c>
      <c r="W23" s="400"/>
      <c r="X23" s="450">
        <f t="shared" si="29"/>
        <v>-0.64300896043685274</v>
      </c>
      <c r="Y23" s="450">
        <f t="shared" si="30"/>
        <v>-2.3573013357774286</v>
      </c>
    </row>
    <row r="24" spans="1:27" ht="13" customHeight="1">
      <c r="A24" s="249"/>
      <c r="B24" s="398"/>
      <c r="C24" s="399"/>
      <c r="D24" s="399"/>
      <c r="E24" s="399"/>
      <c r="F24" s="399"/>
      <c r="G24" s="399"/>
      <c r="H24" s="399"/>
      <c r="I24" s="399"/>
      <c r="J24" s="399"/>
      <c r="K24" s="399"/>
      <c r="L24" s="399"/>
      <c r="M24" s="399"/>
      <c r="N24" s="399"/>
      <c r="O24" s="399"/>
      <c r="P24" s="399"/>
      <c r="Q24" s="399"/>
      <c r="R24" s="399"/>
      <c r="S24" s="399"/>
      <c r="T24" s="399"/>
      <c r="U24" s="399"/>
      <c r="V24" s="399"/>
      <c r="W24" s="266"/>
      <c r="X24" s="443"/>
      <c r="Y24" s="443"/>
    </row>
    <row r="25" spans="1:27" ht="13" customHeight="1">
      <c r="A25" s="249"/>
      <c r="B25" s="3" t="str">
        <f>IF('Summary | Sumário'!D$6=Names!B$3,Names!O20,Names!P20)</f>
        <v>NPL  15-90 days</v>
      </c>
      <c r="C25" s="215"/>
      <c r="D25" s="215"/>
      <c r="E25" s="215"/>
      <c r="F25" s="215"/>
      <c r="G25" s="215"/>
      <c r="H25" s="215"/>
      <c r="I25" s="215"/>
      <c r="J25" s="215"/>
      <c r="K25" s="215"/>
      <c r="L25" s="215"/>
      <c r="M25" s="215"/>
      <c r="N25" s="215"/>
      <c r="O25" s="215"/>
      <c r="P25" s="215"/>
      <c r="Q25" s="215"/>
      <c r="R25" s="215"/>
      <c r="S25" s="215"/>
      <c r="T25" s="215"/>
      <c r="U25" s="215"/>
      <c r="V25" s="215"/>
      <c r="W25" s="215"/>
      <c r="X25" s="214"/>
      <c r="Y25" s="214"/>
    </row>
    <row r="26" spans="1:27" ht="13" customHeight="1">
      <c r="A26" s="249"/>
      <c r="B26" s="356" t="str">
        <f>IF('Summary | Sumário'!D$6=Names!B$3,Names!O21,Names!P21)</f>
        <v>NPL 15-90 days</v>
      </c>
      <c r="C26" s="361">
        <v>455624.09169999999</v>
      </c>
      <c r="D26" s="361">
        <v>446506.32032</v>
      </c>
      <c r="E26" s="361">
        <f t="shared" ref="E26:E28" si="31">K26</f>
        <v>746209.03361000016</v>
      </c>
      <c r="F26" s="361">
        <f t="shared" ref="F26:F28" si="32">O26</f>
        <v>1016878.29273</v>
      </c>
      <c r="G26" s="361">
        <f t="shared" ref="G26:G28" si="33">S26</f>
        <v>1243042.1070000001</v>
      </c>
      <c r="H26" s="361">
        <v>596395.54700000002</v>
      </c>
      <c r="I26" s="361">
        <v>617864.61755000008</v>
      </c>
      <c r="J26" s="361">
        <v>650014.21071999997</v>
      </c>
      <c r="K26" s="361">
        <v>746209.03361000016</v>
      </c>
      <c r="L26" s="361">
        <v>835676.82806999981</v>
      </c>
      <c r="M26" s="361">
        <v>902517.78554999991</v>
      </c>
      <c r="N26" s="361">
        <v>950615.52880999993</v>
      </c>
      <c r="O26" s="361">
        <v>1016878.29273</v>
      </c>
      <c r="P26" s="361">
        <v>1092071.4350000001</v>
      </c>
      <c r="Q26" s="361">
        <v>1110989.1200000001</v>
      </c>
      <c r="R26" s="361">
        <v>1204856.051</v>
      </c>
      <c r="S26" s="361">
        <v>1243042.1070000001</v>
      </c>
      <c r="T26" s="361">
        <v>1417128.55651</v>
      </c>
      <c r="U26" s="361">
        <v>1401631.4272100001</v>
      </c>
      <c r="V26" s="361">
        <v>1370497.84238</v>
      </c>
      <c r="W26" s="253"/>
      <c r="X26" s="442">
        <f>V26/U26-1</f>
        <v>-2.2212390665335313E-2</v>
      </c>
      <c r="Y26" s="442">
        <f>V26/R26-1</f>
        <v>0.13747849068153961</v>
      </c>
    </row>
    <row r="27" spans="1:27" ht="13" customHeight="1">
      <c r="A27" s="249"/>
      <c r="B27" s="53" t="str">
        <f>IF('Summary | Sumário'!D$6=Names!B$3,Names!O22,Names!P22)</f>
        <v>NPL 15-90 days (%)</v>
      </c>
      <c r="C27" s="260">
        <v>9.5370982442912824E-2</v>
      </c>
      <c r="D27" s="260">
        <v>5.0796743357097301E-2</v>
      </c>
      <c r="E27" s="260">
        <f t="shared" si="31"/>
        <v>4.3343014837280966E-2</v>
      </c>
      <c r="F27" s="260">
        <f t="shared" si="32"/>
        <v>4.4799700344888838E-2</v>
      </c>
      <c r="G27" s="260">
        <f t="shared" si="33"/>
        <v>4.1734808783996644E-2</v>
      </c>
      <c r="H27" s="260">
        <v>5.8225209943099196E-2</v>
      </c>
      <c r="I27" s="260">
        <v>4.9321663959500765E-2</v>
      </c>
      <c r="J27" s="260">
        <v>4.3742300141930562E-2</v>
      </c>
      <c r="K27" s="260">
        <v>4.3343014837280966E-2</v>
      </c>
      <c r="L27" s="260">
        <v>4.5976169196443886E-2</v>
      </c>
      <c r="M27" s="260">
        <v>4.6319433620822595E-2</v>
      </c>
      <c r="N27" s="260">
        <v>4.5256053329574275E-2</v>
      </c>
      <c r="O27" s="260">
        <v>4.4799700344888838E-2</v>
      </c>
      <c r="P27" s="260">
        <v>4.5822062207017081E-2</v>
      </c>
      <c r="Q27" s="260">
        <v>4.4189658142513487E-2</v>
      </c>
      <c r="R27" s="260">
        <v>4.4552352735865317E-2</v>
      </c>
      <c r="S27" s="260">
        <v>4.1734808783996644E-2</v>
      </c>
      <c r="T27" s="260">
        <v>4.5923253875511862E-2</v>
      </c>
      <c r="U27" s="260">
        <v>4.2510326089897139E-2</v>
      </c>
      <c r="V27" s="260">
        <v>4.0660487638836278E-2</v>
      </c>
      <c r="W27" s="260"/>
      <c r="X27" s="448">
        <f t="shared" ref="X27:X28" si="34">(V27-U27)*100</f>
        <v>-0.18498384510608618</v>
      </c>
      <c r="Y27" s="448">
        <f t="shared" ref="Y27:Y28" si="35">(V27-R27)*100</f>
        <v>-0.38918650970290392</v>
      </c>
    </row>
    <row r="28" spans="1:27" ht="13" customHeight="1">
      <c r="A28" s="249"/>
      <c r="B28" s="55" t="str">
        <f>IF('Summary | Sumário'!D$6=Names!B$3,Names!O23,Names!P23)</f>
        <v>NPL 15-90 days (including anticipation of credit card receivables, %)</v>
      </c>
      <c r="C28" s="263">
        <v>9.5370982442912824E-2</v>
      </c>
      <c r="D28" s="263">
        <v>5.0796743357097301E-2</v>
      </c>
      <c r="E28" s="263">
        <f t="shared" si="31"/>
        <v>4.2605297450119241E-2</v>
      </c>
      <c r="F28" s="263">
        <f t="shared" si="32"/>
        <v>4.1430841865461747E-2</v>
      </c>
      <c r="G28" s="263">
        <f t="shared" si="33"/>
        <v>4.0071198175600488E-2</v>
      </c>
      <c r="H28" s="263">
        <v>5.7741669034963569E-2</v>
      </c>
      <c r="I28" s="263">
        <v>4.9041696604805549E-2</v>
      </c>
      <c r="J28" s="263">
        <v>4.345700639486462E-2</v>
      </c>
      <c r="K28" s="263">
        <v>4.2605297450119241E-2</v>
      </c>
      <c r="L28" s="263">
        <v>4.5114029137614607E-2</v>
      </c>
      <c r="M28" s="263">
        <v>4.5433557125597483E-2</v>
      </c>
      <c r="N28" s="263">
        <v>4.314105737204002E-2</v>
      </c>
      <c r="O28" s="263">
        <v>4.1430841865461747E-2</v>
      </c>
      <c r="P28" s="263">
        <v>4.3458095606172524E-2</v>
      </c>
      <c r="Q28" s="263">
        <v>4.1964720582480561E-2</v>
      </c>
      <c r="R28" s="263">
        <v>4.2636576262433189E-2</v>
      </c>
      <c r="S28" s="263">
        <v>4.0071198175600488E-2</v>
      </c>
      <c r="T28" s="263">
        <v>4.4087392795071748E-2</v>
      </c>
      <c r="U28" s="263">
        <v>3.9289590020879214E-2</v>
      </c>
      <c r="V28" s="263">
        <v>3.6008983670181932E-2</v>
      </c>
      <c r="W28" s="260"/>
      <c r="X28" s="449">
        <f t="shared" si="34"/>
        <v>-0.32806063506972821</v>
      </c>
      <c r="Y28" s="449">
        <f t="shared" si="35"/>
        <v>-0.66275925922512569</v>
      </c>
    </row>
    <row r="29" spans="1:27" ht="13" customHeight="1">
      <c r="C29" s="266"/>
      <c r="D29" s="266"/>
      <c r="E29" s="266"/>
      <c r="F29" s="266"/>
      <c r="G29" s="266"/>
      <c r="H29" s="266"/>
      <c r="I29" s="266"/>
      <c r="J29" s="266"/>
      <c r="K29" s="266"/>
      <c r="L29" s="266"/>
      <c r="M29" s="266"/>
      <c r="N29" s="266"/>
      <c r="O29" s="266"/>
      <c r="P29" s="266"/>
      <c r="Q29" s="266"/>
      <c r="R29" s="266"/>
      <c r="S29" s="266"/>
      <c r="T29" s="266"/>
      <c r="U29" s="266"/>
      <c r="V29" s="266"/>
      <c r="W29" s="266"/>
      <c r="X29" s="260"/>
      <c r="Y29" s="260"/>
    </row>
    <row r="30" spans="1:27" ht="13" customHeight="1">
      <c r="B30" s="24" t="str">
        <f>IF('Summary | Sumário'!D$6=Names!B$3,Names!O24,Names!P24)</f>
        <v>Credit card loan portfolio</v>
      </c>
      <c r="C30" s="209"/>
      <c r="D30" s="209"/>
      <c r="E30" s="209"/>
      <c r="F30" s="209"/>
      <c r="G30" s="209"/>
      <c r="H30" s="209"/>
      <c r="I30" s="209"/>
      <c r="J30" s="209"/>
      <c r="K30" s="209"/>
      <c r="L30" s="209"/>
      <c r="M30" s="209"/>
      <c r="N30" s="209"/>
      <c r="O30" s="209"/>
      <c r="P30" s="209"/>
      <c r="Q30" s="209"/>
      <c r="R30" s="209"/>
      <c r="S30" s="209"/>
      <c r="T30" s="209"/>
      <c r="U30" s="209"/>
      <c r="V30" s="209"/>
      <c r="X30" s="182"/>
      <c r="Y30" s="182"/>
    </row>
    <row r="31" spans="1:27" ht="13" customHeight="1">
      <c r="B31" s="58" t="str">
        <f>IF('Summary | Sumário'!D$6=Names!B$3,Names!O47,Names!P47)</f>
        <v>Non-transactor</v>
      </c>
      <c r="C31" s="664" t="s">
        <v>911</v>
      </c>
      <c r="D31" s="665">
        <f t="shared" ref="D31:E31" si="36">D33-D32</f>
        <v>230211.82499999995</v>
      </c>
      <c r="E31" s="665">
        <f t="shared" si="36"/>
        <v>676005</v>
      </c>
      <c r="F31" s="665">
        <f t="shared" ref="F31" si="37">F33-F32</f>
        <v>1458767</v>
      </c>
      <c r="G31" s="665">
        <f t="shared" ref="G31" si="38">G33-G32</f>
        <v>1971266.3970000008</v>
      </c>
      <c r="H31" s="665">
        <f t="shared" ref="H31" si="39">H33-H32</f>
        <v>310705.48867999995</v>
      </c>
      <c r="I31" s="665">
        <f t="shared" ref="I31" si="40">I33-I32</f>
        <v>466529</v>
      </c>
      <c r="J31" s="665">
        <f t="shared" ref="J31" si="41">J33-J32</f>
        <v>526729</v>
      </c>
      <c r="K31" s="665">
        <f t="shared" ref="K31" si="42">K33-K32</f>
        <v>676005</v>
      </c>
      <c r="L31" s="665">
        <f t="shared" ref="L31:U31" si="43">L33-L32</f>
        <v>836644</v>
      </c>
      <c r="M31" s="665">
        <f t="shared" si="43"/>
        <v>1084285.4000000004</v>
      </c>
      <c r="N31" s="665">
        <f t="shared" si="43"/>
        <v>1309633</v>
      </c>
      <c r="O31" s="665">
        <f t="shared" si="43"/>
        <v>1458767</v>
      </c>
      <c r="P31" s="665">
        <f t="shared" si="43"/>
        <v>1592763.3878274746</v>
      </c>
      <c r="Q31" s="665">
        <f t="shared" si="43"/>
        <v>1777050.7675745916</v>
      </c>
      <c r="R31" s="665">
        <f t="shared" si="43"/>
        <v>1882205.9550000001</v>
      </c>
      <c r="S31" s="665">
        <f t="shared" si="43"/>
        <v>1971266.3970000008</v>
      </c>
      <c r="T31" s="665">
        <f t="shared" si="43"/>
        <v>2176763.9201100003</v>
      </c>
      <c r="U31" s="665">
        <f t="shared" si="43"/>
        <v>2264113.5148200002</v>
      </c>
      <c r="V31" s="665">
        <f>V33-V32</f>
        <v>2206943.6459299996</v>
      </c>
      <c r="W31" s="664"/>
      <c r="X31" s="666">
        <f t="shared" ref="X31:X33" si="44">V31/U31-1</f>
        <v>-2.5250442840338616E-2</v>
      </c>
      <c r="Y31" s="666">
        <f t="shared" ref="Y31:Y33" si="45">V31/R31-1</f>
        <v>0.17253037058317</v>
      </c>
      <c r="Z31" s="421"/>
    </row>
    <row r="32" spans="1:27" s="168" customFormat="1" ht="13" customHeight="1">
      <c r="A32" s="166"/>
      <c r="B32" s="63" t="str">
        <f>IF('Summary | Sumário'!D$6=Names!B$3,Names!O29,Names!P29)</f>
        <v>Transactor</v>
      </c>
      <c r="C32" s="267">
        <v>0</v>
      </c>
      <c r="D32" s="267">
        <v>1674430.175</v>
      </c>
      <c r="E32" s="267">
        <f t="shared" ref="E32:E33" si="46">K32</f>
        <v>4122313</v>
      </c>
      <c r="F32" s="267">
        <f t="shared" ref="F32:F33" si="47">O32</f>
        <v>5411798</v>
      </c>
      <c r="G32" s="267">
        <f t="shared" ref="G32:G33" si="48">S32</f>
        <v>7490010.6029999992</v>
      </c>
      <c r="H32" s="267">
        <v>2094215</v>
      </c>
      <c r="I32" s="267">
        <v>2650205</v>
      </c>
      <c r="J32" s="267">
        <v>3280955</v>
      </c>
      <c r="K32" s="267">
        <v>4122313</v>
      </c>
      <c r="L32" s="267">
        <v>4479286</v>
      </c>
      <c r="M32" s="267">
        <v>4897121</v>
      </c>
      <c r="N32" s="267">
        <v>5101939</v>
      </c>
      <c r="O32" s="267">
        <v>5411798</v>
      </c>
      <c r="P32" s="267">
        <v>5680268.6121725254</v>
      </c>
      <c r="Q32" s="267">
        <v>5903960.2324254084</v>
      </c>
      <c r="R32" s="267">
        <v>6767933.0449999999</v>
      </c>
      <c r="S32" s="267">
        <v>7490010.6029999992</v>
      </c>
      <c r="T32" s="267">
        <v>7935081.2156800013</v>
      </c>
      <c r="U32" s="267">
        <v>8243968.4851799998</v>
      </c>
      <c r="V32" s="267">
        <v>8562871.3540700004</v>
      </c>
      <c r="W32" s="664"/>
      <c r="X32" s="444">
        <f t="shared" si="44"/>
        <v>3.8683174185258684E-2</v>
      </c>
      <c r="Y32" s="444">
        <f t="shared" si="45"/>
        <v>0.2652121847446558</v>
      </c>
      <c r="Z32" s="421"/>
    </row>
    <row r="33" spans="1:28" s="193" customFormat="1" ht="13" customHeight="1">
      <c r="A33" s="262"/>
      <c r="B33" s="667" t="str">
        <f>IF('Summary | Sumário'!D$6=Names!B$3,Names!O30,Names!P30)</f>
        <v>Total credit card loan portfolio</v>
      </c>
      <c r="C33" s="668">
        <f>C9</f>
        <v>783544</v>
      </c>
      <c r="D33" s="668">
        <f>D9</f>
        <v>1904642</v>
      </c>
      <c r="E33" s="668">
        <f t="shared" si="46"/>
        <v>4798318</v>
      </c>
      <c r="F33" s="668">
        <f t="shared" si="47"/>
        <v>6870565</v>
      </c>
      <c r="G33" s="668">
        <f t="shared" si="48"/>
        <v>9461277</v>
      </c>
      <c r="H33" s="668">
        <f t="shared" ref="H33:V33" si="49">H9</f>
        <v>2404920.48868</v>
      </c>
      <c r="I33" s="668">
        <f t="shared" si="49"/>
        <v>3116734</v>
      </c>
      <c r="J33" s="668">
        <f t="shared" si="49"/>
        <v>3807684</v>
      </c>
      <c r="K33" s="668">
        <f t="shared" si="49"/>
        <v>4798318</v>
      </c>
      <c r="L33" s="668">
        <f t="shared" si="49"/>
        <v>5315930</v>
      </c>
      <c r="M33" s="668">
        <f t="shared" si="49"/>
        <v>5981406.4000000004</v>
      </c>
      <c r="N33" s="668">
        <f t="shared" si="49"/>
        <v>6411572</v>
      </c>
      <c r="O33" s="668">
        <f t="shared" si="49"/>
        <v>6870565</v>
      </c>
      <c r="P33" s="668">
        <f t="shared" si="49"/>
        <v>7273032</v>
      </c>
      <c r="Q33" s="668">
        <f t="shared" si="49"/>
        <v>7681011</v>
      </c>
      <c r="R33" s="668">
        <f t="shared" si="49"/>
        <v>8650139</v>
      </c>
      <c r="S33" s="668">
        <f t="shared" si="49"/>
        <v>9461277</v>
      </c>
      <c r="T33" s="668">
        <f t="shared" si="49"/>
        <v>10111845.135790002</v>
      </c>
      <c r="U33" s="668">
        <f t="shared" si="49"/>
        <v>10508082</v>
      </c>
      <c r="V33" s="668">
        <f t="shared" si="49"/>
        <v>10769815</v>
      </c>
      <c r="W33" s="669"/>
      <c r="X33" s="365">
        <f t="shared" si="44"/>
        <v>2.4907780506471022E-2</v>
      </c>
      <c r="Y33" s="365">
        <f t="shared" si="45"/>
        <v>0.24504531083257741</v>
      </c>
      <c r="Z33" s="421"/>
    </row>
    <row r="34" spans="1:28" ht="13" customHeight="1">
      <c r="B34" s="8"/>
      <c r="C34" s="274"/>
      <c r="D34" s="274"/>
      <c r="E34" s="274"/>
      <c r="F34" s="274"/>
      <c r="G34" s="274"/>
      <c r="H34" s="274"/>
      <c r="I34" s="274"/>
      <c r="J34" s="274"/>
      <c r="K34" s="274"/>
      <c r="L34" s="274"/>
      <c r="M34" s="274"/>
      <c r="N34" s="274"/>
      <c r="O34" s="274"/>
      <c r="P34" s="274"/>
      <c r="Q34" s="274"/>
      <c r="R34" s="274"/>
      <c r="S34" s="274"/>
      <c r="T34" s="274"/>
      <c r="U34" s="274"/>
      <c r="V34" s="274"/>
      <c r="W34" s="186"/>
      <c r="X34" s="182"/>
      <c r="Y34" s="182"/>
    </row>
    <row r="35" spans="1:28" ht="13" customHeight="1">
      <c r="B35" s="52" t="str">
        <f>IF('Summary | Sumário'!D$6=Names!B$3,Names!O31,Names!P31)</f>
        <v>Interest income</v>
      </c>
      <c r="H35" s="437"/>
      <c r="I35" s="437"/>
      <c r="J35" s="437"/>
      <c r="K35" s="437"/>
      <c r="L35" s="437"/>
      <c r="M35" s="437"/>
      <c r="N35" s="437"/>
      <c r="O35" s="437"/>
      <c r="P35" s="437"/>
      <c r="Q35" s="437"/>
      <c r="R35" s="437"/>
      <c r="S35" s="437"/>
      <c r="T35" s="437"/>
      <c r="U35" s="437"/>
      <c r="V35" s="437"/>
      <c r="W35" s="437"/>
      <c r="X35" s="446"/>
      <c r="Y35" s="446"/>
    </row>
    <row r="36" spans="1:28" ht="13" customHeight="1">
      <c r="B36" s="323" t="str">
        <f>IF('Summary | Sumário'!D$6=Names!B$3,Names!O32,Names!P32)</f>
        <v>Interest income</v>
      </c>
      <c r="C36" s="677">
        <v>775515</v>
      </c>
      <c r="D36" s="677">
        <v>942655.89517999999</v>
      </c>
      <c r="E36" s="677">
        <f>SUM(H36:K36)</f>
        <v>1435427.246</v>
      </c>
      <c r="F36" s="677">
        <f>SUM(L36:O36)</f>
        <v>2802658.0819999999</v>
      </c>
      <c r="G36" s="677">
        <f>SUM(P36:S36)</f>
        <v>4549827</v>
      </c>
      <c r="H36" s="677">
        <v>289003.935</v>
      </c>
      <c r="I36" s="677">
        <v>305659.75100000005</v>
      </c>
      <c r="J36" s="677">
        <v>367405.88</v>
      </c>
      <c r="K36" s="677">
        <v>473357.68</v>
      </c>
      <c r="L36" s="677">
        <v>521159.63199999993</v>
      </c>
      <c r="M36" s="677">
        <v>622312.6370000001</v>
      </c>
      <c r="N36" s="677">
        <v>788342.73100000003</v>
      </c>
      <c r="O36" s="677">
        <v>870843.08199999994</v>
      </c>
      <c r="P36" s="677">
        <v>1012926.822</v>
      </c>
      <c r="Q36" s="677">
        <v>1151105</v>
      </c>
      <c r="R36" s="677">
        <v>1106935.08874</v>
      </c>
      <c r="S36" s="677">
        <v>1278860.08926</v>
      </c>
      <c r="T36" s="677">
        <v>1217530.9999999998</v>
      </c>
      <c r="U36" s="677">
        <v>1172414.1410000001</v>
      </c>
      <c r="V36" s="677">
        <v>1412223.0789999999</v>
      </c>
      <c r="W36" s="264"/>
      <c r="X36" s="678">
        <f t="shared" ref="X36:X63" si="50">V36/U36-1</f>
        <v>0.20454285701079744</v>
      </c>
      <c r="Y36" s="678">
        <f t="shared" ref="Y36:Y63" si="51">V36/R36-1</f>
        <v>0.27579574752436709</v>
      </c>
    </row>
    <row r="37" spans="1:28" ht="13" customHeight="1">
      <c r="B37" s="17" t="str">
        <f>IF('Summary | Sumário'!D$6=Names!B$3,Names!O33,Names!P33)</f>
        <v>Loans and advances to customers</v>
      </c>
      <c r="C37" s="264">
        <v>635873</v>
      </c>
      <c r="D37" s="264">
        <v>807878.44012000004</v>
      </c>
      <c r="E37" s="264">
        <f t="shared" ref="E37:E63" si="52">SUM(H37:K37)</f>
        <v>1330194.1980000001</v>
      </c>
      <c r="F37" s="264">
        <f t="shared" ref="F37:F63" si="53">SUM(L37:O37)</f>
        <v>2465436.4588899999</v>
      </c>
      <c r="G37" s="264">
        <f t="shared" ref="G37:G63" si="54">SUM(P37:S37)</f>
        <v>3811788</v>
      </c>
      <c r="H37" s="264">
        <v>268003.20799999998</v>
      </c>
      <c r="I37" s="264">
        <v>292783.40600000002</v>
      </c>
      <c r="J37" s="264">
        <v>335179.73</v>
      </c>
      <c r="K37" s="264">
        <v>434227.85400000005</v>
      </c>
      <c r="L37" s="264">
        <v>465786.92129999999</v>
      </c>
      <c r="M37" s="264">
        <v>587035.16590000002</v>
      </c>
      <c r="N37" s="264">
        <v>672679.28999000008</v>
      </c>
      <c r="O37" s="264">
        <v>739935.08169999998</v>
      </c>
      <c r="P37" s="264">
        <v>840890.87786000001</v>
      </c>
      <c r="Q37" s="264">
        <v>976319.04593000002</v>
      </c>
      <c r="R37" s="264">
        <v>891716.27035000001</v>
      </c>
      <c r="S37" s="264">
        <v>1102861.8058600002</v>
      </c>
      <c r="T37" s="264">
        <v>1020891.12009</v>
      </c>
      <c r="U37" s="264">
        <v>992213.52389000007</v>
      </c>
      <c r="V37" s="264">
        <v>1161390.494449297</v>
      </c>
      <c r="W37" s="264"/>
      <c r="X37" s="446">
        <f t="shared" si="50"/>
        <v>0.17050460055818828</v>
      </c>
      <c r="Y37" s="446">
        <f t="shared" si="51"/>
        <v>0.30242155836570017</v>
      </c>
    </row>
    <row r="38" spans="1:28" ht="13" customHeight="1">
      <c r="B38" s="108" t="str">
        <f>IF('Summary | Sumário'!D$6=Names!B$3,Names!O34,Names!P34)</f>
        <v>Real Estate</v>
      </c>
      <c r="C38" s="269">
        <v>0</v>
      </c>
      <c r="D38" s="269">
        <v>435019.64619000006</v>
      </c>
      <c r="E38" s="269">
        <f t="shared" si="52"/>
        <v>579506.26199999999</v>
      </c>
      <c r="F38" s="269">
        <f t="shared" si="53"/>
        <v>714011.42595000006</v>
      </c>
      <c r="G38" s="269">
        <f t="shared" si="54"/>
        <v>925900</v>
      </c>
      <c r="H38" s="269">
        <v>139297.851</v>
      </c>
      <c r="I38" s="269">
        <v>136320.81899999999</v>
      </c>
      <c r="J38" s="269">
        <v>141281.71</v>
      </c>
      <c r="K38" s="269">
        <v>162605.88200000001</v>
      </c>
      <c r="L38" s="269">
        <v>163483.92470999999</v>
      </c>
      <c r="M38" s="269">
        <v>208572.24767999997</v>
      </c>
      <c r="N38" s="269">
        <v>169001.99365000005</v>
      </c>
      <c r="O38" s="269">
        <v>172953.25990999999</v>
      </c>
      <c r="P38" s="269">
        <v>220549.84688</v>
      </c>
      <c r="Q38" s="269">
        <v>230186.84327000001</v>
      </c>
      <c r="R38" s="269">
        <v>210305.65125</v>
      </c>
      <c r="S38" s="269">
        <v>264857.65859999997</v>
      </c>
      <c r="T38" s="269">
        <v>268726.12008999998</v>
      </c>
      <c r="U38" s="269">
        <v>266162.86888999998</v>
      </c>
      <c r="V38" s="269">
        <v>280656.44909697073</v>
      </c>
      <c r="W38" s="264"/>
      <c r="X38" s="445">
        <f t="shared" si="50"/>
        <v>5.4453802167877319E-2</v>
      </c>
      <c r="Y38" s="445">
        <f t="shared" si="51"/>
        <v>0.33451691587375132</v>
      </c>
    </row>
    <row r="39" spans="1:28" ht="13" customHeight="1">
      <c r="B39" s="670" t="str">
        <f>IF('Summary | Sumário'!D$6=Names!B$3,Names!O35,Names!P35)</f>
        <v>Personal</v>
      </c>
      <c r="C39" s="264">
        <v>0</v>
      </c>
      <c r="D39" s="264">
        <v>194589.16927000001</v>
      </c>
      <c r="E39" s="264">
        <f t="shared" si="52"/>
        <v>319455.67200000002</v>
      </c>
      <c r="F39" s="264">
        <f t="shared" si="53"/>
        <v>583197.69805000001</v>
      </c>
      <c r="G39" s="264">
        <f t="shared" si="54"/>
        <v>1117470</v>
      </c>
      <c r="H39" s="264">
        <v>63981.644999999997</v>
      </c>
      <c r="I39" s="264">
        <v>73178.934000000008</v>
      </c>
      <c r="J39" s="264">
        <v>85052.814000000013</v>
      </c>
      <c r="K39" s="264">
        <v>97242.27900000001</v>
      </c>
      <c r="L39" s="264">
        <v>108222.83400999999</v>
      </c>
      <c r="M39" s="264">
        <v>133460.16244000001</v>
      </c>
      <c r="N39" s="264">
        <v>159493.41924999998</v>
      </c>
      <c r="O39" s="264">
        <v>182021.28234999996</v>
      </c>
      <c r="P39" s="264">
        <v>223476.20140999998</v>
      </c>
      <c r="Q39" s="264">
        <v>318868.07952999993</v>
      </c>
      <c r="R39" s="264">
        <v>215827.96117000002</v>
      </c>
      <c r="S39" s="264">
        <v>359297.75789000001</v>
      </c>
      <c r="T39" s="264">
        <v>275126</v>
      </c>
      <c r="U39" s="264">
        <v>204785.36600000001</v>
      </c>
      <c r="V39" s="264">
        <v>355360.76014069055</v>
      </c>
      <c r="W39" s="264"/>
      <c r="X39" s="446">
        <f t="shared" si="50"/>
        <v>0.73528395647514455</v>
      </c>
      <c r="Y39" s="446">
        <f t="shared" si="51"/>
        <v>0.64650010227722765</v>
      </c>
    </row>
    <row r="40" spans="1:28" ht="13" customHeight="1">
      <c r="B40" s="108" t="str">
        <f>IF('Summary | Sumário'!D$6=Names!B$3,Names!O36,Names!P36)</f>
        <v>SME</v>
      </c>
      <c r="C40" s="269">
        <v>0</v>
      </c>
      <c r="D40" s="269">
        <v>59990.754910000003</v>
      </c>
      <c r="E40" s="269">
        <f t="shared" si="52"/>
        <v>186131.85699999999</v>
      </c>
      <c r="F40" s="269">
        <f t="shared" si="53"/>
        <v>450650.24199999997</v>
      </c>
      <c r="G40" s="269">
        <f t="shared" si="54"/>
        <v>521929</v>
      </c>
      <c r="H40" s="269">
        <v>20454.21</v>
      </c>
      <c r="I40" s="269">
        <v>37744.78</v>
      </c>
      <c r="J40" s="269">
        <v>42772.136999999988</v>
      </c>
      <c r="K40" s="269">
        <v>85160.73000000001</v>
      </c>
      <c r="L40" s="269">
        <v>84615.255999999994</v>
      </c>
      <c r="M40" s="269">
        <v>107134.802</v>
      </c>
      <c r="N40" s="269">
        <v>112397.92600000002</v>
      </c>
      <c r="O40" s="269">
        <v>146502.258</v>
      </c>
      <c r="P40" s="269">
        <v>124265.87599999999</v>
      </c>
      <c r="Q40" s="269">
        <v>120750</v>
      </c>
      <c r="R40" s="269">
        <v>131787.38165</v>
      </c>
      <c r="S40" s="269">
        <v>145125.74235000001</v>
      </c>
      <c r="T40" s="269">
        <v>124639</v>
      </c>
      <c r="U40" s="269">
        <v>152217.704</v>
      </c>
      <c r="V40" s="269">
        <v>145605.60854807668</v>
      </c>
      <c r="W40" s="264"/>
      <c r="X40" s="445">
        <f t="shared" si="50"/>
        <v>-4.3438412734981946E-2</v>
      </c>
      <c r="Y40" s="445">
        <f t="shared" si="51"/>
        <v>0.10485242763814084</v>
      </c>
    </row>
    <row r="41" spans="1:28" ht="13" customHeight="1">
      <c r="B41" s="670" t="str">
        <f>IF('Summary | Sumário'!D$6=Names!B$3,Names!O37,Names!P37)</f>
        <v>Credit Cards</v>
      </c>
      <c r="C41" s="264">
        <v>0</v>
      </c>
      <c r="D41" s="264">
        <v>118278.86974999998</v>
      </c>
      <c r="E41" s="264">
        <f t="shared" si="52"/>
        <v>245100.40700000001</v>
      </c>
      <c r="F41" s="264">
        <f t="shared" si="53"/>
        <v>717577.09288999997</v>
      </c>
      <c r="G41" s="264">
        <f t="shared" si="54"/>
        <v>1246489</v>
      </c>
      <c r="H41" s="264">
        <v>44269.502</v>
      </c>
      <c r="I41" s="264">
        <v>45538.873</v>
      </c>
      <c r="J41" s="264">
        <v>66073.068999999989</v>
      </c>
      <c r="K41" s="264">
        <v>89218.963000000018</v>
      </c>
      <c r="L41" s="264">
        <v>109464.90658000001</v>
      </c>
      <c r="M41" s="264">
        <v>137867.95378000001</v>
      </c>
      <c r="N41" s="264">
        <v>231785.95109000002</v>
      </c>
      <c r="O41" s="264">
        <v>238458.28143999999</v>
      </c>
      <c r="P41" s="264">
        <v>272598.95357000001</v>
      </c>
      <c r="Q41" s="264">
        <v>306514.12313000002</v>
      </c>
      <c r="R41" s="264">
        <v>333795.27627999999</v>
      </c>
      <c r="S41" s="264">
        <v>333580.64701999992</v>
      </c>
      <c r="T41" s="264">
        <v>352400</v>
      </c>
      <c r="U41" s="264">
        <v>369047.58500000002</v>
      </c>
      <c r="V41" s="264">
        <v>379767.67666355899</v>
      </c>
      <c r="W41" s="264"/>
      <c r="X41" s="446">
        <f t="shared" si="50"/>
        <v>2.9047992994071459E-2</v>
      </c>
      <c r="Y41" s="446">
        <f t="shared" si="51"/>
        <v>0.13772633602218987</v>
      </c>
    </row>
    <row r="42" spans="1:28" ht="13" customHeight="1">
      <c r="B42" s="109" t="str">
        <f>IF('Summary | Sumário'!D$6=Names!B$3,Names!O45,Names!P45)</f>
        <v>Prepayment of receivables</v>
      </c>
      <c r="C42" s="269">
        <v>0</v>
      </c>
      <c r="D42" s="269">
        <v>793.77571</v>
      </c>
      <c r="E42" s="269">
        <f t="shared" si="52"/>
        <v>12540.518</v>
      </c>
      <c r="F42" s="269">
        <f t="shared" si="53"/>
        <v>101704.27800000001</v>
      </c>
      <c r="G42" s="269">
        <f t="shared" si="54"/>
        <v>242443</v>
      </c>
      <c r="H42" s="269">
        <v>2554.556</v>
      </c>
      <c r="I42" s="269">
        <v>2758.1950000000002</v>
      </c>
      <c r="J42" s="269">
        <v>1333.1729999999998</v>
      </c>
      <c r="K42" s="269">
        <v>5894.594000000001</v>
      </c>
      <c r="L42" s="269">
        <v>5242.8329999999996</v>
      </c>
      <c r="M42" s="269">
        <v>17718.065000000002</v>
      </c>
      <c r="N42" s="269">
        <v>32903.998999999996</v>
      </c>
      <c r="O42" s="269">
        <v>45839.381000000008</v>
      </c>
      <c r="P42" s="269">
        <v>64806.196000000004</v>
      </c>
      <c r="Q42" s="269">
        <v>59977</v>
      </c>
      <c r="R42" s="269">
        <v>60383</v>
      </c>
      <c r="S42" s="269">
        <v>57276.804000000004</v>
      </c>
      <c r="T42" s="269">
        <v>59662</v>
      </c>
      <c r="U42" s="269">
        <v>53645.453999999998</v>
      </c>
      <c r="V42" s="269">
        <v>136932.53951</v>
      </c>
      <c r="W42" s="264"/>
      <c r="X42" s="445">
        <f t="shared" si="50"/>
        <v>1.5525469410697879</v>
      </c>
      <c r="Y42" s="445">
        <f t="shared" si="51"/>
        <v>1.2677332943046884</v>
      </c>
    </row>
    <row r="43" spans="1:28" ht="13" customHeight="1">
      <c r="B43" s="671" t="str">
        <f>IF('Summary | Sumário'!D$6=Names!B$3,Names!O39,Names!P39)</f>
        <v>Amounts due from financial institutions</v>
      </c>
      <c r="C43" s="264">
        <v>139642</v>
      </c>
      <c r="D43" s="264">
        <v>126619</v>
      </c>
      <c r="E43" s="264">
        <f t="shared" si="52"/>
        <v>71106.437999999995</v>
      </c>
      <c r="F43" s="264">
        <f t="shared" si="53"/>
        <v>221136.43900000001</v>
      </c>
      <c r="G43" s="264">
        <f t="shared" si="54"/>
        <v>497054</v>
      </c>
      <c r="H43" s="264">
        <v>14427.704</v>
      </c>
      <c r="I43" s="264">
        <v>7946.8799999999992</v>
      </c>
      <c r="J43" s="264">
        <v>24631.656000000003</v>
      </c>
      <c r="K43" s="264">
        <v>24100.197999999997</v>
      </c>
      <c r="L43" s="264">
        <v>30138.153999999999</v>
      </c>
      <c r="M43" s="264">
        <v>31814.657000000003</v>
      </c>
      <c r="N43" s="264">
        <v>78399.862000000008</v>
      </c>
      <c r="O43" s="264">
        <v>80783.765999999989</v>
      </c>
      <c r="P43" s="264">
        <v>97468.479000000007</v>
      </c>
      <c r="Q43" s="264">
        <v>114751</v>
      </c>
      <c r="R43" s="264">
        <v>147490</v>
      </c>
      <c r="S43" s="264">
        <v>137344.52100000001</v>
      </c>
      <c r="T43" s="264">
        <v>117428</v>
      </c>
      <c r="U43" s="264">
        <v>99401.437999999995</v>
      </c>
      <c r="V43" s="264">
        <v>71615.898989999943</v>
      </c>
      <c r="W43" s="264"/>
      <c r="X43" s="446">
        <f t="shared" si="50"/>
        <v>-0.27952854172995012</v>
      </c>
      <c r="Y43" s="446">
        <f t="shared" si="51"/>
        <v>-0.51443556180080041</v>
      </c>
      <c r="Z43" s="174"/>
      <c r="AA43" s="174"/>
    </row>
    <row r="44" spans="1:28" ht="13" customHeight="1">
      <c r="A44" s="249"/>
      <c r="B44" s="109" t="str">
        <f>IF('Summary | Sumário'!D$6=Names!B$3,Names!O41,Names!P41)</f>
        <v xml:space="preserve">Others </v>
      </c>
      <c r="C44" s="269">
        <v>0</v>
      </c>
      <c r="D44" s="269">
        <v>7364.6793500000003</v>
      </c>
      <c r="E44" s="269">
        <f t="shared" si="52"/>
        <v>21586.092000000001</v>
      </c>
      <c r="F44" s="269">
        <f t="shared" si="53"/>
        <v>14380.906109999991</v>
      </c>
      <c r="G44" s="269">
        <f t="shared" si="54"/>
        <v>-1458</v>
      </c>
      <c r="H44" s="269">
        <v>4018.4669999999996</v>
      </c>
      <c r="I44" s="269">
        <v>2171.27</v>
      </c>
      <c r="J44" s="269">
        <v>6261.3210000000008</v>
      </c>
      <c r="K44" s="269">
        <v>9135.0339999999997</v>
      </c>
      <c r="L44" s="269">
        <v>19991.723699999999</v>
      </c>
      <c r="M44" s="269">
        <v>-14255.250900000025</v>
      </c>
      <c r="N44" s="269">
        <v>4359.5800100000179</v>
      </c>
      <c r="O44" s="269">
        <v>4284.8532999999989</v>
      </c>
      <c r="P44" s="269">
        <v>9761.2691400000185</v>
      </c>
      <c r="Q44" s="269">
        <v>57.954070000036154</v>
      </c>
      <c r="R44" s="269">
        <v>7345.8183899999567</v>
      </c>
      <c r="S44" s="269">
        <v>-18623.041600000011</v>
      </c>
      <c r="T44" s="269">
        <v>19548.879910000003</v>
      </c>
      <c r="U44" s="269">
        <v>27154.723109999999</v>
      </c>
      <c r="V44" s="269">
        <v>42282.007184334791</v>
      </c>
      <c r="W44" s="264"/>
      <c r="X44" s="445">
        <f t="shared" si="50"/>
        <v>0.55707745621475402</v>
      </c>
      <c r="Y44" s="445">
        <f t="shared" si="51"/>
        <v>4.7559287392531138</v>
      </c>
      <c r="Z44" s="174"/>
      <c r="AA44" s="174"/>
      <c r="AB44" s="245"/>
    </row>
    <row r="45" spans="1:28" ht="13" customHeight="1">
      <c r="B45" s="16" t="str">
        <f>IF('Summary | Sumário'!D$6=Names!B$3,Names!O42,Names!P42)</f>
        <v>Interest expenses</v>
      </c>
      <c r="C45" s="264">
        <v>-256717</v>
      </c>
      <c r="D45" s="264">
        <v>-184335</v>
      </c>
      <c r="E45" s="264">
        <f t="shared" si="52"/>
        <v>-543242</v>
      </c>
      <c r="F45" s="264">
        <f t="shared" si="53"/>
        <v>-1972850</v>
      </c>
      <c r="G45" s="264">
        <f t="shared" si="54"/>
        <v>-2887573.0049999999</v>
      </c>
      <c r="H45" s="264">
        <v>-65559</v>
      </c>
      <c r="I45" s="264">
        <v>-86261</v>
      </c>
      <c r="J45" s="264">
        <v>-138587</v>
      </c>
      <c r="K45" s="264">
        <v>-252835</v>
      </c>
      <c r="L45" s="264">
        <v>-336771</v>
      </c>
      <c r="M45" s="264">
        <v>-465041</v>
      </c>
      <c r="N45" s="264">
        <v>-579678</v>
      </c>
      <c r="O45" s="264">
        <v>-591360</v>
      </c>
      <c r="P45" s="264">
        <v>-672771</v>
      </c>
      <c r="Q45" s="264">
        <v>-692206</v>
      </c>
      <c r="R45" s="264">
        <v>-770398</v>
      </c>
      <c r="S45" s="264">
        <v>-752198.00500000012</v>
      </c>
      <c r="T45" s="264">
        <v>-762246.89030000009</v>
      </c>
      <c r="U45" s="264">
        <v>-772642.60900000005</v>
      </c>
      <c r="V45" s="264">
        <v>-835617.71799999999</v>
      </c>
      <c r="W45" s="264"/>
      <c r="X45" s="446">
        <f t="shared" si="50"/>
        <v>8.1506130087112494E-2</v>
      </c>
      <c r="Y45" s="446">
        <f t="shared" si="51"/>
        <v>8.4657174603256946E-2</v>
      </c>
      <c r="Z45" s="174"/>
      <c r="AA45" s="174"/>
    </row>
    <row r="46" spans="1:28" ht="13" customHeight="1">
      <c r="B46" s="109" t="str">
        <f>IF('Summary | Sumário'!D$6=Names!B$3,Names!O51,Names!P51)</f>
        <v>Term deposits</v>
      </c>
      <c r="C46" s="269">
        <v>0</v>
      </c>
      <c r="D46" s="269">
        <v>-93319</v>
      </c>
      <c r="E46" s="269">
        <f t="shared" si="52"/>
        <v>-274240.897</v>
      </c>
      <c r="F46" s="269">
        <f t="shared" si="53"/>
        <v>-1028816.8320000001</v>
      </c>
      <c r="G46" s="269">
        <f t="shared" si="54"/>
        <v>-1631470</v>
      </c>
      <c r="H46" s="269">
        <v>-25065.286</v>
      </c>
      <c r="I46" s="269">
        <v>-45288.006000000001</v>
      </c>
      <c r="J46" s="269">
        <v>-78002.811000000016</v>
      </c>
      <c r="K46" s="269">
        <v>-125884.79399999999</v>
      </c>
      <c r="L46" s="269">
        <v>-177604.02900000001</v>
      </c>
      <c r="M46" s="269">
        <v>-239713.47799999997</v>
      </c>
      <c r="N46" s="269">
        <v>-301469.19900000002</v>
      </c>
      <c r="O46" s="269">
        <v>-310030.12600000005</v>
      </c>
      <c r="P46" s="269">
        <v>-354160.50099999999</v>
      </c>
      <c r="Q46" s="269">
        <v>-382393</v>
      </c>
      <c r="R46" s="269">
        <v>-448514</v>
      </c>
      <c r="S46" s="269">
        <v>-446402.49900000007</v>
      </c>
      <c r="T46" s="269">
        <v>-432672.71377999999</v>
      </c>
      <c r="U46" s="269">
        <v>-447290.62900000002</v>
      </c>
      <c r="V46" s="269">
        <v>-523227.49734000018</v>
      </c>
      <c r="W46" s="264"/>
      <c r="X46" s="445">
        <f t="shared" si="50"/>
        <v>0.16977075623017401</v>
      </c>
      <c r="Y46" s="445">
        <f t="shared" si="51"/>
        <v>0.16658007852597723</v>
      </c>
      <c r="Z46" s="174"/>
      <c r="AA46" s="174"/>
    </row>
    <row r="47" spans="1:28" ht="13" customHeight="1">
      <c r="B47" s="671" t="str">
        <f>IF('Summary | Sumário'!D$6=Names!B$3,Names!O52,Names!P52)</f>
        <v>Open market capture</v>
      </c>
      <c r="C47" s="264">
        <v>0</v>
      </c>
      <c r="D47" s="264">
        <v>-73597</v>
      </c>
      <c r="E47" s="264">
        <f t="shared" si="52"/>
        <v>-231246.83100000001</v>
      </c>
      <c r="F47" s="264">
        <f t="shared" si="53"/>
        <v>-760511.01899999997</v>
      </c>
      <c r="G47" s="264">
        <f t="shared" si="54"/>
        <v>-1016636</v>
      </c>
      <c r="H47" s="264">
        <v>-34710.417999999998</v>
      </c>
      <c r="I47" s="264">
        <v>-35918.767</v>
      </c>
      <c r="J47" s="264">
        <v>-54855.176000000014</v>
      </c>
      <c r="K47" s="264">
        <v>-105762.47</v>
      </c>
      <c r="L47" s="264">
        <v>-137379.93400000001</v>
      </c>
      <c r="M47" s="264">
        <v>-201195.05099999998</v>
      </c>
      <c r="N47" s="264">
        <v>-197029.07000000007</v>
      </c>
      <c r="O47" s="264">
        <v>-224906.96399999992</v>
      </c>
      <c r="P47" s="264">
        <v>-271695.08500000002</v>
      </c>
      <c r="Q47" s="264">
        <v>-260418</v>
      </c>
      <c r="R47" s="264">
        <v>-247243</v>
      </c>
      <c r="S47" s="264">
        <v>-237279.91500000004</v>
      </c>
      <c r="T47" s="264">
        <v>-248176.12664000003</v>
      </c>
      <c r="U47" s="264">
        <v>-238003.67300000001</v>
      </c>
      <c r="V47" s="264">
        <v>-265782.21306999994</v>
      </c>
      <c r="W47" s="264"/>
      <c r="X47" s="446">
        <f t="shared" si="50"/>
        <v>0.11671475368365392</v>
      </c>
      <c r="Y47" s="446">
        <f t="shared" si="51"/>
        <v>7.4983773332308434E-2</v>
      </c>
      <c r="Z47" s="174"/>
      <c r="AA47" s="174"/>
    </row>
    <row r="48" spans="1:28" ht="13" customHeight="1">
      <c r="B48" s="109" t="str">
        <f>IF('Summary | Sumário'!D$6=Names!B$3,Names!O53,Names!P53)</f>
        <v>Financial institutions deposits</v>
      </c>
      <c r="C48" s="269">
        <v>0</v>
      </c>
      <c r="D48" s="269">
        <v>-5056</v>
      </c>
      <c r="E48" s="269">
        <f t="shared" si="52"/>
        <v>-8022.165</v>
      </c>
      <c r="F48" s="269">
        <f t="shared" si="53"/>
        <v>-35469.398000000001</v>
      </c>
      <c r="G48" s="269">
        <f t="shared" si="54"/>
        <v>-131020</v>
      </c>
      <c r="H48" s="269">
        <v>-217.92599999999999</v>
      </c>
      <c r="I48" s="269">
        <v>-795.05899999999997</v>
      </c>
      <c r="J48" s="269">
        <v>-2778.3970000000004</v>
      </c>
      <c r="K48" s="269">
        <v>-4230.7829999999994</v>
      </c>
      <c r="L48" s="269">
        <v>-3835.453</v>
      </c>
      <c r="M48" s="269">
        <v>-3359.3799999999997</v>
      </c>
      <c r="N48" s="269">
        <v>-7428.7410000000018</v>
      </c>
      <c r="O48" s="269">
        <v>-20845.823999999997</v>
      </c>
      <c r="P48" s="269">
        <v>-22276.928</v>
      </c>
      <c r="Q48" s="269">
        <v>-24105</v>
      </c>
      <c r="R48" s="269">
        <v>-42409</v>
      </c>
      <c r="S48" s="269">
        <v>-42229.072</v>
      </c>
      <c r="T48" s="269">
        <v>-42891.585159999995</v>
      </c>
      <c r="U48" s="269">
        <v>-42552.305</v>
      </c>
      <c r="V48" s="269">
        <v>-4549.9069599999939</v>
      </c>
      <c r="W48" s="264"/>
      <c r="X48" s="445">
        <f t="shared" si="50"/>
        <v>-0.89307495892408195</v>
      </c>
      <c r="Y48" s="445">
        <f t="shared" si="51"/>
        <v>-0.89271364663161135</v>
      </c>
      <c r="Z48" s="174"/>
      <c r="AA48" s="174"/>
    </row>
    <row r="49" spans="1:28" ht="13" customHeight="1">
      <c r="B49" s="671" t="str">
        <f>IF('Summary | Sumário'!D$6=Names!B$3,Names!O54,Names!P54)</f>
        <v>Savings</v>
      </c>
      <c r="C49" s="264">
        <v>0</v>
      </c>
      <c r="D49" s="264">
        <v>-8745</v>
      </c>
      <c r="E49" s="264">
        <f t="shared" si="52"/>
        <v>-25639.774000000001</v>
      </c>
      <c r="F49" s="264">
        <f t="shared" si="53"/>
        <v>-80993.372000000003</v>
      </c>
      <c r="G49" s="264">
        <f t="shared" si="54"/>
        <v>-91926</v>
      </c>
      <c r="H49" s="264">
        <v>-2737.674</v>
      </c>
      <c r="I49" s="264">
        <v>-4166.7550000000001</v>
      </c>
      <c r="J49" s="264">
        <v>-7301.5100000000011</v>
      </c>
      <c r="K49" s="264">
        <v>-11433.834999999999</v>
      </c>
      <c r="L49" s="264">
        <v>-17702.957999999999</v>
      </c>
      <c r="M49" s="264">
        <v>-19864.777000000002</v>
      </c>
      <c r="N49" s="264">
        <v>-21620.343000000001</v>
      </c>
      <c r="O49" s="264">
        <v>-21805.294000000002</v>
      </c>
      <c r="P49" s="264">
        <v>-22812.173999999999</v>
      </c>
      <c r="Q49" s="264">
        <v>-22937</v>
      </c>
      <c r="R49" s="264">
        <v>-24012</v>
      </c>
      <c r="S49" s="264">
        <v>-22164.826000000001</v>
      </c>
      <c r="T49" s="264">
        <v>-23452.67596</v>
      </c>
      <c r="U49" s="264">
        <v>-24598.885999999999</v>
      </c>
      <c r="V49" s="264">
        <v>-26986.819459999995</v>
      </c>
      <c r="W49" s="264"/>
      <c r="X49" s="446">
        <f t="shared" si="50"/>
        <v>9.707486184536962E-2</v>
      </c>
      <c r="Y49" s="446">
        <f t="shared" si="51"/>
        <v>0.12388886640013297</v>
      </c>
      <c r="Z49" s="174"/>
      <c r="AA49" s="174"/>
    </row>
    <row r="50" spans="1:28" ht="13" customHeight="1">
      <c r="B50" s="109" t="str">
        <f>IF('Summary | Sumário'!D$6=Names!B$3,Names!O55,Names!P55)</f>
        <v xml:space="preserve">Others </v>
      </c>
      <c r="C50" s="269">
        <v>0</v>
      </c>
      <c r="D50" s="269">
        <v>7364.6793500000003</v>
      </c>
      <c r="E50" s="269">
        <f t="shared" si="52"/>
        <v>21586.092000000001</v>
      </c>
      <c r="F50" s="269">
        <f t="shared" si="53"/>
        <v>14380.906109999991</v>
      </c>
      <c r="G50" s="269">
        <f t="shared" si="54"/>
        <v>-1458</v>
      </c>
      <c r="H50" s="269">
        <v>4018.4669999999996</v>
      </c>
      <c r="I50" s="269">
        <v>2171.27</v>
      </c>
      <c r="J50" s="269">
        <v>6261.3210000000008</v>
      </c>
      <c r="K50" s="269">
        <v>9135.0339999999997</v>
      </c>
      <c r="L50" s="269">
        <v>19991.723699999999</v>
      </c>
      <c r="M50" s="269">
        <v>-14255.250900000025</v>
      </c>
      <c r="N50" s="269">
        <v>4359.5800100000179</v>
      </c>
      <c r="O50" s="269">
        <v>4284.8532999999989</v>
      </c>
      <c r="P50" s="269">
        <v>9761.2691400000185</v>
      </c>
      <c r="Q50" s="269">
        <v>57.954070000036154</v>
      </c>
      <c r="R50" s="269">
        <v>7345.8183899999567</v>
      </c>
      <c r="S50" s="269">
        <v>-18623.041600000011</v>
      </c>
      <c r="T50" s="269">
        <v>19548.879910000003</v>
      </c>
      <c r="U50" s="269">
        <v>27154.723109999999</v>
      </c>
      <c r="V50" s="269">
        <v>42282.007184334791</v>
      </c>
      <c r="W50" s="264"/>
      <c r="X50" s="445">
        <f t="shared" si="50"/>
        <v>0.55707745621475402</v>
      </c>
      <c r="Y50" s="445">
        <f t="shared" si="51"/>
        <v>4.7559287392531138</v>
      </c>
      <c r="Z50" s="174"/>
      <c r="AA50" s="174"/>
    </row>
    <row r="51" spans="1:28" ht="13" customHeight="1">
      <c r="B51" s="16" t="str">
        <f>IF('Summary | Sumário'!D$6=Names!B$3,Names!O56,Names!P56)</f>
        <v>Income from securities and derivatives</v>
      </c>
      <c r="C51" s="264">
        <v>66753</v>
      </c>
      <c r="D51" s="264">
        <v>-42358</v>
      </c>
      <c r="E51" s="264">
        <f t="shared" si="52"/>
        <v>697283</v>
      </c>
      <c r="F51" s="264">
        <f t="shared" si="53"/>
        <v>1505621</v>
      </c>
      <c r="G51" s="264">
        <f t="shared" si="54"/>
        <v>1545835</v>
      </c>
      <c r="H51" s="264">
        <v>68136</v>
      </c>
      <c r="I51" s="264">
        <v>82897</v>
      </c>
      <c r="J51" s="264">
        <v>218551</v>
      </c>
      <c r="K51" s="264">
        <v>327699</v>
      </c>
      <c r="L51" s="264">
        <v>359022</v>
      </c>
      <c r="M51" s="264">
        <v>403816</v>
      </c>
      <c r="N51" s="264">
        <v>346923</v>
      </c>
      <c r="O51" s="264">
        <v>395860</v>
      </c>
      <c r="P51" s="264">
        <v>371406</v>
      </c>
      <c r="Q51" s="264">
        <v>343176</v>
      </c>
      <c r="R51" s="264">
        <v>482020</v>
      </c>
      <c r="S51" s="264">
        <v>349233</v>
      </c>
      <c r="T51" s="264">
        <v>515381</v>
      </c>
      <c r="U51" s="264">
        <v>629895.19700000004</v>
      </c>
      <c r="V51" s="264">
        <v>558156.91700000002</v>
      </c>
      <c r="W51" s="264"/>
      <c r="X51" s="446">
        <f t="shared" si="50"/>
        <v>-0.11388923163991049</v>
      </c>
      <c r="Y51" s="446">
        <f t="shared" si="51"/>
        <v>0.15795385461184197</v>
      </c>
      <c r="Z51" s="174"/>
      <c r="AA51" s="174"/>
    </row>
    <row r="52" spans="1:28" ht="13" customHeight="1">
      <c r="B52" s="109" t="str">
        <f>IF('Summary | Sumário'!D$6=Names!B$3,Names!O57,Names!P57)</f>
        <v>Income from securities</v>
      </c>
      <c r="C52" s="269">
        <v>62518</v>
      </c>
      <c r="D52" s="269">
        <v>12060</v>
      </c>
      <c r="E52" s="269">
        <f t="shared" si="52"/>
        <v>745613</v>
      </c>
      <c r="F52" s="269">
        <f t="shared" si="53"/>
        <v>1471737</v>
      </c>
      <c r="G52" s="269">
        <f t="shared" si="54"/>
        <v>1615108</v>
      </c>
      <c r="H52" s="269">
        <v>88068</v>
      </c>
      <c r="I52" s="269">
        <v>106662</v>
      </c>
      <c r="J52" s="269">
        <v>228420</v>
      </c>
      <c r="K52" s="269">
        <v>322463</v>
      </c>
      <c r="L52" s="269">
        <v>348013</v>
      </c>
      <c r="M52" s="269">
        <v>406846</v>
      </c>
      <c r="N52" s="269">
        <v>340982</v>
      </c>
      <c r="O52" s="269">
        <v>375896</v>
      </c>
      <c r="P52" s="269">
        <v>370924</v>
      </c>
      <c r="Q52" s="269">
        <v>402038</v>
      </c>
      <c r="R52" s="269">
        <v>417887</v>
      </c>
      <c r="S52" s="269">
        <v>424259</v>
      </c>
      <c r="T52" s="269">
        <v>446719</v>
      </c>
      <c r="U52" s="269">
        <v>456585.37339384999</v>
      </c>
      <c r="V52" s="269">
        <v>513730.97771802288</v>
      </c>
      <c r="W52" s="264"/>
      <c r="X52" s="445">
        <f t="shared" si="50"/>
        <v>0.12515863988240183</v>
      </c>
      <c r="Y52" s="445">
        <f t="shared" si="51"/>
        <v>0.22935381506967878</v>
      </c>
      <c r="Z52" s="174"/>
      <c r="AA52" s="174"/>
    </row>
    <row r="53" spans="1:28" ht="13" customHeight="1">
      <c r="B53" s="670" t="str">
        <f>IF('Summary | Sumário'!D$6=Names!B$3,Names!O58,Names!P58)</f>
        <v>Fair value throught other comprehensive income</v>
      </c>
      <c r="C53" s="264">
        <v>49230</v>
      </c>
      <c r="D53" s="264">
        <v>-7110</v>
      </c>
      <c r="E53" s="264">
        <f t="shared" si="52"/>
        <v>660584</v>
      </c>
      <c r="F53" s="264">
        <f t="shared" si="53"/>
        <v>1100970</v>
      </c>
      <c r="G53" s="264">
        <f t="shared" si="54"/>
        <v>1284794</v>
      </c>
      <c r="H53" s="264">
        <v>82568</v>
      </c>
      <c r="I53" s="264">
        <v>86703</v>
      </c>
      <c r="J53" s="264">
        <v>221395</v>
      </c>
      <c r="K53" s="264">
        <v>269918</v>
      </c>
      <c r="L53" s="264">
        <v>272383</v>
      </c>
      <c r="M53" s="264">
        <v>328769</v>
      </c>
      <c r="N53" s="264">
        <v>217653</v>
      </c>
      <c r="O53" s="264">
        <v>282165</v>
      </c>
      <c r="P53" s="264">
        <v>288695</v>
      </c>
      <c r="Q53" s="264">
        <v>295458</v>
      </c>
      <c r="R53" s="264">
        <v>333051</v>
      </c>
      <c r="S53" s="264">
        <v>367590</v>
      </c>
      <c r="T53" s="264">
        <v>380391.57521807228</v>
      </c>
      <c r="U53" s="264">
        <v>381322.39837999997</v>
      </c>
      <c r="V53" s="264">
        <v>406807.95432000008</v>
      </c>
      <c r="W53" s="264"/>
      <c r="X53" s="446">
        <f t="shared" si="50"/>
        <v>6.6834668113576079E-2</v>
      </c>
      <c r="Y53" s="446">
        <f t="shared" si="51"/>
        <v>0.22145843825720402</v>
      </c>
      <c r="Z53" s="174"/>
      <c r="AA53" s="174"/>
    </row>
    <row r="54" spans="1:28" ht="13" customHeight="1">
      <c r="B54" s="108" t="str">
        <f>IF('Summary | Sumário'!D$6=Names!B$3,Names!O59,Names!P59)</f>
        <v>Fair value through proft or loss</v>
      </c>
      <c r="C54" s="269">
        <v>10422</v>
      </c>
      <c r="D54" s="269">
        <v>2021</v>
      </c>
      <c r="E54" s="269">
        <f t="shared" si="52"/>
        <v>-58754</v>
      </c>
      <c r="F54" s="269">
        <f t="shared" si="53"/>
        <v>209400</v>
      </c>
      <c r="G54" s="269">
        <f t="shared" si="54"/>
        <v>194250</v>
      </c>
      <c r="H54" s="269">
        <v>-320</v>
      </c>
      <c r="I54" s="269">
        <v>8357</v>
      </c>
      <c r="J54" s="269">
        <v>4751</v>
      </c>
      <c r="K54" s="269">
        <v>-71542</v>
      </c>
      <c r="L54" s="269">
        <v>47341</v>
      </c>
      <c r="M54" s="269">
        <v>35635</v>
      </c>
      <c r="N54" s="269">
        <v>45470</v>
      </c>
      <c r="O54" s="269">
        <v>80954</v>
      </c>
      <c r="P54" s="269">
        <v>39277</v>
      </c>
      <c r="Q54" s="269">
        <v>55362</v>
      </c>
      <c r="R54" s="269">
        <v>52227</v>
      </c>
      <c r="S54" s="269">
        <v>47384</v>
      </c>
      <c r="T54" s="269">
        <v>49225.531450000009</v>
      </c>
      <c r="U54" s="269">
        <v>63157.945570000011</v>
      </c>
      <c r="V54" s="269">
        <v>102108.89573000005</v>
      </c>
      <c r="W54" s="264"/>
      <c r="X54" s="445">
        <f t="shared" si="50"/>
        <v>0.61672288115878349</v>
      </c>
      <c r="Y54" s="445">
        <f t="shared" si="51"/>
        <v>0.95509785608976294</v>
      </c>
      <c r="Z54" s="174"/>
      <c r="AA54" s="174"/>
    </row>
    <row r="55" spans="1:28" ht="13" customHeight="1">
      <c r="B55" s="670" t="str">
        <f>IF('Summary | Sumário'!D$6=Names!B$3,Names!O60,Names!P60)</f>
        <v>Amortized cost</v>
      </c>
      <c r="C55" s="264">
        <v>2866</v>
      </c>
      <c r="D55" s="264">
        <v>17149</v>
      </c>
      <c r="E55" s="264">
        <f t="shared" si="52"/>
        <v>143783</v>
      </c>
      <c r="F55" s="264">
        <f t="shared" si="53"/>
        <v>161367</v>
      </c>
      <c r="G55" s="264">
        <f t="shared" si="54"/>
        <v>136064</v>
      </c>
      <c r="H55" s="264">
        <v>5820</v>
      </c>
      <c r="I55" s="264">
        <v>11602</v>
      </c>
      <c r="J55" s="264">
        <v>2274</v>
      </c>
      <c r="K55" s="264">
        <v>124087</v>
      </c>
      <c r="L55" s="264">
        <v>28289</v>
      </c>
      <c r="M55" s="264">
        <v>42442</v>
      </c>
      <c r="N55" s="264">
        <v>77859</v>
      </c>
      <c r="O55" s="264">
        <v>12777</v>
      </c>
      <c r="P55" s="264">
        <v>42952</v>
      </c>
      <c r="Q55" s="264">
        <v>51218</v>
      </c>
      <c r="R55" s="264">
        <v>32609</v>
      </c>
      <c r="S55" s="264">
        <v>9285</v>
      </c>
      <c r="T55" s="264">
        <v>17100.697370000002</v>
      </c>
      <c r="U55" s="264">
        <v>12105.029443849995</v>
      </c>
      <c r="V55" s="264">
        <v>4814.1276680228375</v>
      </c>
      <c r="W55" s="264"/>
      <c r="X55" s="446">
        <f t="shared" si="50"/>
        <v>-0.60230351439015517</v>
      </c>
      <c r="Y55" s="446">
        <f t="shared" si="51"/>
        <v>-0.85236812941142515</v>
      </c>
      <c r="Z55" s="174"/>
      <c r="AA55" s="174"/>
    </row>
    <row r="56" spans="1:28" ht="13" customHeight="1">
      <c r="B56" s="109" t="str">
        <f>IF('Summary | Sumário'!D$6=Names!B$3,Names!O61,Names!P61)</f>
        <v>Income from derivatives</v>
      </c>
      <c r="C56" s="269">
        <v>4235</v>
      </c>
      <c r="D56" s="269">
        <v>-54418</v>
      </c>
      <c r="E56" s="269">
        <f t="shared" si="52"/>
        <v>-48330.334000000003</v>
      </c>
      <c r="F56" s="269">
        <f t="shared" si="53"/>
        <v>33884.103000000003</v>
      </c>
      <c r="G56" s="269">
        <f t="shared" si="54"/>
        <v>-69273</v>
      </c>
      <c r="H56" s="269">
        <v>-19931.596000000001</v>
      </c>
      <c r="I56" s="269">
        <v>-23765.403999999999</v>
      </c>
      <c r="J56" s="269">
        <v>-9869</v>
      </c>
      <c r="K56" s="269">
        <v>5235.6660000000011</v>
      </c>
      <c r="L56" s="269">
        <v>11009.383000000002</v>
      </c>
      <c r="M56" s="269">
        <v>-3030.3259999999991</v>
      </c>
      <c r="N56" s="269">
        <v>5940.7360000000008</v>
      </c>
      <c r="O56" s="269">
        <v>19964.310000000001</v>
      </c>
      <c r="P56" s="269">
        <v>482.30199999999968</v>
      </c>
      <c r="Q56" s="269">
        <v>-58862</v>
      </c>
      <c r="R56" s="269">
        <v>64133.019220000024</v>
      </c>
      <c r="S56" s="269">
        <v>-75026.321220000013</v>
      </c>
      <c r="T56" s="269">
        <v>68661.610820000031</v>
      </c>
      <c r="U56" s="269">
        <v>173310.82241000002</v>
      </c>
      <c r="V56" s="269">
        <v>44424.709440000101</v>
      </c>
      <c r="W56" s="264"/>
      <c r="X56" s="445">
        <f t="shared" si="50"/>
        <v>-0.74367030966534264</v>
      </c>
      <c r="Y56" s="445">
        <f t="shared" si="51"/>
        <v>-0.30730363266374716</v>
      </c>
      <c r="Z56" s="174"/>
      <c r="AA56" s="174"/>
    </row>
    <row r="57" spans="1:28" ht="13" customHeight="1">
      <c r="B57" s="670" t="str">
        <f>IF('Summary | Sumário'!D$6=Names!B$3,Names!O62,Names!P62)</f>
        <v>Future contracts dolar</v>
      </c>
      <c r="C57" s="264">
        <v>0</v>
      </c>
      <c r="D57" s="264">
        <v>80</v>
      </c>
      <c r="E57" s="264">
        <f t="shared" si="52"/>
        <v>2839.3969999999999</v>
      </c>
      <c r="F57" s="264">
        <f t="shared" si="53"/>
        <v>34984.461000000003</v>
      </c>
      <c r="G57" s="264">
        <f t="shared" si="54"/>
        <v>33250</v>
      </c>
      <c r="H57" s="264">
        <v>47</v>
      </c>
      <c r="I57" s="264">
        <v>-27</v>
      </c>
      <c r="J57" s="264">
        <v>-486</v>
      </c>
      <c r="K57" s="264">
        <v>3305.3969999999999</v>
      </c>
      <c r="L57" s="264">
        <v>26420.572</v>
      </c>
      <c r="M57" s="264">
        <v>431.68600000000151</v>
      </c>
      <c r="N57" s="264">
        <v>3805.4429999999993</v>
      </c>
      <c r="O57" s="264">
        <v>4326.760000000002</v>
      </c>
      <c r="P57" s="264">
        <v>13826.72</v>
      </c>
      <c r="Q57" s="264">
        <v>7133</v>
      </c>
      <c r="R57" s="264">
        <v>-2828.2197999999735</v>
      </c>
      <c r="S57" s="264">
        <v>15118.499799999972</v>
      </c>
      <c r="T57" s="264">
        <v>3594.1129100000003</v>
      </c>
      <c r="U57" s="264">
        <v>-22517.600689999996</v>
      </c>
      <c r="V57" s="264">
        <v>22983.88240000001</v>
      </c>
      <c r="W57" s="264"/>
      <c r="X57" s="446">
        <f t="shared" si="50"/>
        <v>-2.0207074331061872</v>
      </c>
      <c r="Y57" s="446">
        <f t="shared" si="51"/>
        <v>-9.1266252361291809</v>
      </c>
      <c r="Z57" s="174"/>
      <c r="AA57" s="174"/>
    </row>
    <row r="58" spans="1:28" ht="13" customHeight="1">
      <c r="B58" s="108" t="str">
        <f>IF('Summary | Sumário'!D$6=Names!B$3,Names!O63,Names!P63)</f>
        <v>Fixed-term contracts</v>
      </c>
      <c r="C58" s="269">
        <v>4337</v>
      </c>
      <c r="D58" s="269">
        <v>305</v>
      </c>
      <c r="E58" s="269">
        <f t="shared" si="52"/>
        <v>8987.2690000000002</v>
      </c>
      <c r="F58" s="269">
        <f t="shared" si="53"/>
        <v>4475.3869999999997</v>
      </c>
      <c r="G58" s="269">
        <f t="shared" si="54"/>
        <v>-2445</v>
      </c>
      <c r="H58" s="269">
        <v>239.404</v>
      </c>
      <c r="I58" s="269">
        <v>259.596</v>
      </c>
      <c r="J58" s="269">
        <v>165</v>
      </c>
      <c r="K58" s="269">
        <v>8323.2690000000002</v>
      </c>
      <c r="L58" s="269">
        <v>444.61500000000001</v>
      </c>
      <c r="M58" s="269">
        <v>647.42100000000005</v>
      </c>
      <c r="N58" s="269">
        <v>47.963999999999942</v>
      </c>
      <c r="O58" s="269">
        <v>3335.3869999999997</v>
      </c>
      <c r="P58" s="269">
        <v>3045.3519999999999</v>
      </c>
      <c r="Q58" s="269">
        <v>-5487</v>
      </c>
      <c r="R58" s="269">
        <v>-824.76097999999956</v>
      </c>
      <c r="S58" s="269">
        <v>821.4089799999997</v>
      </c>
      <c r="T58" s="269">
        <v>-1212.2091199999995</v>
      </c>
      <c r="U58" s="269">
        <v>15228.915119999998</v>
      </c>
      <c r="V58" s="269">
        <v>6567.7451399999991</v>
      </c>
      <c r="W58" s="264"/>
      <c r="X58" s="445">
        <f t="shared" si="50"/>
        <v>-0.56873190977506738</v>
      </c>
      <c r="Y58" s="445">
        <f t="shared" si="51"/>
        <v>-8.9632103109436656</v>
      </c>
      <c r="Z58" s="174"/>
      <c r="AA58" s="174"/>
    </row>
    <row r="59" spans="1:28" ht="13" customHeight="1">
      <c r="B59" s="670" t="str">
        <f>IF('Summary | Sumário'!D$6=Names!B$3,Names!O64,Names!P64)</f>
        <v>Futures contrats and swaps</v>
      </c>
      <c r="C59" s="264">
        <v>-102</v>
      </c>
      <c r="D59" s="264">
        <v>-54803</v>
      </c>
      <c r="E59" s="264">
        <f t="shared" si="52"/>
        <v>-60157</v>
      </c>
      <c r="F59" s="264">
        <f t="shared" si="53"/>
        <v>-5575.744999999999</v>
      </c>
      <c r="G59" s="264">
        <f t="shared" si="54"/>
        <v>-100078</v>
      </c>
      <c r="H59" s="264">
        <v>-20218</v>
      </c>
      <c r="I59" s="264">
        <v>-23998</v>
      </c>
      <c r="J59" s="264">
        <v>-9548</v>
      </c>
      <c r="K59" s="264">
        <v>-6393</v>
      </c>
      <c r="L59" s="264">
        <v>-15855.804</v>
      </c>
      <c r="M59" s="264">
        <v>-4109.4330000000009</v>
      </c>
      <c r="N59" s="264">
        <v>2087.3290000000015</v>
      </c>
      <c r="O59" s="264">
        <v>12302.163</v>
      </c>
      <c r="P59" s="264">
        <v>-16389.77</v>
      </c>
      <c r="Q59" s="264">
        <v>-60508</v>
      </c>
      <c r="R59" s="264">
        <v>67786</v>
      </c>
      <c r="S59" s="264">
        <v>-90966.23</v>
      </c>
      <c r="T59" s="264">
        <v>66279.707030000034</v>
      </c>
      <c r="U59" s="264">
        <v>180599.50798000002</v>
      </c>
      <c r="V59" s="264">
        <v>14873.081900000096</v>
      </c>
      <c r="W59" s="264"/>
      <c r="X59" s="446">
        <f t="shared" si="50"/>
        <v>-0.91764605526141763</v>
      </c>
      <c r="Y59" s="446">
        <f t="shared" si="51"/>
        <v>-0.7805877039506669</v>
      </c>
      <c r="Z59" s="174"/>
      <c r="AA59" s="174"/>
    </row>
    <row r="60" spans="1:28" ht="13" customHeight="1">
      <c r="B60" s="131" t="str">
        <f>IF('Summary | Sumário'!D$6=Names!B$3,Names!O65,Names!P65)</f>
        <v>Hedge accounting real estate loans</v>
      </c>
      <c r="C60" s="271">
        <v>0</v>
      </c>
      <c r="D60" s="269">
        <v>-70972.398829336977</v>
      </c>
      <c r="E60" s="269">
        <f t="shared" si="52"/>
        <v>-73354.239000000001</v>
      </c>
      <c r="F60" s="269">
        <f t="shared" si="53"/>
        <v>-27585.400999999998</v>
      </c>
      <c r="G60" s="269">
        <f t="shared" si="54"/>
        <v>-9439.8214100000023</v>
      </c>
      <c r="H60" s="269">
        <v>-16468.116999999998</v>
      </c>
      <c r="I60" s="269">
        <v>-36410.913999999997</v>
      </c>
      <c r="J60" s="269">
        <v>-2915.415</v>
      </c>
      <c r="K60" s="269">
        <v>-17559.793000000001</v>
      </c>
      <c r="L60" s="269">
        <v>-8323.277</v>
      </c>
      <c r="M60" s="269">
        <v>-14497.851000000001</v>
      </c>
      <c r="N60" s="269">
        <v>-8870.1569999999992</v>
      </c>
      <c r="O60" s="269">
        <v>4105.884</v>
      </c>
      <c r="P60" s="269">
        <v>-5114.3909999999996</v>
      </c>
      <c r="Q60" s="269">
        <v>6039.93</v>
      </c>
      <c r="R60" s="269">
        <v>6136.5408399999997</v>
      </c>
      <c r="S60" s="269">
        <v>-16501.901250000003</v>
      </c>
      <c r="T60" s="269">
        <v>26412.795423179959</v>
      </c>
      <c r="U60" s="269">
        <v>67242.322886524373</v>
      </c>
      <c r="V60" s="269">
        <v>10952.83</v>
      </c>
      <c r="W60" s="264"/>
      <c r="X60" s="445">
        <f t="shared" si="50"/>
        <v>-0.83711404469944339</v>
      </c>
      <c r="Y60" s="445">
        <f t="shared" si="51"/>
        <v>0.78485408727435457</v>
      </c>
      <c r="Z60" s="174"/>
      <c r="AA60" s="174"/>
    </row>
    <row r="61" spans="1:28" ht="13" customHeight="1">
      <c r="B61" s="672" t="str">
        <f>IF('Summary | Sumário'!D$6=Names!B$3,Names!O66,Names!P66)</f>
        <v>Hedge accounting from personal loans</v>
      </c>
      <c r="C61" s="270">
        <v>0</v>
      </c>
      <c r="D61" s="264">
        <v>0</v>
      </c>
      <c r="E61" s="264">
        <f t="shared" si="52"/>
        <v>0</v>
      </c>
      <c r="F61" s="264">
        <f t="shared" si="53"/>
        <v>0</v>
      </c>
      <c r="G61" s="264">
        <f t="shared" si="54"/>
        <v>-104805.87383</v>
      </c>
      <c r="H61" s="264">
        <v>0</v>
      </c>
      <c r="I61" s="264">
        <v>0</v>
      </c>
      <c r="J61" s="264">
        <v>0</v>
      </c>
      <c r="K61" s="264">
        <v>0</v>
      </c>
      <c r="L61" s="264">
        <v>0</v>
      </c>
      <c r="M61" s="264">
        <v>0</v>
      </c>
      <c r="N61" s="264">
        <v>0</v>
      </c>
      <c r="O61" s="264">
        <v>0</v>
      </c>
      <c r="P61" s="264">
        <v>-14277.970720000001</v>
      </c>
      <c r="Q61" s="264">
        <v>-65034.58827</v>
      </c>
      <c r="R61" s="264">
        <v>45457.766470000002</v>
      </c>
      <c r="S61" s="264">
        <v>-70951.081309999994</v>
      </c>
      <c r="T61" s="264">
        <v>42486.294860000002</v>
      </c>
      <c r="U61" s="264">
        <v>120316.48633000001</v>
      </c>
      <c r="V61" s="264">
        <v>10504.47</v>
      </c>
      <c r="W61" s="264"/>
      <c r="X61" s="446">
        <f t="shared" si="50"/>
        <v>-0.91269301223451049</v>
      </c>
      <c r="Y61" s="446">
        <f t="shared" si="51"/>
        <v>-0.76891803500877109</v>
      </c>
      <c r="Z61" s="174"/>
      <c r="AA61" s="174"/>
    </row>
    <row r="62" spans="1:28" ht="13" customHeight="1">
      <c r="B62" s="131" t="str">
        <f>IF('Summary | Sumário'!D$6=Names!B$3,Names!O67,Names!P67)</f>
        <v>Other results</v>
      </c>
      <c r="C62" s="271">
        <v>0</v>
      </c>
      <c r="D62" s="269">
        <v>16169.398829336977</v>
      </c>
      <c r="E62" s="269">
        <f t="shared" si="52"/>
        <v>13197.238999999998</v>
      </c>
      <c r="F62" s="269">
        <f t="shared" si="53"/>
        <v>22009.656000000003</v>
      </c>
      <c r="G62" s="269">
        <f t="shared" si="54"/>
        <v>14167.695240000005</v>
      </c>
      <c r="H62" s="269">
        <v>-3749.8830000000016</v>
      </c>
      <c r="I62" s="269">
        <v>12412.913999999997</v>
      </c>
      <c r="J62" s="269">
        <v>-6632.585</v>
      </c>
      <c r="K62" s="269">
        <v>11166.793000000001</v>
      </c>
      <c r="L62" s="269">
        <v>-7532.527</v>
      </c>
      <c r="M62" s="269">
        <v>10388.418</v>
      </c>
      <c r="N62" s="269">
        <v>10957.486000000001</v>
      </c>
      <c r="O62" s="269">
        <v>8196.2790000000005</v>
      </c>
      <c r="P62" s="269">
        <v>3002.5917200000004</v>
      </c>
      <c r="Q62" s="269">
        <v>-1513.3417300000001</v>
      </c>
      <c r="R62" s="269">
        <v>16191.692689999996</v>
      </c>
      <c r="S62" s="269">
        <v>-3513.2474399999919</v>
      </c>
      <c r="T62" s="269">
        <v>-2619.3832531799271</v>
      </c>
      <c r="U62" s="269">
        <v>-6959.301236524363</v>
      </c>
      <c r="V62" s="269">
        <v>-6584.2180999999036</v>
      </c>
      <c r="W62" s="264"/>
      <c r="X62" s="445">
        <f t="shared" si="50"/>
        <v>-5.3896666314129038E-2</v>
      </c>
      <c r="Y62" s="445">
        <f t="shared" si="51"/>
        <v>-1.40664174067893</v>
      </c>
      <c r="Z62" s="174"/>
      <c r="AA62" s="174"/>
    </row>
    <row r="63" spans="1:28" ht="13" customHeight="1">
      <c r="A63" s="249"/>
      <c r="B63" s="667" t="str">
        <f>IF('Summary | Sumário'!D$6=Names!B$3,Names!O44,Names!P44)</f>
        <v>Net interest income</v>
      </c>
      <c r="C63" s="668">
        <v>585551</v>
      </c>
      <c r="D63" s="668">
        <v>715962.89517999999</v>
      </c>
      <c r="E63" s="668">
        <f t="shared" si="52"/>
        <v>1589468.2459999998</v>
      </c>
      <c r="F63" s="668">
        <f t="shared" si="53"/>
        <v>2335429.0819999999</v>
      </c>
      <c r="G63" s="668">
        <f t="shared" si="54"/>
        <v>3208088.9950000001</v>
      </c>
      <c r="H63" s="668">
        <v>291580.935</v>
      </c>
      <c r="I63" s="668">
        <v>302295.75100000005</v>
      </c>
      <c r="J63" s="668">
        <v>447369.88</v>
      </c>
      <c r="K63" s="668">
        <v>548221.67999999993</v>
      </c>
      <c r="L63" s="668">
        <v>543410.63199999998</v>
      </c>
      <c r="M63" s="668">
        <v>561087.6370000001</v>
      </c>
      <c r="N63" s="668">
        <v>555587.73100000003</v>
      </c>
      <c r="O63" s="668">
        <v>675343.08199999994</v>
      </c>
      <c r="P63" s="668">
        <v>711561.82200000004</v>
      </c>
      <c r="Q63" s="668">
        <v>802075</v>
      </c>
      <c r="R63" s="668">
        <v>818557.08874000004</v>
      </c>
      <c r="S63" s="668">
        <v>875895.08425999992</v>
      </c>
      <c r="T63" s="668">
        <v>970665.10969999968</v>
      </c>
      <c r="U63" s="668">
        <v>1029666.7290000001</v>
      </c>
      <c r="V63" s="668">
        <v>1134762.2779999999</v>
      </c>
      <c r="W63" s="669"/>
      <c r="X63" s="365">
        <f t="shared" si="50"/>
        <v>0.10206753898134346</v>
      </c>
      <c r="Y63" s="365">
        <f t="shared" si="51"/>
        <v>0.38629582909938831</v>
      </c>
      <c r="Z63" s="174"/>
      <c r="AA63" s="174"/>
      <c r="AB63" s="245"/>
    </row>
    <row r="64" spans="1:28" s="193" customFormat="1" ht="13" customHeight="1">
      <c r="A64" s="262"/>
      <c r="B64" s="128"/>
      <c r="C64" s="272"/>
      <c r="D64" s="272"/>
      <c r="E64" s="272"/>
      <c r="F64" s="272"/>
      <c r="G64" s="272"/>
      <c r="H64" s="272"/>
      <c r="I64" s="272"/>
      <c r="J64" s="272"/>
      <c r="K64" s="272"/>
      <c r="L64" s="272"/>
      <c r="M64" s="272"/>
      <c r="N64" s="272"/>
      <c r="O64" s="272"/>
      <c r="P64" s="272"/>
      <c r="Q64" s="272"/>
      <c r="R64" s="272"/>
      <c r="S64" s="272"/>
      <c r="T64" s="272"/>
      <c r="U64" s="272"/>
      <c r="V64" s="272"/>
      <c r="X64" s="447"/>
      <c r="Y64" s="447"/>
    </row>
    <row r="65" spans="1:28" s="193" customFormat="1" ht="13" customHeight="1">
      <c r="A65" s="262"/>
      <c r="B65" s="52" t="str">
        <f>IF('Summary | Sumário'!D$6=Names!B$3,Names!O91,Names!P91)</f>
        <v>Interest earning credit portfolio</v>
      </c>
      <c r="X65" s="673"/>
      <c r="Y65" s="673"/>
    </row>
    <row r="66" spans="1:28" s="193" customFormat="1" ht="13" customHeight="1">
      <c r="A66" s="262"/>
      <c r="B66" s="323" t="str">
        <f>IF('Summary | Sumário'!D$6=Names!B$3,Names!O91,Names!P91)</f>
        <v>Interest earning credit portfolio</v>
      </c>
      <c r="C66" s="363">
        <f t="shared" ref="C66:R66" si="55">C67+C68+C70+C69+C73+C74</f>
        <v>0</v>
      </c>
      <c r="D66" s="363">
        <f t="shared" si="55"/>
        <v>7115627.8250000002</v>
      </c>
      <c r="E66" s="363">
        <f t="shared" ref="E66:E74" si="56">K66</f>
        <v>13392153</v>
      </c>
      <c r="F66" s="363">
        <f t="shared" ref="F66:F74" si="57">O66</f>
        <v>19132195</v>
      </c>
      <c r="G66" s="363">
        <f t="shared" ref="G66:G74" si="58">S66</f>
        <v>23530826.397</v>
      </c>
      <c r="H66" s="363">
        <f t="shared" si="55"/>
        <v>8234470.6262999987</v>
      </c>
      <c r="I66" s="363">
        <f t="shared" si="55"/>
        <v>9948556.0610000007</v>
      </c>
      <c r="J66" s="363">
        <f t="shared" si="55"/>
        <v>11676683.932</v>
      </c>
      <c r="K66" s="363">
        <f t="shared" si="55"/>
        <v>13392153</v>
      </c>
      <c r="L66" s="363">
        <f t="shared" si="55"/>
        <v>14044371.585999999</v>
      </c>
      <c r="M66" s="363">
        <f t="shared" si="55"/>
        <v>14967442.610000001</v>
      </c>
      <c r="N66" s="363">
        <f t="shared" si="55"/>
        <v>16933115</v>
      </c>
      <c r="O66" s="363">
        <f t="shared" si="55"/>
        <v>19132195</v>
      </c>
      <c r="P66" s="363">
        <f t="shared" si="55"/>
        <v>19449029.387827475</v>
      </c>
      <c r="Q66" s="363">
        <f t="shared" si="55"/>
        <v>20570399.767574593</v>
      </c>
      <c r="R66" s="363">
        <f t="shared" si="55"/>
        <v>21490809.954999998</v>
      </c>
      <c r="S66" s="363">
        <f t="shared" ref="S66:T66" si="59">S67+S68+S70+S69+S73+S74</f>
        <v>23530826.397</v>
      </c>
      <c r="T66" s="363">
        <f t="shared" si="59"/>
        <v>24208542.316270199</v>
      </c>
      <c r="U66" s="363">
        <f t="shared" ref="U66:V66" si="60">U67+U68+U70+U69+U73+U74</f>
        <v>27430402.931400001</v>
      </c>
      <c r="V66" s="363">
        <f t="shared" si="60"/>
        <v>29497015.44898</v>
      </c>
      <c r="W66" s="438"/>
      <c r="X66" s="403">
        <f t="shared" ref="X66:X74" si="61">V66/U66-1</f>
        <v>7.5340217303709878E-2</v>
      </c>
      <c r="Y66" s="403">
        <f t="shared" ref="Y66:Y74" si="62">V66/R66-1</f>
        <v>0.37254089123417611</v>
      </c>
    </row>
    <row r="67" spans="1:28" s="193" customFormat="1" ht="13" customHeight="1">
      <c r="A67" s="262"/>
      <c r="B67" s="671" t="str">
        <f>IF('Summary | Sumário'!D$6=Names!B$3,Names!O92,Names!P92)</f>
        <v>Real estate</v>
      </c>
      <c r="C67" s="222">
        <v>0</v>
      </c>
      <c r="D67" s="222">
        <f>D6</f>
        <v>3471356</v>
      </c>
      <c r="E67" s="222">
        <f t="shared" si="56"/>
        <v>5121411</v>
      </c>
      <c r="F67" s="222">
        <f t="shared" si="57"/>
        <v>6251813</v>
      </c>
      <c r="G67" s="222">
        <f t="shared" si="58"/>
        <v>8583568</v>
      </c>
      <c r="H67" s="222">
        <f t="shared" ref="H67:V67" si="63">H6</f>
        <v>3925594.9876600001</v>
      </c>
      <c r="I67" s="222">
        <f t="shared" si="63"/>
        <v>4211173</v>
      </c>
      <c r="J67" s="222">
        <f t="shared" si="63"/>
        <v>4703223</v>
      </c>
      <c r="K67" s="222">
        <f t="shared" si="63"/>
        <v>5121411</v>
      </c>
      <c r="L67" s="222">
        <f t="shared" si="63"/>
        <v>5350879</v>
      </c>
      <c r="M67" s="222">
        <f t="shared" si="63"/>
        <v>5647720</v>
      </c>
      <c r="N67" s="222">
        <f t="shared" si="63"/>
        <v>5930070</v>
      </c>
      <c r="O67" s="222">
        <f t="shared" si="63"/>
        <v>6251813</v>
      </c>
      <c r="P67" s="222">
        <f t="shared" si="63"/>
        <v>6616802</v>
      </c>
      <c r="Q67" s="222">
        <f t="shared" si="63"/>
        <v>7020433</v>
      </c>
      <c r="R67" s="222">
        <f t="shared" si="63"/>
        <v>7527810</v>
      </c>
      <c r="S67" s="222">
        <f t="shared" si="63"/>
        <v>8583568</v>
      </c>
      <c r="T67" s="222">
        <f t="shared" si="63"/>
        <v>9124375.4985301998</v>
      </c>
      <c r="U67" s="222">
        <f t="shared" si="63"/>
        <v>9703768</v>
      </c>
      <c r="V67" s="222">
        <f t="shared" si="63"/>
        <v>10266209</v>
      </c>
      <c r="W67" s="222"/>
      <c r="X67" s="181">
        <f t="shared" si="61"/>
        <v>5.7961093051688728E-2</v>
      </c>
      <c r="Y67" s="181">
        <f t="shared" si="62"/>
        <v>0.36377100378463334</v>
      </c>
    </row>
    <row r="68" spans="1:28" s="193" customFormat="1" ht="13" customHeight="1">
      <c r="A68" s="262"/>
      <c r="B68" s="109" t="str">
        <f>IF('Summary | Sumário'!D$6=Names!B$3,Names!O93,Names!P93)</f>
        <v>Personal</v>
      </c>
      <c r="C68" s="254">
        <v>0</v>
      </c>
      <c r="D68" s="254">
        <f>D7</f>
        <v>1653554</v>
      </c>
      <c r="E68" s="254">
        <f t="shared" si="56"/>
        <v>3579283</v>
      </c>
      <c r="F68" s="254">
        <f t="shared" si="57"/>
        <v>5463781</v>
      </c>
      <c r="G68" s="254">
        <f t="shared" si="58"/>
        <v>7138744</v>
      </c>
      <c r="H68" s="254">
        <f t="shared" ref="H68:V68" si="64">H7</f>
        <v>2123654.0038399999</v>
      </c>
      <c r="I68" s="254">
        <f t="shared" si="64"/>
        <v>2620848</v>
      </c>
      <c r="J68" s="254">
        <f t="shared" si="64"/>
        <v>3100640</v>
      </c>
      <c r="K68" s="254">
        <f t="shared" si="64"/>
        <v>3579283</v>
      </c>
      <c r="L68" s="254">
        <f t="shared" si="64"/>
        <v>3936755</v>
      </c>
      <c r="M68" s="254">
        <f t="shared" si="64"/>
        <v>4460508.5</v>
      </c>
      <c r="N68" s="254">
        <f t="shared" si="64"/>
        <v>5057444</v>
      </c>
      <c r="O68" s="254">
        <f t="shared" si="64"/>
        <v>5463781</v>
      </c>
      <c r="P68" s="254">
        <f t="shared" si="64"/>
        <v>6081266</v>
      </c>
      <c r="Q68" s="254">
        <f t="shared" si="64"/>
        <v>6500480</v>
      </c>
      <c r="R68" s="254">
        <f t="shared" si="64"/>
        <v>6663058</v>
      </c>
      <c r="S68" s="254">
        <f t="shared" si="64"/>
        <v>7138744</v>
      </c>
      <c r="T68" s="254">
        <f t="shared" si="64"/>
        <v>7437794.5190500002</v>
      </c>
      <c r="U68" s="254">
        <f t="shared" si="64"/>
        <v>7555457</v>
      </c>
      <c r="V68" s="254">
        <f t="shared" si="64"/>
        <v>8003536</v>
      </c>
      <c r="W68" s="222"/>
      <c r="X68" s="182">
        <f t="shared" si="61"/>
        <v>5.9305347115336637E-2</v>
      </c>
      <c r="Y68" s="182">
        <f t="shared" si="62"/>
        <v>0.20118059905827024</v>
      </c>
    </row>
    <row r="69" spans="1:28" s="193" customFormat="1" ht="13" customHeight="1">
      <c r="A69" s="262"/>
      <c r="B69" s="671" t="str">
        <f>IF('Summary | Sumário'!D$6=Names!B$3,Names!O94,Names!P94)</f>
        <v>SME</v>
      </c>
      <c r="C69" s="222">
        <v>0</v>
      </c>
      <c r="D69" s="222">
        <f>D8</f>
        <v>1582869</v>
      </c>
      <c r="E69" s="222">
        <f t="shared" si="56"/>
        <v>3017159</v>
      </c>
      <c r="F69" s="222">
        <f t="shared" si="57"/>
        <v>3392500</v>
      </c>
      <c r="G69" s="222">
        <f t="shared" si="58"/>
        <v>3855754</v>
      </c>
      <c r="H69" s="222">
        <f t="shared" ref="H69:V69" si="65">H8</f>
        <v>1572378.9388100002</v>
      </c>
      <c r="I69" s="222">
        <f t="shared" si="65"/>
        <v>2153921</v>
      </c>
      <c r="J69" s="222">
        <f t="shared" si="65"/>
        <v>2703302</v>
      </c>
      <c r="K69" s="222">
        <f t="shared" si="65"/>
        <v>3017159</v>
      </c>
      <c r="L69" s="222">
        <f t="shared" si="65"/>
        <v>2929546</v>
      </c>
      <c r="M69" s="222">
        <f t="shared" si="65"/>
        <v>2905002.5</v>
      </c>
      <c r="N69" s="222">
        <f t="shared" si="65"/>
        <v>2978792</v>
      </c>
      <c r="O69" s="222">
        <f t="shared" si="65"/>
        <v>3392500</v>
      </c>
      <c r="P69" s="222">
        <f t="shared" si="65"/>
        <v>3110840</v>
      </c>
      <c r="Q69" s="222">
        <f t="shared" si="65"/>
        <v>3215316</v>
      </c>
      <c r="R69" s="222">
        <f t="shared" si="65"/>
        <v>3438526</v>
      </c>
      <c r="S69" s="222">
        <f t="shared" si="65"/>
        <v>3855754</v>
      </c>
      <c r="T69" s="222">
        <f t="shared" si="65"/>
        <v>3376688</v>
      </c>
      <c r="U69" s="222">
        <f t="shared" si="65"/>
        <v>4359140</v>
      </c>
      <c r="V69" s="222">
        <f t="shared" si="65"/>
        <v>4149476</v>
      </c>
      <c r="W69" s="222"/>
      <c r="X69" s="181">
        <f t="shared" si="61"/>
        <v>-4.8097560527994077E-2</v>
      </c>
      <c r="Y69" s="181">
        <f t="shared" si="62"/>
        <v>0.20676010592911043</v>
      </c>
    </row>
    <row r="70" spans="1:28" s="193" customFormat="1" ht="13" customHeight="1">
      <c r="A70" s="262"/>
      <c r="B70" s="109" t="str">
        <f>IF('Summary | Sumário'!D$6=Names!B$3,Names!O95,Names!P95)</f>
        <v>Interest earning credit card portfolio</v>
      </c>
      <c r="C70" s="254">
        <v>0</v>
      </c>
      <c r="D70" s="254">
        <f>D71-D72</f>
        <v>230211.82499999995</v>
      </c>
      <c r="E70" s="254">
        <f t="shared" si="56"/>
        <v>676005</v>
      </c>
      <c r="F70" s="254">
        <f t="shared" si="57"/>
        <v>1458767</v>
      </c>
      <c r="G70" s="254">
        <f t="shared" si="58"/>
        <v>1971266.3970000008</v>
      </c>
      <c r="H70" s="254">
        <f t="shared" ref="H70:R70" si="66">H71-H72</f>
        <v>310705.48867999995</v>
      </c>
      <c r="I70" s="254">
        <f t="shared" si="66"/>
        <v>466529</v>
      </c>
      <c r="J70" s="254">
        <f t="shared" si="66"/>
        <v>526729</v>
      </c>
      <c r="K70" s="254">
        <f t="shared" si="66"/>
        <v>676005</v>
      </c>
      <c r="L70" s="254">
        <f t="shared" si="66"/>
        <v>836644</v>
      </c>
      <c r="M70" s="254">
        <f t="shared" si="66"/>
        <v>1084285.4000000004</v>
      </c>
      <c r="N70" s="254">
        <f t="shared" si="66"/>
        <v>1309633</v>
      </c>
      <c r="O70" s="254">
        <f t="shared" si="66"/>
        <v>1458767</v>
      </c>
      <c r="P70" s="254">
        <f t="shared" si="66"/>
        <v>1592763.3878274746</v>
      </c>
      <c r="Q70" s="254">
        <f t="shared" si="66"/>
        <v>1777050.7675745916</v>
      </c>
      <c r="R70" s="254">
        <f t="shared" si="66"/>
        <v>1882205.9550000001</v>
      </c>
      <c r="S70" s="254">
        <f>S71-S72</f>
        <v>1971266.3970000008</v>
      </c>
      <c r="T70" s="254">
        <f t="shared" ref="T70" si="67">T71-T72</f>
        <v>2176763.9201100003</v>
      </c>
      <c r="U70" s="254">
        <f t="shared" ref="U70:V70" si="68">U71-U72</f>
        <v>2264113.5148200002</v>
      </c>
      <c r="V70" s="254">
        <f t="shared" si="68"/>
        <v>2206943.6459299996</v>
      </c>
      <c r="W70" s="222"/>
      <c r="X70" s="182">
        <f t="shared" si="61"/>
        <v>-2.5250442840338616E-2</v>
      </c>
      <c r="Y70" s="182">
        <f t="shared" si="62"/>
        <v>0.17253037058317</v>
      </c>
      <c r="AB70" s="391"/>
    </row>
    <row r="71" spans="1:28" s="193" customFormat="1" ht="13" customHeight="1">
      <c r="A71" s="262"/>
      <c r="B71" s="59" t="str">
        <f>IF('Summary | Sumário'!D$6=Names!B$3,Names!O96,Names!P96)</f>
        <v>Credit cards</v>
      </c>
      <c r="C71" s="222">
        <v>0</v>
      </c>
      <c r="D71" s="222">
        <f>D9</f>
        <v>1904642</v>
      </c>
      <c r="E71" s="222">
        <f t="shared" si="56"/>
        <v>4798318</v>
      </c>
      <c r="F71" s="222">
        <f t="shared" si="57"/>
        <v>6870565</v>
      </c>
      <c r="G71" s="222">
        <f t="shared" si="58"/>
        <v>9461277</v>
      </c>
      <c r="H71" s="222">
        <f t="shared" ref="H71:V71" si="69">H9</f>
        <v>2404920.48868</v>
      </c>
      <c r="I71" s="222">
        <f t="shared" si="69"/>
        <v>3116734</v>
      </c>
      <c r="J71" s="222">
        <f t="shared" si="69"/>
        <v>3807684</v>
      </c>
      <c r="K71" s="222">
        <f t="shared" si="69"/>
        <v>4798318</v>
      </c>
      <c r="L71" s="222">
        <f t="shared" si="69"/>
        <v>5315930</v>
      </c>
      <c r="M71" s="222">
        <f t="shared" si="69"/>
        <v>5981406.4000000004</v>
      </c>
      <c r="N71" s="222">
        <f t="shared" si="69"/>
        <v>6411572</v>
      </c>
      <c r="O71" s="222">
        <f t="shared" si="69"/>
        <v>6870565</v>
      </c>
      <c r="P71" s="222">
        <f t="shared" si="69"/>
        <v>7273032</v>
      </c>
      <c r="Q71" s="222">
        <f t="shared" si="69"/>
        <v>7681011</v>
      </c>
      <c r="R71" s="222">
        <f t="shared" si="69"/>
        <v>8650139</v>
      </c>
      <c r="S71" s="222">
        <f t="shared" si="69"/>
        <v>9461277</v>
      </c>
      <c r="T71" s="222">
        <f t="shared" si="69"/>
        <v>10111845.135790002</v>
      </c>
      <c r="U71" s="222">
        <f t="shared" si="69"/>
        <v>10508082</v>
      </c>
      <c r="V71" s="222">
        <f t="shared" si="69"/>
        <v>10769815</v>
      </c>
      <c r="W71" s="222"/>
      <c r="X71" s="181">
        <f t="shared" si="61"/>
        <v>2.4907780506471022E-2</v>
      </c>
      <c r="Y71" s="181">
        <f t="shared" si="62"/>
        <v>0.24504531083257741</v>
      </c>
    </row>
    <row r="72" spans="1:28" s="193" customFormat="1" ht="13" customHeight="1">
      <c r="A72" s="262"/>
      <c r="B72" s="132" t="str">
        <f>IF('Summary | Sumário'!D$6=Names!B$3,Names!O97,Names!P97)</f>
        <v>(-) Transactor</v>
      </c>
      <c r="C72" s="254">
        <f t="shared" ref="C72:R72" si="70">C32</f>
        <v>0</v>
      </c>
      <c r="D72" s="254">
        <f t="shared" si="70"/>
        <v>1674430.175</v>
      </c>
      <c r="E72" s="254">
        <f t="shared" si="56"/>
        <v>4122313</v>
      </c>
      <c r="F72" s="254">
        <f t="shared" si="57"/>
        <v>5411798</v>
      </c>
      <c r="G72" s="254">
        <f t="shared" si="58"/>
        <v>7490010.6029999992</v>
      </c>
      <c r="H72" s="254">
        <f t="shared" si="70"/>
        <v>2094215</v>
      </c>
      <c r="I72" s="254">
        <f t="shared" si="70"/>
        <v>2650205</v>
      </c>
      <c r="J72" s="254">
        <f t="shared" si="70"/>
        <v>3280955</v>
      </c>
      <c r="K72" s="254">
        <f t="shared" si="70"/>
        <v>4122313</v>
      </c>
      <c r="L72" s="254">
        <f t="shared" si="70"/>
        <v>4479286</v>
      </c>
      <c r="M72" s="254">
        <f t="shared" si="70"/>
        <v>4897121</v>
      </c>
      <c r="N72" s="254">
        <f t="shared" si="70"/>
        <v>5101939</v>
      </c>
      <c r="O72" s="254">
        <f t="shared" si="70"/>
        <v>5411798</v>
      </c>
      <c r="P72" s="254">
        <f t="shared" si="70"/>
        <v>5680268.6121725254</v>
      </c>
      <c r="Q72" s="254">
        <f t="shared" si="70"/>
        <v>5903960.2324254084</v>
      </c>
      <c r="R72" s="254">
        <f t="shared" si="70"/>
        <v>6767933.0449999999</v>
      </c>
      <c r="S72" s="254">
        <f t="shared" ref="S72" si="71">S32</f>
        <v>7490010.6029999992</v>
      </c>
      <c r="T72" s="254">
        <f>T32</f>
        <v>7935081.2156800013</v>
      </c>
      <c r="U72" s="254">
        <f t="shared" ref="U72:V72" si="72">U32</f>
        <v>8243968.4851799998</v>
      </c>
      <c r="V72" s="254">
        <f t="shared" si="72"/>
        <v>8562871.3540700004</v>
      </c>
      <c r="W72" s="222"/>
      <c r="X72" s="182">
        <f t="shared" si="61"/>
        <v>3.8683174185258684E-2</v>
      </c>
      <c r="Y72" s="182">
        <f t="shared" si="62"/>
        <v>0.2652121847446558</v>
      </c>
    </row>
    <row r="73" spans="1:28" s="193" customFormat="1" ht="13" customHeight="1">
      <c r="A73" s="262"/>
      <c r="B73" s="671" t="str">
        <f>IF('Summary | Sumário'!D$6=Names!B$3,Names!O98,Names!P98)</f>
        <v>Agribusiness</v>
      </c>
      <c r="C73" s="222">
        <f>C10</f>
        <v>0</v>
      </c>
      <c r="D73" s="222">
        <f>D10</f>
        <v>177637</v>
      </c>
      <c r="E73" s="222">
        <f t="shared" si="56"/>
        <v>700191</v>
      </c>
      <c r="F73" s="222">
        <f t="shared" si="57"/>
        <v>719669</v>
      </c>
      <c r="G73" s="222">
        <f t="shared" si="58"/>
        <v>744958</v>
      </c>
      <c r="H73" s="222">
        <f t="shared" ref="H73:V73" si="73">H10</f>
        <v>216360.92530999999</v>
      </c>
      <c r="I73" s="222">
        <f t="shared" si="73"/>
        <v>424570</v>
      </c>
      <c r="J73" s="222">
        <f t="shared" si="73"/>
        <v>545234</v>
      </c>
      <c r="K73" s="222">
        <f t="shared" si="73"/>
        <v>700191</v>
      </c>
      <c r="L73" s="222">
        <f t="shared" si="73"/>
        <v>643194</v>
      </c>
      <c r="M73" s="222">
        <f t="shared" si="73"/>
        <v>490009</v>
      </c>
      <c r="N73" s="222">
        <f t="shared" si="73"/>
        <v>627390</v>
      </c>
      <c r="O73" s="222">
        <f t="shared" si="73"/>
        <v>719669</v>
      </c>
      <c r="P73" s="222">
        <f t="shared" si="73"/>
        <v>750934</v>
      </c>
      <c r="Q73" s="222">
        <f t="shared" si="73"/>
        <v>724143</v>
      </c>
      <c r="R73" s="222">
        <f t="shared" si="73"/>
        <v>764068</v>
      </c>
      <c r="S73" s="222">
        <f t="shared" si="73"/>
        <v>744958</v>
      </c>
      <c r="T73" s="222">
        <f t="shared" si="73"/>
        <v>807923.72772000008</v>
      </c>
      <c r="U73" s="222">
        <f t="shared" si="73"/>
        <v>845105</v>
      </c>
      <c r="V73" s="222">
        <f t="shared" si="73"/>
        <v>516852</v>
      </c>
      <c r="W73" s="222"/>
      <c r="X73" s="181">
        <f t="shared" si="61"/>
        <v>-0.38841682394495358</v>
      </c>
      <c r="Y73" s="181">
        <f t="shared" si="62"/>
        <v>-0.3235523539789652</v>
      </c>
    </row>
    <row r="74" spans="1:28" s="193" customFormat="1" ht="13" customHeight="1">
      <c r="A74" s="262"/>
      <c r="B74" s="109" t="str">
        <f>IF('Summary | Sumário'!D$6=Names!B$3,Names!O99,Names!P99)</f>
        <v>Prepayment of receivables</v>
      </c>
      <c r="C74" s="254">
        <f>C11</f>
        <v>0</v>
      </c>
      <c r="D74" s="254">
        <f>D11</f>
        <v>0</v>
      </c>
      <c r="E74" s="254">
        <f t="shared" si="56"/>
        <v>298104</v>
      </c>
      <c r="F74" s="254">
        <f t="shared" si="57"/>
        <v>1845665</v>
      </c>
      <c r="G74" s="254">
        <f t="shared" si="58"/>
        <v>1236536</v>
      </c>
      <c r="H74" s="254">
        <f t="shared" ref="H74:V74" si="74">H11</f>
        <v>85776.282000000007</v>
      </c>
      <c r="I74" s="254">
        <f t="shared" si="74"/>
        <v>71515.061000000002</v>
      </c>
      <c r="J74" s="254">
        <f t="shared" si="74"/>
        <v>97555.932000000001</v>
      </c>
      <c r="K74" s="254">
        <f t="shared" si="74"/>
        <v>298104</v>
      </c>
      <c r="L74" s="254">
        <f t="shared" si="74"/>
        <v>347353.58600000001</v>
      </c>
      <c r="M74" s="254">
        <f t="shared" si="74"/>
        <v>379917.21</v>
      </c>
      <c r="N74" s="254">
        <f t="shared" si="74"/>
        <v>1029786.0000000001</v>
      </c>
      <c r="O74" s="254">
        <f t="shared" si="74"/>
        <v>1845665</v>
      </c>
      <c r="P74" s="254">
        <f t="shared" si="74"/>
        <v>1296424</v>
      </c>
      <c r="Q74" s="254">
        <f t="shared" si="74"/>
        <v>1332977</v>
      </c>
      <c r="R74" s="254">
        <f t="shared" si="74"/>
        <v>1215142</v>
      </c>
      <c r="S74" s="254">
        <f t="shared" si="74"/>
        <v>1236536</v>
      </c>
      <c r="T74" s="254">
        <f t="shared" si="74"/>
        <v>1284996.6508599999</v>
      </c>
      <c r="U74" s="254">
        <f t="shared" si="74"/>
        <v>2702819.41658</v>
      </c>
      <c r="V74" s="254">
        <f t="shared" si="74"/>
        <v>4353998.8030500002</v>
      </c>
      <c r="W74" s="222"/>
      <c r="X74" s="182">
        <f t="shared" si="61"/>
        <v>0.61090999137460411</v>
      </c>
      <c r="Y74" s="182">
        <f t="shared" si="62"/>
        <v>2.5831193416489597</v>
      </c>
    </row>
    <row r="75" spans="1:28" s="193" customFormat="1" ht="13" customHeight="1">
      <c r="A75" s="262"/>
      <c r="B75" s="26"/>
      <c r="X75" s="673"/>
      <c r="Y75" s="673"/>
      <c r="Z75" s="392"/>
      <c r="AA75" s="392"/>
    </row>
    <row r="76" spans="1:28" ht="13" customHeight="1">
      <c r="A76" s="249"/>
      <c r="B76" s="54" t="str">
        <f>IF('Summary | Sumário'!D$6=Names!B$3,Names!O69,Names!P69)</f>
        <v>Loan interest income including hedge accounting results</v>
      </c>
      <c r="C76" s="209"/>
      <c r="D76" s="209"/>
      <c r="E76" s="209"/>
      <c r="F76" s="209"/>
      <c r="G76" s="209"/>
      <c r="H76" s="209"/>
      <c r="I76" s="209"/>
      <c r="J76" s="209"/>
      <c r="K76" s="209"/>
      <c r="L76" s="209"/>
      <c r="M76" s="209"/>
      <c r="N76" s="209"/>
      <c r="O76" s="209"/>
      <c r="P76" s="209"/>
      <c r="Q76" s="209"/>
      <c r="R76" s="209"/>
      <c r="S76" s="209"/>
      <c r="T76" s="209"/>
      <c r="U76" s="209"/>
      <c r="V76" s="209"/>
      <c r="X76" s="182"/>
      <c r="Y76" s="182"/>
      <c r="Z76" s="174"/>
      <c r="AA76" s="174"/>
    </row>
    <row r="77" spans="1:28" ht="13" customHeight="1">
      <c r="B77" s="359" t="str">
        <f>IF('Summary | Sumário'!D$6=Names!B$3,Names!O70,Names!P70)</f>
        <v>Loan interest income including hedge accounting results</v>
      </c>
      <c r="C77" s="360">
        <f t="shared" ref="C77:Q77" si="75">C78+C81+C84+C85+C86+C87</f>
        <v>0</v>
      </c>
      <c r="D77" s="360">
        <f t="shared" si="75"/>
        <v>745064.49635066302</v>
      </c>
      <c r="E77" s="360">
        <f t="shared" ref="E77:E87" si="76">SUM(H77:K77)</f>
        <v>1290966.5689999999</v>
      </c>
      <c r="F77" s="360">
        <f t="shared" ref="F77:F87" si="77">SUM(L77:O77)</f>
        <v>2553936.2420000001</v>
      </c>
      <c r="G77" s="360">
        <f t="shared" ref="G77:G87" si="78">SUM(P77:S77)</f>
        <v>3938727.3047599997</v>
      </c>
      <c r="H77" s="360">
        <f t="shared" si="75"/>
        <v>258108.114</v>
      </c>
      <c r="I77" s="360">
        <f t="shared" si="75"/>
        <v>261301.95699999999</v>
      </c>
      <c r="J77" s="360">
        <f t="shared" si="75"/>
        <v>339858.80899999995</v>
      </c>
      <c r="K77" s="360">
        <f t="shared" si="75"/>
        <v>431697.68899999995</v>
      </c>
      <c r="L77" s="360">
        <f t="shared" si="75"/>
        <v>482698.20099999994</v>
      </c>
      <c r="M77" s="360">
        <f t="shared" si="75"/>
        <v>576000.12900000007</v>
      </c>
      <c r="N77" s="360">
        <f t="shared" si="75"/>
        <v>701072.71200000006</v>
      </c>
      <c r="O77" s="360">
        <f t="shared" si="75"/>
        <v>794165.20000000007</v>
      </c>
      <c r="P77" s="360">
        <f t="shared" si="75"/>
        <v>896065.98127999995</v>
      </c>
      <c r="Q77" s="360">
        <f t="shared" si="75"/>
        <v>977359.34172999999</v>
      </c>
      <c r="R77" s="360">
        <f>R78+R81+R84+R85+R86+R87</f>
        <v>1011039.39605</v>
      </c>
      <c r="S77" s="360">
        <f>S78+S81+S84+S85+S86+S87</f>
        <v>1054262.5856999997</v>
      </c>
      <c r="T77" s="360">
        <f>T78+T81+T84+T85+T86+T87</f>
        <v>1169201.0902831799</v>
      </c>
      <c r="U77" s="360">
        <f>U78+U81+U84+U85+U86+U87</f>
        <v>1260572.5102165244</v>
      </c>
      <c r="V77" s="360">
        <f>V78+V81+V84+V85+V86+V87</f>
        <v>1362062.3411436318</v>
      </c>
      <c r="W77" s="211"/>
      <c r="X77" s="441">
        <f t="shared" ref="X77:X87" si="79">V77/U77-1</f>
        <v>8.0510902867201972E-2</v>
      </c>
      <c r="Y77" s="441">
        <f t="shared" ref="Y77:Y87" si="80">V77/R77-1</f>
        <v>0.34719017524443951</v>
      </c>
      <c r="Z77" s="185"/>
      <c r="AA77" s="185"/>
      <c r="AB77" s="222"/>
    </row>
    <row r="78" spans="1:28" ht="13" customHeight="1">
      <c r="B78" s="109" t="str">
        <f>IF('Summary | Sumário'!D$6=Names!B$3,Names!O71,Names!P71)</f>
        <v>Real estate net of hedge accounting</v>
      </c>
      <c r="C78" s="269">
        <f>C79+C80</f>
        <v>0</v>
      </c>
      <c r="D78" s="269">
        <f t="shared" ref="D78:R78" si="81">D79+D80</f>
        <v>364047.24736066308</v>
      </c>
      <c r="E78" s="269">
        <f t="shared" si="76"/>
        <v>506152.02300000004</v>
      </c>
      <c r="F78" s="269">
        <f t="shared" si="77"/>
        <v>686426.02494999999</v>
      </c>
      <c r="G78" s="269">
        <f t="shared" si="78"/>
        <v>916460.17859000002</v>
      </c>
      <c r="H78" s="269">
        <f t="shared" si="81"/>
        <v>122829.734</v>
      </c>
      <c r="I78" s="269">
        <f t="shared" si="81"/>
        <v>99909.904999999999</v>
      </c>
      <c r="J78" s="269">
        <f t="shared" si="81"/>
        <v>138366.29499999998</v>
      </c>
      <c r="K78" s="269">
        <f t="shared" si="81"/>
        <v>145046.08900000001</v>
      </c>
      <c r="L78" s="269">
        <f t="shared" si="81"/>
        <v>155160.64770999999</v>
      </c>
      <c r="M78" s="269">
        <f t="shared" si="81"/>
        <v>194074.39667999998</v>
      </c>
      <c r="N78" s="269">
        <f t="shared" si="81"/>
        <v>160131.83665000004</v>
      </c>
      <c r="O78" s="269">
        <f t="shared" si="81"/>
        <v>177059.14390999998</v>
      </c>
      <c r="P78" s="269">
        <f t="shared" si="81"/>
        <v>215435.45587999999</v>
      </c>
      <c r="Q78" s="269">
        <f t="shared" si="81"/>
        <v>236226.77327000001</v>
      </c>
      <c r="R78" s="269">
        <f t="shared" si="81"/>
        <v>216442.19209</v>
      </c>
      <c r="S78" s="269">
        <f t="shared" ref="S78:T78" si="82">S79+S80</f>
        <v>248355.75734999997</v>
      </c>
      <c r="T78" s="269">
        <f t="shared" si="82"/>
        <v>295138.91551317996</v>
      </c>
      <c r="U78" s="269">
        <f t="shared" ref="U78:V78" si="83">U79+U80</f>
        <v>333405.19177652436</v>
      </c>
      <c r="V78" s="269">
        <f t="shared" si="83"/>
        <v>291609.27909697074</v>
      </c>
      <c r="W78" s="264"/>
      <c r="X78" s="445">
        <f t="shared" si="79"/>
        <v>-0.1253607133615624</v>
      </c>
      <c r="Y78" s="445">
        <f t="shared" si="80"/>
        <v>0.34728481670392219</v>
      </c>
    </row>
    <row r="79" spans="1:28" ht="13" customHeight="1">
      <c r="B79" s="59" t="str">
        <f>IF('Summary | Sumário'!D$6=Names!B$3,Names!O72,Names!P72)</f>
        <v>Real estate</v>
      </c>
      <c r="C79" s="264">
        <f t="shared" ref="C79:R79" si="84">C38</f>
        <v>0</v>
      </c>
      <c r="D79" s="264">
        <f t="shared" si="84"/>
        <v>435019.64619000006</v>
      </c>
      <c r="E79" s="264">
        <f t="shared" si="76"/>
        <v>579506.26199999999</v>
      </c>
      <c r="F79" s="264">
        <f t="shared" si="77"/>
        <v>714011.42595000006</v>
      </c>
      <c r="G79" s="264">
        <f t="shared" si="78"/>
        <v>925900</v>
      </c>
      <c r="H79" s="264">
        <f t="shared" si="84"/>
        <v>139297.851</v>
      </c>
      <c r="I79" s="264">
        <f t="shared" si="84"/>
        <v>136320.81899999999</v>
      </c>
      <c r="J79" s="264">
        <f t="shared" si="84"/>
        <v>141281.71</v>
      </c>
      <c r="K79" s="264">
        <f t="shared" si="84"/>
        <v>162605.88200000001</v>
      </c>
      <c r="L79" s="264">
        <f t="shared" si="84"/>
        <v>163483.92470999999</v>
      </c>
      <c r="M79" s="264">
        <f t="shared" si="84"/>
        <v>208572.24767999997</v>
      </c>
      <c r="N79" s="264">
        <f t="shared" si="84"/>
        <v>169001.99365000005</v>
      </c>
      <c r="O79" s="264">
        <f t="shared" si="84"/>
        <v>172953.25990999999</v>
      </c>
      <c r="P79" s="264">
        <f t="shared" si="84"/>
        <v>220549.84688</v>
      </c>
      <c r="Q79" s="264">
        <f t="shared" si="84"/>
        <v>230186.84327000001</v>
      </c>
      <c r="R79" s="264">
        <f t="shared" si="84"/>
        <v>210305.65125</v>
      </c>
      <c r="S79" s="264">
        <f t="shared" ref="S79:T79" si="85">S38</f>
        <v>264857.65859999997</v>
      </c>
      <c r="T79" s="264">
        <f t="shared" si="85"/>
        <v>268726.12008999998</v>
      </c>
      <c r="U79" s="264">
        <f t="shared" ref="U79:V79" si="86">U38</f>
        <v>266162.86888999998</v>
      </c>
      <c r="V79" s="264">
        <f t="shared" si="86"/>
        <v>280656.44909697073</v>
      </c>
      <c r="W79" s="264"/>
      <c r="X79" s="446">
        <f t="shared" si="79"/>
        <v>5.4453802167877319E-2</v>
      </c>
      <c r="Y79" s="446">
        <f t="shared" si="80"/>
        <v>0.33451691587375132</v>
      </c>
      <c r="AA79" s="222"/>
    </row>
    <row r="80" spans="1:28" ht="13" customHeight="1">
      <c r="B80" s="132" t="str">
        <f>IF('Summary | Sumário'!D$6=Names!B$3,Names!O73,Names!P73)</f>
        <v>(+) Hedge accounting from real estate loans</v>
      </c>
      <c r="C80" s="269">
        <f t="shared" ref="C80:R80" si="87">C60</f>
        <v>0</v>
      </c>
      <c r="D80" s="269">
        <f t="shared" si="87"/>
        <v>-70972.398829336977</v>
      </c>
      <c r="E80" s="269">
        <f t="shared" si="76"/>
        <v>-73354.239000000001</v>
      </c>
      <c r="F80" s="269">
        <f t="shared" si="77"/>
        <v>-27585.400999999998</v>
      </c>
      <c r="G80" s="269">
        <f t="shared" si="78"/>
        <v>-9439.8214100000023</v>
      </c>
      <c r="H80" s="269">
        <f t="shared" si="87"/>
        <v>-16468.116999999998</v>
      </c>
      <c r="I80" s="269">
        <f t="shared" si="87"/>
        <v>-36410.913999999997</v>
      </c>
      <c r="J80" s="269">
        <f t="shared" si="87"/>
        <v>-2915.415</v>
      </c>
      <c r="K80" s="269">
        <f t="shared" si="87"/>
        <v>-17559.793000000001</v>
      </c>
      <c r="L80" s="269">
        <f t="shared" si="87"/>
        <v>-8323.277</v>
      </c>
      <c r="M80" s="269">
        <f t="shared" si="87"/>
        <v>-14497.851000000001</v>
      </c>
      <c r="N80" s="269">
        <f t="shared" si="87"/>
        <v>-8870.1569999999992</v>
      </c>
      <c r="O80" s="269">
        <f t="shared" si="87"/>
        <v>4105.884</v>
      </c>
      <c r="P80" s="269">
        <f t="shared" si="87"/>
        <v>-5114.3909999999996</v>
      </c>
      <c r="Q80" s="269">
        <f t="shared" si="87"/>
        <v>6039.93</v>
      </c>
      <c r="R80" s="269">
        <f t="shared" si="87"/>
        <v>6136.5408399999997</v>
      </c>
      <c r="S80" s="269">
        <f t="shared" ref="S80:T80" si="88">S60</f>
        <v>-16501.901250000003</v>
      </c>
      <c r="T80" s="269">
        <f t="shared" si="88"/>
        <v>26412.795423179959</v>
      </c>
      <c r="U80" s="269">
        <f t="shared" ref="U80:V80" si="89">U60</f>
        <v>67242.322886524373</v>
      </c>
      <c r="V80" s="269">
        <f t="shared" si="89"/>
        <v>10952.83</v>
      </c>
      <c r="W80" s="264"/>
      <c r="X80" s="445">
        <f t="shared" si="79"/>
        <v>-0.83711404469944339</v>
      </c>
      <c r="Y80" s="445">
        <f t="shared" si="80"/>
        <v>0.78485408727435457</v>
      </c>
    </row>
    <row r="81" spans="2:25" ht="13" customHeight="1">
      <c r="B81" s="671" t="str">
        <f>IF('Summary | Sumário'!D$6=Names!B$3,Names!O74,Names!P74)</f>
        <v>Personal net of hedge accounting</v>
      </c>
      <c r="C81" s="264">
        <f>C82+C83</f>
        <v>0</v>
      </c>
      <c r="D81" s="264">
        <f t="shared" ref="D81:R81" si="90">D82+D83</f>
        <v>194589.16927000001</v>
      </c>
      <c r="E81" s="264">
        <f t="shared" si="76"/>
        <v>319455.67200000002</v>
      </c>
      <c r="F81" s="264">
        <f t="shared" si="77"/>
        <v>583197.69805000001</v>
      </c>
      <c r="G81" s="264">
        <f t="shared" si="78"/>
        <v>1012664.1261700001</v>
      </c>
      <c r="H81" s="264">
        <f t="shared" si="90"/>
        <v>63981.644999999997</v>
      </c>
      <c r="I81" s="264">
        <f t="shared" si="90"/>
        <v>73178.934000000008</v>
      </c>
      <c r="J81" s="264">
        <f t="shared" si="90"/>
        <v>85052.814000000013</v>
      </c>
      <c r="K81" s="264">
        <f t="shared" si="90"/>
        <v>97242.27900000001</v>
      </c>
      <c r="L81" s="264">
        <f t="shared" si="90"/>
        <v>108222.83400999999</v>
      </c>
      <c r="M81" s="264">
        <f t="shared" si="90"/>
        <v>133460.16244000001</v>
      </c>
      <c r="N81" s="264">
        <f t="shared" si="90"/>
        <v>159493.41924999998</v>
      </c>
      <c r="O81" s="264">
        <f t="shared" si="90"/>
        <v>182021.28234999996</v>
      </c>
      <c r="P81" s="264">
        <f t="shared" si="90"/>
        <v>209198.23068999997</v>
      </c>
      <c r="Q81" s="264">
        <f t="shared" si="90"/>
        <v>253833.49125999992</v>
      </c>
      <c r="R81" s="264">
        <f t="shared" si="90"/>
        <v>261285.72764000003</v>
      </c>
      <c r="S81" s="264">
        <f t="shared" ref="S81:T81" si="91">S82+S83</f>
        <v>288346.67658000003</v>
      </c>
      <c r="T81" s="264">
        <f t="shared" si="91"/>
        <v>317612.29486000002</v>
      </c>
      <c r="U81" s="264">
        <f t="shared" ref="U81:V81" si="92">U82+U83</f>
        <v>325101.85233000002</v>
      </c>
      <c r="V81" s="264">
        <f t="shared" si="92"/>
        <v>365865.23014069052</v>
      </c>
      <c r="W81" s="264"/>
      <c r="X81" s="446">
        <f t="shared" si="79"/>
        <v>0.12538648278544096</v>
      </c>
      <c r="Y81" s="446">
        <f t="shared" si="80"/>
        <v>0.40024957905385605</v>
      </c>
    </row>
    <row r="82" spans="2:25" ht="13" customHeight="1">
      <c r="B82" s="132" t="str">
        <f>IF('Summary | Sumário'!D$6=Names!B$3,Names!O75,Names!P75)</f>
        <v>Personal</v>
      </c>
      <c r="C82" s="269">
        <f t="shared" ref="C82:R82" si="93">C39</f>
        <v>0</v>
      </c>
      <c r="D82" s="269">
        <f t="shared" si="93"/>
        <v>194589.16927000001</v>
      </c>
      <c r="E82" s="269">
        <f t="shared" si="76"/>
        <v>319455.67200000002</v>
      </c>
      <c r="F82" s="269">
        <f t="shared" si="77"/>
        <v>583197.69805000001</v>
      </c>
      <c r="G82" s="269">
        <f t="shared" si="78"/>
        <v>1117470</v>
      </c>
      <c r="H82" s="269">
        <f t="shared" si="93"/>
        <v>63981.644999999997</v>
      </c>
      <c r="I82" s="269">
        <f t="shared" si="93"/>
        <v>73178.934000000008</v>
      </c>
      <c r="J82" s="269">
        <f t="shared" si="93"/>
        <v>85052.814000000013</v>
      </c>
      <c r="K82" s="269">
        <f t="shared" si="93"/>
        <v>97242.27900000001</v>
      </c>
      <c r="L82" s="269">
        <f t="shared" si="93"/>
        <v>108222.83400999999</v>
      </c>
      <c r="M82" s="269">
        <f t="shared" si="93"/>
        <v>133460.16244000001</v>
      </c>
      <c r="N82" s="269">
        <f t="shared" si="93"/>
        <v>159493.41924999998</v>
      </c>
      <c r="O82" s="269">
        <f t="shared" si="93"/>
        <v>182021.28234999996</v>
      </c>
      <c r="P82" s="269">
        <f t="shared" si="93"/>
        <v>223476.20140999998</v>
      </c>
      <c r="Q82" s="269">
        <f t="shared" si="93"/>
        <v>318868.07952999993</v>
      </c>
      <c r="R82" s="269">
        <f t="shared" si="93"/>
        <v>215827.96117000002</v>
      </c>
      <c r="S82" s="269">
        <f t="shared" ref="S82:T82" si="94">S39</f>
        <v>359297.75789000001</v>
      </c>
      <c r="T82" s="269">
        <f t="shared" si="94"/>
        <v>275126</v>
      </c>
      <c r="U82" s="269">
        <f t="shared" ref="U82:V82" si="95">U39</f>
        <v>204785.36600000001</v>
      </c>
      <c r="V82" s="269">
        <f t="shared" si="95"/>
        <v>355360.76014069055</v>
      </c>
      <c r="W82" s="264"/>
      <c r="X82" s="445">
        <f t="shared" si="79"/>
        <v>0.73528395647514455</v>
      </c>
      <c r="Y82" s="445">
        <f t="shared" si="80"/>
        <v>0.64650010227722765</v>
      </c>
    </row>
    <row r="83" spans="2:25" ht="13" customHeight="1">
      <c r="B83" s="59" t="str">
        <f>IF('Summary | Sumário'!D$6=Names!B$3,Names!O76,Names!P76)</f>
        <v>(+) Hedge accounting from personal loans</v>
      </c>
      <c r="C83" s="264">
        <f>C61</f>
        <v>0</v>
      </c>
      <c r="D83" s="264">
        <f t="shared" ref="D83:R83" si="96">D61</f>
        <v>0</v>
      </c>
      <c r="E83" s="264">
        <f t="shared" si="76"/>
        <v>0</v>
      </c>
      <c r="F83" s="264">
        <f t="shared" si="77"/>
        <v>0</v>
      </c>
      <c r="G83" s="264">
        <f t="shared" si="78"/>
        <v>-104805.87383</v>
      </c>
      <c r="H83" s="264">
        <f t="shared" si="96"/>
        <v>0</v>
      </c>
      <c r="I83" s="264">
        <f t="shared" si="96"/>
        <v>0</v>
      </c>
      <c r="J83" s="264">
        <f t="shared" si="96"/>
        <v>0</v>
      </c>
      <c r="K83" s="264">
        <f t="shared" si="96"/>
        <v>0</v>
      </c>
      <c r="L83" s="264">
        <f t="shared" si="96"/>
        <v>0</v>
      </c>
      <c r="M83" s="264">
        <f t="shared" si="96"/>
        <v>0</v>
      </c>
      <c r="N83" s="264">
        <f t="shared" si="96"/>
        <v>0</v>
      </c>
      <c r="O83" s="264">
        <f t="shared" si="96"/>
        <v>0</v>
      </c>
      <c r="P83" s="264">
        <f t="shared" si="96"/>
        <v>-14277.970720000001</v>
      </c>
      <c r="Q83" s="264">
        <f t="shared" si="96"/>
        <v>-65034.58827</v>
      </c>
      <c r="R83" s="264">
        <f t="shared" si="96"/>
        <v>45457.766470000002</v>
      </c>
      <c r="S83" s="264">
        <f t="shared" ref="S83:T83" si="97">S61</f>
        <v>-70951.081309999994</v>
      </c>
      <c r="T83" s="264">
        <f t="shared" si="97"/>
        <v>42486.294860000002</v>
      </c>
      <c r="U83" s="264">
        <f t="shared" ref="U83:V83" si="98">U61</f>
        <v>120316.48633000001</v>
      </c>
      <c r="V83" s="264">
        <f t="shared" si="98"/>
        <v>10504.47</v>
      </c>
      <c r="W83" s="264"/>
      <c r="X83" s="446">
        <f t="shared" si="79"/>
        <v>-0.91269301223451049</v>
      </c>
      <c r="Y83" s="446">
        <f t="shared" si="80"/>
        <v>-0.76891803500877109</v>
      </c>
    </row>
    <row r="84" spans="2:25" ht="13" customHeight="1">
      <c r="B84" s="109" t="str">
        <f>IF('Summary | Sumário'!D$6=Names!B$3,Names!O77,Names!P77)</f>
        <v>SME</v>
      </c>
      <c r="C84" s="269">
        <f t="shared" ref="C84:R84" si="99">C40</f>
        <v>0</v>
      </c>
      <c r="D84" s="269">
        <f t="shared" si="99"/>
        <v>59990.754910000003</v>
      </c>
      <c r="E84" s="269">
        <f t="shared" si="76"/>
        <v>186131.85699999999</v>
      </c>
      <c r="F84" s="269">
        <f t="shared" si="77"/>
        <v>450650.24199999997</v>
      </c>
      <c r="G84" s="269">
        <f t="shared" si="78"/>
        <v>522129</v>
      </c>
      <c r="H84" s="269">
        <f t="shared" si="99"/>
        <v>20454.21</v>
      </c>
      <c r="I84" s="269">
        <f t="shared" si="99"/>
        <v>37744.78</v>
      </c>
      <c r="J84" s="269">
        <f t="shared" si="99"/>
        <v>42772.136999999988</v>
      </c>
      <c r="K84" s="269">
        <f t="shared" si="99"/>
        <v>85160.73000000001</v>
      </c>
      <c r="L84" s="269">
        <f t="shared" si="99"/>
        <v>84615.255999999994</v>
      </c>
      <c r="M84" s="269">
        <f t="shared" si="99"/>
        <v>107134.802</v>
      </c>
      <c r="N84" s="269">
        <f t="shared" si="99"/>
        <v>112397.92600000002</v>
      </c>
      <c r="O84" s="269">
        <f t="shared" si="99"/>
        <v>146502.258</v>
      </c>
      <c r="P84" s="269">
        <f t="shared" si="99"/>
        <v>124265.87599999999</v>
      </c>
      <c r="Q84" s="269">
        <f t="shared" si="99"/>
        <v>120750</v>
      </c>
      <c r="R84" s="269">
        <f t="shared" si="99"/>
        <v>131787.38165</v>
      </c>
      <c r="S84" s="269">
        <f>S40+200</f>
        <v>145325.74235000001</v>
      </c>
      <c r="T84" s="269">
        <f>T40+200</f>
        <v>124839</v>
      </c>
      <c r="U84" s="269">
        <f>U40</f>
        <v>152217.704</v>
      </c>
      <c r="V84" s="269">
        <f>V40</f>
        <v>145605.60854807668</v>
      </c>
      <c r="W84" s="264"/>
      <c r="X84" s="445">
        <f t="shared" si="79"/>
        <v>-4.3438412734981946E-2</v>
      </c>
      <c r="Y84" s="445">
        <f t="shared" si="80"/>
        <v>0.10485242763814084</v>
      </c>
    </row>
    <row r="85" spans="2:25" ht="13" customHeight="1">
      <c r="B85" s="671" t="str">
        <f>IF('Summary | Sumário'!D$6=Names!B$3,Names!O78,Names!P78)</f>
        <v>Credit Cards</v>
      </c>
      <c r="C85" s="264">
        <f t="shared" ref="C85:R85" si="100">C41</f>
        <v>0</v>
      </c>
      <c r="D85" s="264">
        <f t="shared" si="100"/>
        <v>118278.86974999998</v>
      </c>
      <c r="E85" s="264">
        <f t="shared" si="76"/>
        <v>245100.40700000001</v>
      </c>
      <c r="F85" s="264">
        <f t="shared" si="77"/>
        <v>717577.09288999997</v>
      </c>
      <c r="G85" s="264">
        <f t="shared" si="78"/>
        <v>1246489</v>
      </c>
      <c r="H85" s="264">
        <f t="shared" si="100"/>
        <v>44269.502</v>
      </c>
      <c r="I85" s="264">
        <f t="shared" si="100"/>
        <v>45538.873</v>
      </c>
      <c r="J85" s="264">
        <f t="shared" si="100"/>
        <v>66073.068999999989</v>
      </c>
      <c r="K85" s="264">
        <f t="shared" si="100"/>
        <v>89218.963000000018</v>
      </c>
      <c r="L85" s="264">
        <f t="shared" si="100"/>
        <v>109464.90658000001</v>
      </c>
      <c r="M85" s="264">
        <f t="shared" si="100"/>
        <v>137867.95378000001</v>
      </c>
      <c r="N85" s="264">
        <f t="shared" si="100"/>
        <v>231785.95109000002</v>
      </c>
      <c r="O85" s="264">
        <f t="shared" si="100"/>
        <v>238458.28143999999</v>
      </c>
      <c r="P85" s="264">
        <f t="shared" si="100"/>
        <v>272598.95357000001</v>
      </c>
      <c r="Q85" s="264">
        <f t="shared" si="100"/>
        <v>306514.12313000002</v>
      </c>
      <c r="R85" s="264">
        <f t="shared" si="100"/>
        <v>333795.27627999999</v>
      </c>
      <c r="S85" s="264">
        <f>S41</f>
        <v>333580.64701999992</v>
      </c>
      <c r="T85" s="264">
        <f>T41</f>
        <v>352400</v>
      </c>
      <c r="U85" s="264">
        <f>U41</f>
        <v>369047.58500000002</v>
      </c>
      <c r="V85" s="264">
        <f>V41</f>
        <v>379767.67666355899</v>
      </c>
      <c r="W85" s="264"/>
      <c r="X85" s="446">
        <f t="shared" si="79"/>
        <v>2.9047992994071459E-2</v>
      </c>
      <c r="Y85" s="446">
        <f t="shared" si="80"/>
        <v>0.13772633602218987</v>
      </c>
    </row>
    <row r="86" spans="2:25" ht="13" customHeight="1">
      <c r="B86" s="109" t="str">
        <f>IF('Summary | Sumário'!D$6=Names!B$3,Names!O80,Names!P80)</f>
        <v>Prepayment of receivables</v>
      </c>
      <c r="C86" s="269">
        <f t="shared" ref="C86:R86" si="101">C42</f>
        <v>0</v>
      </c>
      <c r="D86" s="269">
        <f t="shared" si="101"/>
        <v>793.77571</v>
      </c>
      <c r="E86" s="269">
        <f t="shared" si="76"/>
        <v>12540.518</v>
      </c>
      <c r="F86" s="269">
        <f t="shared" si="77"/>
        <v>101704.27800000001</v>
      </c>
      <c r="G86" s="269">
        <f t="shared" si="78"/>
        <v>242443</v>
      </c>
      <c r="H86" s="269">
        <f t="shared" si="101"/>
        <v>2554.556</v>
      </c>
      <c r="I86" s="269">
        <f t="shared" si="101"/>
        <v>2758.1950000000002</v>
      </c>
      <c r="J86" s="269">
        <f t="shared" si="101"/>
        <v>1333.1729999999998</v>
      </c>
      <c r="K86" s="269">
        <f t="shared" si="101"/>
        <v>5894.594000000001</v>
      </c>
      <c r="L86" s="269">
        <f t="shared" si="101"/>
        <v>5242.8329999999996</v>
      </c>
      <c r="M86" s="269">
        <f t="shared" si="101"/>
        <v>17718.065000000002</v>
      </c>
      <c r="N86" s="269">
        <f t="shared" si="101"/>
        <v>32903.998999999996</v>
      </c>
      <c r="O86" s="269">
        <f t="shared" si="101"/>
        <v>45839.381000000008</v>
      </c>
      <c r="P86" s="269">
        <f t="shared" si="101"/>
        <v>64806.196000000004</v>
      </c>
      <c r="Q86" s="269">
        <f t="shared" si="101"/>
        <v>59977</v>
      </c>
      <c r="R86" s="269">
        <f t="shared" si="101"/>
        <v>60383</v>
      </c>
      <c r="S86" s="269">
        <f t="shared" ref="S86:T86" si="102">S42</f>
        <v>57276.804000000004</v>
      </c>
      <c r="T86" s="269">
        <f t="shared" si="102"/>
        <v>59662</v>
      </c>
      <c r="U86" s="269">
        <f t="shared" ref="U86:V86" si="103">U42</f>
        <v>53645.453999999998</v>
      </c>
      <c r="V86" s="269">
        <f t="shared" si="103"/>
        <v>136932.53951</v>
      </c>
      <c r="W86" s="264"/>
      <c r="X86" s="445">
        <f t="shared" si="79"/>
        <v>1.5525469410697879</v>
      </c>
      <c r="Y86" s="445">
        <f t="shared" si="80"/>
        <v>1.2677332943046884</v>
      </c>
    </row>
    <row r="87" spans="2:25" ht="14" customHeight="1">
      <c r="B87" s="671" t="str">
        <f>IF('Summary | Sumário'!D$6=Names!B$3,Names!O41,Names!P41)</f>
        <v xml:space="preserve">Others </v>
      </c>
      <c r="C87" s="264">
        <f>C44</f>
        <v>0</v>
      </c>
      <c r="D87" s="264">
        <f t="shared" ref="D87:R87" si="104">D44</f>
        <v>7364.6793500000003</v>
      </c>
      <c r="E87" s="264">
        <f t="shared" si="76"/>
        <v>21586.092000000001</v>
      </c>
      <c r="F87" s="264">
        <f t="shared" si="77"/>
        <v>14380.906109999991</v>
      </c>
      <c r="G87" s="264">
        <f t="shared" si="78"/>
        <v>-1458</v>
      </c>
      <c r="H87" s="264">
        <f t="shared" si="104"/>
        <v>4018.4669999999996</v>
      </c>
      <c r="I87" s="264">
        <f t="shared" si="104"/>
        <v>2171.27</v>
      </c>
      <c r="J87" s="264">
        <f t="shared" si="104"/>
        <v>6261.3210000000008</v>
      </c>
      <c r="K87" s="264">
        <f t="shared" si="104"/>
        <v>9135.0339999999997</v>
      </c>
      <c r="L87" s="264">
        <f t="shared" si="104"/>
        <v>19991.723699999999</v>
      </c>
      <c r="M87" s="264">
        <f t="shared" si="104"/>
        <v>-14255.250900000025</v>
      </c>
      <c r="N87" s="264">
        <f t="shared" si="104"/>
        <v>4359.5800100000179</v>
      </c>
      <c r="O87" s="264">
        <f t="shared" si="104"/>
        <v>4284.8532999999989</v>
      </c>
      <c r="P87" s="264">
        <f t="shared" si="104"/>
        <v>9761.2691400000185</v>
      </c>
      <c r="Q87" s="264">
        <f t="shared" si="104"/>
        <v>57.954070000036154</v>
      </c>
      <c r="R87" s="264">
        <f t="shared" si="104"/>
        <v>7345.8183899999567</v>
      </c>
      <c r="S87" s="264">
        <f t="shared" ref="S87:T87" si="105">S44</f>
        <v>-18623.041600000011</v>
      </c>
      <c r="T87" s="264">
        <f t="shared" si="105"/>
        <v>19548.879910000003</v>
      </c>
      <c r="U87" s="264">
        <f t="shared" ref="U87:V87" si="106">U44</f>
        <v>27154.723109999999</v>
      </c>
      <c r="V87" s="264">
        <f t="shared" si="106"/>
        <v>42282.007184334791</v>
      </c>
      <c r="W87" s="264"/>
      <c r="X87" s="446">
        <f t="shared" si="79"/>
        <v>0.55707745621475402</v>
      </c>
      <c r="Y87" s="446">
        <f t="shared" si="80"/>
        <v>4.7559287392531138</v>
      </c>
    </row>
    <row r="88" spans="2:25" ht="13" customHeight="1">
      <c r="B88" s="8"/>
      <c r="C88" s="209"/>
      <c r="D88" s="209"/>
      <c r="E88" s="209"/>
      <c r="F88" s="209"/>
      <c r="G88" s="209"/>
      <c r="H88" s="209"/>
      <c r="I88" s="209"/>
      <c r="J88" s="209"/>
      <c r="K88" s="209"/>
      <c r="L88" s="209"/>
      <c r="M88" s="209"/>
      <c r="N88" s="209"/>
      <c r="O88" s="209"/>
      <c r="P88" s="209"/>
      <c r="Q88" s="209"/>
      <c r="R88" s="209"/>
      <c r="S88" s="209"/>
      <c r="T88" s="209"/>
      <c r="U88" s="209"/>
      <c r="V88" s="209"/>
      <c r="X88" s="182"/>
      <c r="Y88" s="182"/>
    </row>
    <row r="89" spans="2:25" ht="13" customHeight="1">
      <c r="B89" s="52" t="str">
        <f>IF('Summary | Sumário'!D$6=Names!B$3,Names!O82,Names!P82)</f>
        <v>Implied rates</v>
      </c>
      <c r="X89" s="181"/>
      <c r="Y89" s="181"/>
    </row>
    <row r="90" spans="2:25" ht="13" customHeight="1">
      <c r="B90" s="356" t="str">
        <f>IF('Summary | Sumário'!D$6=Names!B$3,Names!O83,Names!P83)</f>
        <v>All-in rate (%)</v>
      </c>
      <c r="C90" s="677">
        <v>0</v>
      </c>
      <c r="D90" s="679">
        <f>((D77/AVERAGE(D66)))</f>
        <v>0.1047081880439219</v>
      </c>
      <c r="E90" s="679">
        <f t="shared" ref="E90:F90" si="107">((E77/AVERAGE(D66:E66)+1))-1</f>
        <v>0.12590017223377448</v>
      </c>
      <c r="F90" s="679">
        <f t="shared" si="107"/>
        <v>0.15704765193140835</v>
      </c>
      <c r="G90" s="679">
        <f>((G77/AVERAGE(F66:G66)+1))-1</f>
        <v>0.1846436176241828</v>
      </c>
      <c r="H90" s="679">
        <f>((H77/AVERAGE(H66,D66)+1)^4)-1</f>
        <v>0.14145709739371348</v>
      </c>
      <c r="I90" s="679">
        <f t="shared" ref="I90:T90" si="108">((I77/AVERAGE(H66:I66)+1)^4)-1</f>
        <v>0.12001724608674325</v>
      </c>
      <c r="J90" s="679">
        <f t="shared" si="108"/>
        <v>0.13177960977619052</v>
      </c>
      <c r="K90" s="679">
        <f t="shared" si="108"/>
        <v>0.14504583836768137</v>
      </c>
      <c r="L90" s="679">
        <f t="shared" si="108"/>
        <v>0.14835051044173042</v>
      </c>
      <c r="M90" s="679">
        <f t="shared" si="108"/>
        <v>0.16854513879351618</v>
      </c>
      <c r="N90" s="679">
        <f t="shared" si="108"/>
        <v>0.18774945856548442</v>
      </c>
      <c r="O90" s="679">
        <f t="shared" si="108"/>
        <v>0.18814434315369089</v>
      </c>
      <c r="P90" s="679">
        <f t="shared" si="108"/>
        <v>0.19915520287433885</v>
      </c>
      <c r="Q90" s="679">
        <f t="shared" si="108"/>
        <v>0.21016334238648682</v>
      </c>
      <c r="R90" s="679">
        <f t="shared" si="108"/>
        <v>0.20661550221764813</v>
      </c>
      <c r="S90" s="679">
        <f t="shared" si="108"/>
        <v>0.20091041019458067</v>
      </c>
      <c r="T90" s="679">
        <f t="shared" si="108"/>
        <v>0.21080238752839575</v>
      </c>
      <c r="U90" s="679">
        <f>((U77/AVERAGE(T66:U66)+1)^4)-1</f>
        <v>0.21006323493107515</v>
      </c>
      <c r="V90" s="679">
        <f>((V77/AVERAGE(U66:V66)+1)^4)-1</f>
        <v>0.20559315252626842</v>
      </c>
      <c r="W90" s="424"/>
      <c r="X90" s="680">
        <f t="shared" ref="X90:X95" si="109">(V90-U90)*100</f>
        <v>-0.447008240480673</v>
      </c>
      <c r="Y90" s="680">
        <f t="shared" ref="Y90:Y95" si="110">(V90-R90)*100</f>
        <v>-0.10223496913797092</v>
      </c>
    </row>
    <row r="91" spans="2:25" ht="13" customHeight="1">
      <c r="B91" s="17" t="str">
        <f>IF('Summary | Sumário'!D$6=Names!B$3,Names!O84,Names!P84)</f>
        <v>Real estate net of hedge accounting (%)</v>
      </c>
      <c r="C91" s="264">
        <v>0</v>
      </c>
      <c r="D91" s="186">
        <f>((D78/AVERAGE(D67)))</f>
        <v>0.10487176981002902</v>
      </c>
      <c r="E91" s="186">
        <f t="shared" ref="E91:F91" si="111">((E78/AVERAGE(D67:E67)+1))-1</f>
        <v>0.11780885551766973</v>
      </c>
      <c r="F91" s="186">
        <f t="shared" si="111"/>
        <v>0.12070913664410376</v>
      </c>
      <c r="G91" s="186">
        <f>((G78/AVERAGE(F67:G67)+1))-1</f>
        <v>0.12355060899211145</v>
      </c>
      <c r="H91" s="186">
        <f>((H78/AVERAGE(D67,H67)+1)^4)-1</f>
        <v>0.13960916231790121</v>
      </c>
      <c r="I91" s="186">
        <f t="shared" ref="I91:V91" si="112">((I78/AVERAGE(H67:I67)+1)^4)-1</f>
        <v>0.10190862569461623</v>
      </c>
      <c r="J91" s="186">
        <f t="shared" si="112"/>
        <v>0.13007606927532178</v>
      </c>
      <c r="K91" s="186">
        <f t="shared" si="112"/>
        <v>0.12344288745102516</v>
      </c>
      <c r="L91" s="186">
        <f t="shared" si="112"/>
        <v>0.12390384526537068</v>
      </c>
      <c r="M91" s="186">
        <f t="shared" si="112"/>
        <v>0.14881297718441022</v>
      </c>
      <c r="N91" s="186">
        <f t="shared" si="112"/>
        <v>0.11532393671744878</v>
      </c>
      <c r="O91" s="186">
        <f t="shared" si="112"/>
        <v>0.12144612894237694</v>
      </c>
      <c r="P91" s="186">
        <f t="shared" si="112"/>
        <v>0.14080701525935813</v>
      </c>
      <c r="Q91" s="186">
        <f t="shared" si="112"/>
        <v>0.14594668266669952</v>
      </c>
      <c r="R91" s="186">
        <f t="shared" si="112"/>
        <v>0.12443874399941635</v>
      </c>
      <c r="S91" s="186">
        <f t="shared" si="112"/>
        <v>0.12914043405586395</v>
      </c>
      <c r="T91" s="186">
        <f t="shared" si="112"/>
        <v>0.14015263470459161</v>
      </c>
      <c r="U91" s="186">
        <f t="shared" si="112"/>
        <v>0.14936733438649541</v>
      </c>
      <c r="V91" s="186">
        <f t="shared" si="112"/>
        <v>0.12203695028460482</v>
      </c>
      <c r="W91" s="186"/>
      <c r="X91" s="454">
        <f t="shared" si="109"/>
        <v>-2.7330384101890592</v>
      </c>
      <c r="Y91" s="454">
        <f t="shared" si="110"/>
        <v>-0.24017937148115287</v>
      </c>
    </row>
    <row r="92" spans="2:25" ht="13" customHeight="1">
      <c r="B92" s="23" t="str">
        <f>IF('Summary | Sumário'!D$6=Names!B$3,Names!O85,Names!P85)</f>
        <v>Personal net of hedge accounting (%)</v>
      </c>
      <c r="C92" s="269">
        <v>0</v>
      </c>
      <c r="D92" s="274">
        <f>((D81/AVERAGE(D68)))</f>
        <v>0.11767935566059531</v>
      </c>
      <c r="E92" s="274">
        <f t="shared" ref="E92:F92" si="113">((E81/AVERAGE(D68:E68)+1))-1</f>
        <v>0.12209654992119945</v>
      </c>
      <c r="F92" s="274">
        <f t="shared" si="113"/>
        <v>0.12898232237436336</v>
      </c>
      <c r="G92" s="274">
        <f>((G81/AVERAGE(F68:G68)+1))-1</f>
        <v>0.16070813208781587</v>
      </c>
      <c r="H92" s="274">
        <f>((H81/AVERAGE(D68,H68)+1)^4)-1</f>
        <v>0.14255403353395346</v>
      </c>
      <c r="I92" s="274">
        <f t="shared" ref="I92:T92" si="114">((I81/AVERAGE(H68:I68)+1)^4)-1</f>
        <v>0.12921943057949825</v>
      </c>
      <c r="J92" s="274">
        <f t="shared" si="114"/>
        <v>0.12433354838978916</v>
      </c>
      <c r="K92" s="274">
        <f t="shared" si="114"/>
        <v>0.12164462530105191</v>
      </c>
      <c r="L92" s="274">
        <f t="shared" si="114"/>
        <v>0.12026347607482735</v>
      </c>
      <c r="M92" s="274">
        <f t="shared" si="114"/>
        <v>0.13333814712064163</v>
      </c>
      <c r="N92" s="274">
        <f t="shared" si="114"/>
        <v>0.14094797150740179</v>
      </c>
      <c r="O92" s="274">
        <f t="shared" si="114"/>
        <v>0.14575352402368003</v>
      </c>
      <c r="P92" s="274">
        <f t="shared" si="114"/>
        <v>0.15303365779610112</v>
      </c>
      <c r="Q92" s="274">
        <f t="shared" si="114"/>
        <v>0.17143184914060194</v>
      </c>
      <c r="R92" s="274">
        <f t="shared" si="114"/>
        <v>0.16850213419115523</v>
      </c>
      <c r="S92" s="274">
        <f t="shared" si="114"/>
        <v>0.17790589321003303</v>
      </c>
      <c r="T92" s="274">
        <f t="shared" si="114"/>
        <v>0.18604344023571406</v>
      </c>
      <c r="U92" s="274">
        <f>((U81/AVERAGE(T68:U68)+1)^4)-1</f>
        <v>0.18507934155981309</v>
      </c>
      <c r="V92" s="274">
        <f>((V81/AVERAGE(U68:V68)+1)^4)-1</f>
        <v>0.20180925523482385</v>
      </c>
      <c r="W92" s="186"/>
      <c r="X92" s="453">
        <f t="shared" si="109"/>
        <v>1.6729913675010755</v>
      </c>
      <c r="Y92" s="453">
        <f t="shared" si="110"/>
        <v>3.3307121043668619</v>
      </c>
    </row>
    <row r="93" spans="2:25" ht="13" customHeight="1">
      <c r="B93" s="17" t="str">
        <f>IF('Summary | Sumário'!D$6=Names!B$3,Names!O86,Names!P86)</f>
        <v>SME (%)</v>
      </c>
      <c r="C93" s="264">
        <v>0</v>
      </c>
      <c r="D93" s="186">
        <f>((D84/AVERAGE(D69)))</f>
        <v>3.7900012515249208E-2</v>
      </c>
      <c r="E93" s="186">
        <f t="shared" ref="E93:F93" si="115">((E84/AVERAGE(D69:E69)+1))-1</f>
        <v>8.0926401752337229E-2</v>
      </c>
      <c r="F93" s="186">
        <f t="shared" si="115"/>
        <v>0.14061598035090483</v>
      </c>
      <c r="G93" s="186">
        <f>((G84/AVERAGE(F69:G69)+1))-1</f>
        <v>0.14407028230522823</v>
      </c>
      <c r="H93" s="186">
        <f>((H84/AVERAGE(D69,H69)+1)^4)-1</f>
        <v>5.287812357767141E-2</v>
      </c>
      <c r="I93" s="186">
        <f t="shared" ref="I93:V93" si="116">((I84/AVERAGE(H69:I69)+1)^4)-1</f>
        <v>8.3530222746464489E-2</v>
      </c>
      <c r="J93" s="186">
        <f t="shared" si="116"/>
        <v>7.2330056118097952E-2</v>
      </c>
      <c r="K93" s="186">
        <f t="shared" si="116"/>
        <v>0.12452165667114934</v>
      </c>
      <c r="L93" s="186">
        <f t="shared" si="116"/>
        <v>0.11878339098679125</v>
      </c>
      <c r="M93" s="186">
        <f t="shared" si="116"/>
        <v>0.15518910007411235</v>
      </c>
      <c r="N93" s="186">
        <f t="shared" si="116"/>
        <v>0.16180709347410005</v>
      </c>
      <c r="O93" s="186">
        <f t="shared" si="116"/>
        <v>0.19703599512306247</v>
      </c>
      <c r="P93" s="186">
        <f t="shared" si="116"/>
        <v>0.16185223715062791</v>
      </c>
      <c r="Q93" s="186">
        <f t="shared" si="116"/>
        <v>0.16166793069063989</v>
      </c>
      <c r="R93" s="186">
        <f t="shared" si="116"/>
        <v>0.16811562153127424</v>
      </c>
      <c r="S93" s="186">
        <f t="shared" si="116"/>
        <v>0.169168019688543</v>
      </c>
      <c r="T93" s="186">
        <f t="shared" si="116"/>
        <v>0.14540437803132478</v>
      </c>
      <c r="U93" s="186">
        <f t="shared" si="116"/>
        <v>0.16695440538777295</v>
      </c>
      <c r="V93" s="186">
        <f t="shared" si="116"/>
        <v>0.14409182784875063</v>
      </c>
      <c r="W93" s="186"/>
      <c r="X93" s="454">
        <f t="shared" si="109"/>
        <v>-2.2862577539022322</v>
      </c>
      <c r="Y93" s="454">
        <f t="shared" si="110"/>
        <v>-2.4023793682523609</v>
      </c>
    </row>
    <row r="94" spans="2:25" ht="13" customHeight="1">
      <c r="B94" s="23" t="str">
        <f>IF('Summary | Sumário'!D$6=Names!B$3,Names!O87,Names!P87)</f>
        <v>Credit cards (%)</v>
      </c>
      <c r="C94" s="269">
        <v>0</v>
      </c>
      <c r="D94" s="274">
        <f>((D85/AVERAGE(D70)))</f>
        <v>0.513782772670344</v>
      </c>
      <c r="E94" s="274">
        <f t="shared" ref="E94:F94" si="117">((E85/AVERAGE(D70:E70)))</f>
        <v>0.54093104484128296</v>
      </c>
      <c r="F94" s="274">
        <f t="shared" si="117"/>
        <v>0.67227515902400814</v>
      </c>
      <c r="G94" s="274">
        <f>((G85/AVERAGE(F70:G70)))</f>
        <v>0.72680866669707223</v>
      </c>
      <c r="H94" s="274">
        <f>((H85*4/AVERAGE(D70,H70)))</f>
        <v>0.65473226137019969</v>
      </c>
      <c r="I94" s="274">
        <f t="shared" ref="I94:R94" si="118">((I85*4/AVERAGE(H70:I70)))</f>
        <v>0.4687272493771088</v>
      </c>
      <c r="J94" s="274">
        <f t="shared" si="118"/>
        <v>0.53217245871666763</v>
      </c>
      <c r="K94" s="274">
        <f t="shared" si="118"/>
        <v>0.59344103018622585</v>
      </c>
      <c r="L94" s="274">
        <f t="shared" si="118"/>
        <v>0.57893090375890244</v>
      </c>
      <c r="M94" s="274">
        <f t="shared" si="118"/>
        <v>0.57417187234470979</v>
      </c>
      <c r="N94" s="274">
        <f t="shared" si="118"/>
        <v>0.77458262934943811</v>
      </c>
      <c r="O94" s="274">
        <f t="shared" si="118"/>
        <v>0.68908620557722866</v>
      </c>
      <c r="P94" s="274">
        <f t="shared" si="118"/>
        <v>0.71465505874008561</v>
      </c>
      <c r="Q94" s="274">
        <f t="shared" si="118"/>
        <v>0.7276700945389164</v>
      </c>
      <c r="R94" s="274">
        <f t="shared" si="118"/>
        <v>0.72975536090869786</v>
      </c>
      <c r="S94" s="274">
        <f>((S85*4/AVERAGE(R70:S70)))</f>
        <v>0.69252999175534213</v>
      </c>
      <c r="T94" s="274">
        <f>((T85*4/AVERAGE(S70:T70)))</f>
        <v>0.67964787730003418</v>
      </c>
      <c r="U94" s="274">
        <f>((U85*4/AVERAGE(T70:U70)))</f>
        <v>0.66481922171007568</v>
      </c>
      <c r="V94" s="274">
        <f>((V85*4/AVERAGE(U70:V70)))</f>
        <v>0.67951298855656705</v>
      </c>
      <c r="W94" s="186"/>
      <c r="X94" s="453">
        <f t="shared" si="109"/>
        <v>1.4693766846491374</v>
      </c>
      <c r="Y94" s="453">
        <f t="shared" si="110"/>
        <v>-5.0242372352130804</v>
      </c>
    </row>
    <row r="95" spans="2:25" ht="14" customHeight="1">
      <c r="B95" s="17" t="str">
        <f>IF('Summary | Sumário'!D$6=Names!B$3,Names!O89,Names!P89)</f>
        <v>Prepayment of receivables (%)</v>
      </c>
      <c r="C95" s="264">
        <v>0</v>
      </c>
      <c r="D95" s="264">
        <v>0</v>
      </c>
      <c r="E95" s="424">
        <f t="shared" ref="E95:F95" si="119">((E86/AVERAGE(D74:E74)+1))-1</f>
        <v>8.413518771972206E-2</v>
      </c>
      <c r="F95" s="424">
        <f t="shared" si="119"/>
        <v>9.4883616658324677E-2</v>
      </c>
      <c r="G95" s="424">
        <f>((G86/AVERAGE(F74:G74)+1))-1</f>
        <v>0.15731809833297694</v>
      </c>
      <c r="H95" s="424">
        <f>((H86/AVERAGE(D74,H74)+1)^4)-1</f>
        <v>0.26039742256808451</v>
      </c>
      <c r="I95" s="424">
        <f t="shared" ref="I95:V95" si="120">((I86/AVERAGE(H74:I74)+1)^4)-1</f>
        <v>0.14783862266255832</v>
      </c>
      <c r="J95" s="424">
        <f t="shared" si="120"/>
        <v>6.459029810892325E-2</v>
      </c>
      <c r="K95" s="424">
        <f t="shared" si="120"/>
        <v>0.12461856520973669</v>
      </c>
      <c r="L95" s="424">
        <f t="shared" si="120"/>
        <v>6.658196771964553E-2</v>
      </c>
      <c r="M95" s="424">
        <f t="shared" si="120"/>
        <v>0.20961222212585384</v>
      </c>
      <c r="N95" s="424">
        <f t="shared" si="120"/>
        <v>0.20021568035746928</v>
      </c>
      <c r="O95" s="424">
        <f t="shared" si="120"/>
        <v>0.13376298520647723</v>
      </c>
      <c r="P95" s="424">
        <f t="shared" si="120"/>
        <v>0.17549478254727435</v>
      </c>
      <c r="Q95" s="424">
        <f t="shared" si="120"/>
        <v>0.19535247550652524</v>
      </c>
      <c r="R95" s="424">
        <f t="shared" si="120"/>
        <v>0.2034848250158352</v>
      </c>
      <c r="S95" s="424">
        <f t="shared" si="120"/>
        <v>0.20041020690686762</v>
      </c>
      <c r="T95" s="424">
        <f t="shared" si="120"/>
        <v>0.20315318920311509</v>
      </c>
      <c r="U95" s="424">
        <f t="shared" si="120"/>
        <v>0.11204030807884102</v>
      </c>
      <c r="V95" s="424">
        <f t="shared" si="120"/>
        <v>0.16450701318036032</v>
      </c>
      <c r="W95" s="424"/>
      <c r="X95" s="674">
        <f t="shared" si="109"/>
        <v>5.2466705101519295</v>
      </c>
      <c r="Y95" s="674">
        <f t="shared" si="110"/>
        <v>-3.8977811835474885</v>
      </c>
    </row>
    <row r="96" spans="2:25" ht="13" customHeight="1">
      <c r="B96" s="17"/>
      <c r="Q96" s="186"/>
      <c r="R96" s="186"/>
      <c r="S96" s="186"/>
      <c r="T96" s="186"/>
      <c r="U96" s="186"/>
      <c r="V96" s="186"/>
      <c r="W96" s="186"/>
      <c r="X96" s="181"/>
      <c r="Y96" s="181"/>
    </row>
    <row r="97" spans="2:25" ht="13" customHeight="1">
      <c r="B97" s="54" t="str">
        <f>IF('Summary | Sumário'!D$6=Names!B$3,Names!O101,Names!P102)</f>
        <v>Renegotiated Portfolio</v>
      </c>
      <c r="C97" s="209"/>
      <c r="D97" s="209"/>
      <c r="E97" s="209"/>
      <c r="F97" s="209"/>
      <c r="G97" s="209"/>
      <c r="H97" s="209"/>
      <c r="I97" s="209"/>
      <c r="J97" s="209"/>
      <c r="K97" s="209"/>
      <c r="L97" s="209"/>
      <c r="M97" s="209"/>
      <c r="N97" s="209"/>
      <c r="O97" s="209"/>
      <c r="P97" s="209"/>
      <c r="Q97" s="209"/>
      <c r="R97" s="209"/>
      <c r="S97" s="209"/>
      <c r="T97" s="209"/>
      <c r="U97" s="209"/>
      <c r="V97" s="209"/>
      <c r="X97" s="182"/>
      <c r="Y97" s="182"/>
    </row>
    <row r="98" spans="2:25" ht="13" customHeight="1">
      <c r="B98" s="359" t="str">
        <f>IF('Summary | Sumário'!D$6=Names!B$3,Names!O102,Names!P102)</f>
        <v>Renegotiated portfolio</v>
      </c>
      <c r="C98" s="675" t="s">
        <v>911</v>
      </c>
      <c r="D98" s="675" t="s">
        <v>911</v>
      </c>
      <c r="E98" s="675" t="s">
        <v>911</v>
      </c>
      <c r="F98" s="675">
        <f>O98</f>
        <v>807372.72962999996</v>
      </c>
      <c r="G98" s="675">
        <f>S98</f>
        <v>1013503.8981579969</v>
      </c>
      <c r="H98" s="675" t="s">
        <v>911</v>
      </c>
      <c r="I98" s="675" t="s">
        <v>911</v>
      </c>
      <c r="J98" s="675" t="s">
        <v>911</v>
      </c>
      <c r="K98" s="675" t="s">
        <v>911</v>
      </c>
      <c r="L98" s="675">
        <v>705976.27219999675</v>
      </c>
      <c r="M98" s="675">
        <v>721629.40601000446</v>
      </c>
      <c r="N98" s="675">
        <v>788511.83772999898</v>
      </c>
      <c r="O98" s="675">
        <v>807372.72962999996</v>
      </c>
      <c r="P98" s="675">
        <v>839302.77655999793</v>
      </c>
      <c r="Q98" s="675">
        <v>925448.81361999619</v>
      </c>
      <c r="R98" s="675">
        <v>971835.995925333</v>
      </c>
      <c r="S98" s="675">
        <v>1013503.8981579969</v>
      </c>
      <c r="T98" s="675">
        <v>1089191.80005044</v>
      </c>
      <c r="U98" s="675">
        <v>1481864.0399573899</v>
      </c>
      <c r="V98" s="675">
        <v>1582106.37561</v>
      </c>
      <c r="W98" s="664"/>
      <c r="X98" s="676">
        <f>V98/U98-1</f>
        <v>6.7646108515793779E-2</v>
      </c>
      <c r="Y98" s="676">
        <f>V98/R98-1</f>
        <v>0.62795613894049929</v>
      </c>
    </row>
    <row r="99" spans="2:25" ht="13" customHeight="1">
      <c r="B99" s="55" t="str">
        <f>IF('Summary | Sumário'!D$6=Names!B$3,Names!O103,Names!P103)</f>
        <v>Renegotiated portfolio (% of total gross loan portfolio)</v>
      </c>
      <c r="C99" s="210" t="s">
        <v>911</v>
      </c>
      <c r="D99" s="210" t="s">
        <v>911</v>
      </c>
      <c r="E99" s="210" t="s">
        <v>911</v>
      </c>
      <c r="F99" s="481">
        <f>O99</f>
        <v>3.2894921768841769E-2</v>
      </c>
      <c r="G99" s="481">
        <f>S99</f>
        <v>3.2671713473043845E-2</v>
      </c>
      <c r="H99" s="210" t="s">
        <v>911</v>
      </c>
      <c r="I99" s="210" t="s">
        <v>911</v>
      </c>
      <c r="J99" s="210" t="s">
        <v>911</v>
      </c>
      <c r="K99" s="210" t="s">
        <v>911</v>
      </c>
      <c r="L99" s="274">
        <f t="shared" ref="L99:V99" si="121">L98/L12</f>
        <v>3.8112142211782558E-2</v>
      </c>
      <c r="M99" s="274">
        <f t="shared" si="121"/>
        <v>3.6327473393210095E-2</v>
      </c>
      <c r="N99" s="274">
        <f t="shared" si="121"/>
        <v>3.5784429560735319E-2</v>
      </c>
      <c r="O99" s="274">
        <f t="shared" si="121"/>
        <v>3.2894921768841769E-2</v>
      </c>
      <c r="P99" s="274">
        <f t="shared" si="121"/>
        <v>3.3399372181427349E-2</v>
      </c>
      <c r="Q99" s="274">
        <f t="shared" si="121"/>
        <v>3.4956418724380732E-2</v>
      </c>
      <c r="R99" s="274">
        <f t="shared" si="121"/>
        <v>3.4390630748343372E-2</v>
      </c>
      <c r="S99" s="274">
        <f t="shared" si="121"/>
        <v>3.2671713473043845E-2</v>
      </c>
      <c r="T99" s="274">
        <f t="shared" si="121"/>
        <v>3.3885159181503054E-2</v>
      </c>
      <c r="U99" s="274">
        <f t="shared" si="121"/>
        <v>4.1538616690767527E-2</v>
      </c>
      <c r="V99" s="274">
        <f t="shared" si="121"/>
        <v>4.1568867080372267E-2</v>
      </c>
      <c r="W99" s="186"/>
      <c r="X99" s="453">
        <f>(V99-U99)*100</f>
        <v>3.0250389604739858E-3</v>
      </c>
      <c r="Y99" s="453">
        <f>(V99-R99)*100</f>
        <v>0.71782363320288955</v>
      </c>
    </row>
    <row r="100" spans="2:25" ht="13" customHeight="1">
      <c r="V100" s="273"/>
      <c r="W100" s="185"/>
      <c r="X100" s="273"/>
      <c r="Y100" s="273"/>
    </row>
    <row r="101" spans="2:25" ht="13" customHeight="1">
      <c r="O101" s="268"/>
      <c r="P101" s="268"/>
      <c r="Q101" s="268"/>
      <c r="R101" s="268"/>
      <c r="S101" s="268"/>
      <c r="T101" s="268"/>
      <c r="U101" s="268"/>
      <c r="V101" s="268"/>
      <c r="W101" s="186"/>
      <c r="X101" s="268"/>
      <c r="Y101" s="268"/>
    </row>
    <row r="102" spans="2:25" ht="13" customHeight="1">
      <c r="L102" s="268"/>
      <c r="M102" s="268"/>
      <c r="N102" s="268"/>
      <c r="O102" s="268"/>
      <c r="P102" s="268"/>
      <c r="Q102" s="268"/>
      <c r="R102" s="268"/>
      <c r="S102" s="268"/>
      <c r="T102" s="268"/>
      <c r="U102" s="268"/>
      <c r="V102" s="268"/>
      <c r="W102" s="186"/>
      <c r="X102" s="268"/>
      <c r="Y102" s="268"/>
    </row>
    <row r="103" spans="2:25" ht="13" customHeight="1">
      <c r="V103" s="222"/>
      <c r="W103" s="222"/>
      <c r="X103" s="222"/>
      <c r="Y103" s="222"/>
    </row>
    <row r="104" spans="2:25" ht="13" customHeight="1">
      <c r="R104" s="268"/>
      <c r="S104" s="268"/>
      <c r="T104" s="268"/>
      <c r="U104" s="268"/>
      <c r="V104" s="268"/>
      <c r="W104" s="186"/>
      <c r="X104" s="268"/>
      <c r="Y104" s="268"/>
    </row>
  </sheetData>
  <sheetProtection algorithmName="SHA-512" hashValue="vq+Y5MDhy4n7pE0JzF2lz0L7BIw0CVSXo/7q+COR7i4MxSjocI/NSVV5rkFQ4u002cQTpcs3z/TQQxQN+OnSkg==" saltValue="g2BOn4cjMnJOjZLTiUP/lA==" spinCount="100000" sheet="1"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3DA34-577B-0D4F-A470-EDBEC7EC6F82}">
  <sheetPr>
    <tabColor rgb="FFEB7100"/>
  </sheetPr>
  <dimension ref="A1:AC58"/>
  <sheetViews>
    <sheetView showGridLines="0" zoomScaleNormal="100" zoomScaleSheetLayoutView="5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5" customWidth="1"/>
    <col min="23" max="23" width="5.83203125" style="135" customWidth="1"/>
    <col min="24" max="25" width="10.83203125" style="135" customWidth="1"/>
    <col min="26" max="16384" width="10.83203125" style="135"/>
  </cols>
  <sheetData>
    <row r="1" spans="1:29" ht="13" customHeight="1">
      <c r="C1" s="136"/>
      <c r="D1" s="136"/>
      <c r="E1" s="136"/>
      <c r="F1" s="136"/>
      <c r="H1" s="136"/>
      <c r="I1" s="136"/>
      <c r="J1" s="136"/>
      <c r="K1" s="136"/>
      <c r="L1" s="136"/>
      <c r="M1" s="136"/>
      <c r="N1" s="136"/>
      <c r="O1" s="136"/>
      <c r="P1" s="136"/>
    </row>
    <row r="2" spans="1:29" s="10" customFormat="1" ht="13" customHeight="1">
      <c r="B2" s="319" t="str">
        <f>IF('Summary | Sumário'!D$6=Names!B$3,Names!Q1,Names!R1)</f>
        <v>Funding (IFRS,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70"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1:29" ht="13" customHeight="1">
      <c r="B3" s="14"/>
      <c r="C3" s="146"/>
      <c r="D3" s="146"/>
      <c r="E3" s="147"/>
      <c r="F3" s="147"/>
      <c r="G3" s="147"/>
      <c r="H3" s="147"/>
      <c r="I3" s="147"/>
      <c r="J3" s="147"/>
      <c r="K3" s="147"/>
      <c r="L3" s="147"/>
      <c r="M3" s="147"/>
      <c r="N3" s="147"/>
      <c r="O3" s="147"/>
      <c r="P3" s="147"/>
      <c r="Q3" s="147"/>
      <c r="R3" s="147"/>
      <c r="S3" s="147"/>
      <c r="T3" s="147"/>
      <c r="U3" s="147"/>
      <c r="V3" s="147"/>
      <c r="W3" s="147"/>
      <c r="X3" s="147"/>
      <c r="Y3" s="147"/>
    </row>
    <row r="4" spans="1:29" s="168" customFormat="1" ht="13" customHeight="1">
      <c r="A4" s="166"/>
      <c r="B4" s="3" t="str">
        <f>IF('Summary | Sumário'!D$6=Names!B$3,Names!Q2,Names!R2)</f>
        <v>Funding - including other interest bearing liabilities</v>
      </c>
      <c r="C4" s="211"/>
      <c r="Z4" s="255"/>
    </row>
    <row r="5" spans="1:29" ht="13" customHeight="1">
      <c r="A5" s="249"/>
      <c r="B5" s="323" t="str">
        <f>IF('Summary | Sumário'!D$6=Names!B$3,Names!Q3,Names!R3)</f>
        <v>Liabilities with customers</v>
      </c>
      <c r="C5" s="357">
        <v>4714439</v>
      </c>
      <c r="D5" s="357">
        <v>12436632</v>
      </c>
      <c r="E5" s="357">
        <f>K5</f>
        <v>18333543</v>
      </c>
      <c r="F5" s="357">
        <f>O5</f>
        <v>23642804</v>
      </c>
      <c r="G5" s="357">
        <f>S5</f>
        <v>32651620</v>
      </c>
      <c r="H5" s="357">
        <v>13392679</v>
      </c>
      <c r="I5" s="357">
        <v>15629130.619999999</v>
      </c>
      <c r="J5" s="357">
        <v>17093473.298</v>
      </c>
      <c r="K5" s="357">
        <v>18333543</v>
      </c>
      <c r="L5" s="357">
        <v>18958118</v>
      </c>
      <c r="M5" s="357">
        <v>19746409</v>
      </c>
      <c r="N5" s="357">
        <v>21452026</v>
      </c>
      <c r="O5" s="357">
        <v>23642804</v>
      </c>
      <c r="P5" s="357">
        <v>24182006</v>
      </c>
      <c r="Q5" s="357">
        <v>26299326</v>
      </c>
      <c r="R5" s="357">
        <v>29063988</v>
      </c>
      <c r="S5" s="357">
        <v>32651620</v>
      </c>
      <c r="T5" s="357">
        <v>32643444.086135942</v>
      </c>
      <c r="U5" s="357">
        <v>35978318.071000002</v>
      </c>
      <c r="V5" s="357">
        <v>39129758.61366</v>
      </c>
      <c r="W5" s="211"/>
      <c r="X5" s="455">
        <f>V5/U5-1</f>
        <v>8.759277008004962E-2</v>
      </c>
      <c r="Y5" s="455">
        <f>V5/R5-1</f>
        <v>0.34633136421815203</v>
      </c>
    </row>
    <row r="6" spans="1:29" ht="13" customHeight="1">
      <c r="A6" s="249"/>
      <c r="B6" s="17" t="str">
        <f>IF('Summary | Sumário'!D$6=Names!B$3,Names!Q4,Names!R4)</f>
        <v>Demand deposits</v>
      </c>
      <c r="C6" s="211">
        <v>2094127</v>
      </c>
      <c r="D6" s="211">
        <v>6713351</v>
      </c>
      <c r="E6" s="211">
        <f t="shared" ref="E6:E15" si="0">K6</f>
        <v>9932809</v>
      </c>
      <c r="F6" s="211">
        <f t="shared" ref="F6:F15" si="1">O6</f>
        <v>11566826</v>
      </c>
      <c r="G6" s="211">
        <f t="shared" ref="G6:G15" si="2">S6</f>
        <v>2572536</v>
      </c>
      <c r="H6" s="211">
        <v>6984899</v>
      </c>
      <c r="I6" s="211">
        <v>8299742</v>
      </c>
      <c r="J6" s="211">
        <v>9163029</v>
      </c>
      <c r="K6" s="211">
        <v>9932809</v>
      </c>
      <c r="L6" s="211">
        <v>9620809</v>
      </c>
      <c r="M6" s="211">
        <v>9784611</v>
      </c>
      <c r="N6" s="211">
        <v>10418989</v>
      </c>
      <c r="O6" s="211">
        <v>11566826</v>
      </c>
      <c r="P6" s="211">
        <v>11005662</v>
      </c>
      <c r="Q6" s="211">
        <v>3109793</v>
      </c>
      <c r="R6" s="211">
        <v>1813779</v>
      </c>
      <c r="S6" s="211">
        <v>2572536</v>
      </c>
      <c r="T6" s="211">
        <v>1593427.4698459422</v>
      </c>
      <c r="U6" s="211">
        <v>1431720.5060000001</v>
      </c>
      <c r="V6" s="211">
        <v>1457541.7699500003</v>
      </c>
      <c r="W6" s="211"/>
      <c r="X6" s="456">
        <f t="shared" ref="X6:X15" si="3">V6/U6-1</f>
        <v>1.8035128952745616E-2</v>
      </c>
      <c r="Y6" s="456">
        <f t="shared" ref="Y6:Y15" si="4">V6/R6-1</f>
        <v>-0.1964060836794338</v>
      </c>
      <c r="Z6" s="256"/>
    </row>
    <row r="7" spans="1:29" ht="13" customHeight="1">
      <c r="A7" s="249"/>
      <c r="B7" s="23" t="str">
        <f>IF('Summary | Sumário'!D$6=Names!B$3,Names!Q5,Names!R5)</f>
        <v>Time deposits</v>
      </c>
      <c r="C7" s="206">
        <v>2259047</v>
      </c>
      <c r="D7" s="206">
        <v>4771204</v>
      </c>
      <c r="E7" s="206">
        <f t="shared" si="0"/>
        <v>6922061</v>
      </c>
      <c r="F7" s="206">
        <f t="shared" si="1"/>
        <v>10517060</v>
      </c>
      <c r="G7" s="206">
        <f t="shared" si="2"/>
        <v>28158459</v>
      </c>
      <c r="H7" s="206">
        <v>5394450</v>
      </c>
      <c r="I7" s="206">
        <v>6119961</v>
      </c>
      <c r="J7" s="206">
        <v>6580559</v>
      </c>
      <c r="K7" s="206">
        <v>6922061</v>
      </c>
      <c r="L7" s="206">
        <v>7894003</v>
      </c>
      <c r="M7" s="206">
        <v>8579727</v>
      </c>
      <c r="N7" s="206">
        <v>9558462</v>
      </c>
      <c r="O7" s="206">
        <v>10517060</v>
      </c>
      <c r="P7" s="206">
        <v>11687031</v>
      </c>
      <c r="Q7" s="206">
        <v>21616586</v>
      </c>
      <c r="R7" s="206">
        <v>25572336</v>
      </c>
      <c r="S7" s="206">
        <v>28158459</v>
      </c>
      <c r="T7" s="206">
        <v>29169018.986099999</v>
      </c>
      <c r="U7" s="206">
        <v>32531468.234000001</v>
      </c>
      <c r="V7" s="206">
        <v>35665570.401490003</v>
      </c>
      <c r="W7" s="211"/>
      <c r="X7" s="457">
        <f t="shared" si="3"/>
        <v>9.6340630707052455E-2</v>
      </c>
      <c r="Y7" s="457">
        <f t="shared" si="4"/>
        <v>0.3946934844548422</v>
      </c>
      <c r="Z7" s="257"/>
    </row>
    <row r="8" spans="1:29" ht="13" customHeight="1">
      <c r="A8" s="249"/>
      <c r="B8" s="17" t="str">
        <f>IF('Summary | Sumário'!D$6=Names!B$3,Names!Q6,Names!R6)</f>
        <v>Savings deposits</v>
      </c>
      <c r="C8" s="211">
        <v>307098</v>
      </c>
      <c r="D8" s="211">
        <v>887666</v>
      </c>
      <c r="E8" s="211">
        <f t="shared" si="0"/>
        <v>1230039</v>
      </c>
      <c r="F8" s="211">
        <f t="shared" si="1"/>
        <v>1307055</v>
      </c>
      <c r="G8" s="211">
        <f t="shared" si="2"/>
        <v>1540604</v>
      </c>
      <c r="H8" s="211">
        <v>935359</v>
      </c>
      <c r="I8" s="211">
        <v>1049178</v>
      </c>
      <c r="J8" s="211">
        <v>1138085</v>
      </c>
      <c r="K8" s="211">
        <v>1230039</v>
      </c>
      <c r="L8" s="211">
        <v>1215061</v>
      </c>
      <c r="M8" s="211">
        <v>1182012</v>
      </c>
      <c r="N8" s="211">
        <v>1216043</v>
      </c>
      <c r="O8" s="211">
        <v>1307055</v>
      </c>
      <c r="P8" s="211">
        <v>1274938</v>
      </c>
      <c r="Q8" s="211">
        <v>1305803</v>
      </c>
      <c r="R8" s="211">
        <v>1350713</v>
      </c>
      <c r="S8" s="211">
        <v>1540604</v>
      </c>
      <c r="T8" s="211">
        <v>1549652.25122</v>
      </c>
      <c r="U8" s="211">
        <v>1715785.118</v>
      </c>
      <c r="V8" s="211">
        <v>1777366.3865499999</v>
      </c>
      <c r="W8" s="211"/>
      <c r="X8" s="456">
        <f t="shared" si="3"/>
        <v>3.5891014500569751E-2</v>
      </c>
      <c r="Y8" s="456">
        <f t="shared" si="4"/>
        <v>0.3158727180015295</v>
      </c>
      <c r="Z8" s="257"/>
    </row>
    <row r="9" spans="1:29" ht="13" customHeight="1">
      <c r="A9" s="249"/>
      <c r="B9" s="23" t="str">
        <f>IF('Summary | Sumário'!D$6=Names!B$3,Names!Q7,Names!R7)</f>
        <v>Creditors by resources to release</v>
      </c>
      <c r="C9" s="206">
        <v>54167</v>
      </c>
      <c r="D9" s="206">
        <v>64410</v>
      </c>
      <c r="E9" s="206">
        <f t="shared" si="0"/>
        <v>248633</v>
      </c>
      <c r="F9" s="206">
        <f t="shared" si="1"/>
        <v>251863</v>
      </c>
      <c r="G9" s="206">
        <f t="shared" si="2"/>
        <v>380021</v>
      </c>
      <c r="H9" s="206">
        <v>77971</v>
      </c>
      <c r="I9" s="206">
        <v>160250</v>
      </c>
      <c r="J9" s="206">
        <v>211800</v>
      </c>
      <c r="K9" s="206">
        <v>248633</v>
      </c>
      <c r="L9" s="206">
        <v>228245</v>
      </c>
      <c r="M9" s="206">
        <v>200059</v>
      </c>
      <c r="N9" s="206">
        <v>258532</v>
      </c>
      <c r="O9" s="206">
        <v>251863</v>
      </c>
      <c r="P9" s="206">
        <v>214375</v>
      </c>
      <c r="Q9" s="206">
        <v>267144</v>
      </c>
      <c r="R9" s="206">
        <v>327160</v>
      </c>
      <c r="S9" s="206">
        <v>380021</v>
      </c>
      <c r="T9" s="206">
        <v>331346</v>
      </c>
      <c r="U9" s="206">
        <v>299344.21299999999</v>
      </c>
      <c r="V9" s="206">
        <v>229281.05567000003</v>
      </c>
      <c r="W9" s="211"/>
      <c r="X9" s="457">
        <f t="shared" si="3"/>
        <v>-0.23405549293181083</v>
      </c>
      <c r="Y9" s="457">
        <f t="shared" si="4"/>
        <v>-0.29917760218241829</v>
      </c>
      <c r="Z9" s="257"/>
    </row>
    <row r="10" spans="1:29" ht="13" customHeight="1">
      <c r="A10" s="249"/>
      <c r="B10" s="16" t="str">
        <f>IF('Summary | Sumário'!D$6=Names!B$3,Names!Q8,Names!R8)</f>
        <v>Securities issued</v>
      </c>
      <c r="C10" s="211">
        <v>1719580</v>
      </c>
      <c r="D10" s="211">
        <v>1729436</v>
      </c>
      <c r="E10" s="211">
        <f t="shared" si="0"/>
        <v>3572093</v>
      </c>
      <c r="F10" s="211">
        <f t="shared" si="1"/>
        <v>6202165</v>
      </c>
      <c r="G10" s="211">
        <f t="shared" si="2"/>
        <v>8095042</v>
      </c>
      <c r="H10" s="211">
        <v>1704892</v>
      </c>
      <c r="I10" s="211">
        <v>2081723</v>
      </c>
      <c r="J10" s="211">
        <v>3093320</v>
      </c>
      <c r="K10" s="211">
        <v>3572093</v>
      </c>
      <c r="L10" s="211">
        <v>4280956</v>
      </c>
      <c r="M10" s="211">
        <v>6104223</v>
      </c>
      <c r="N10" s="211">
        <v>6916919</v>
      </c>
      <c r="O10" s="211">
        <v>6202165</v>
      </c>
      <c r="P10" s="211">
        <v>6640557</v>
      </c>
      <c r="Q10" s="211">
        <v>7006191.0407400001</v>
      </c>
      <c r="R10" s="211">
        <v>7462564.5372699993</v>
      </c>
      <c r="S10" s="211">
        <v>8095042</v>
      </c>
      <c r="T10" s="211">
        <v>8249142.2142699994</v>
      </c>
      <c r="U10" s="211">
        <v>8543248.1730000004</v>
      </c>
      <c r="V10" s="211">
        <v>9047655.9166099988</v>
      </c>
      <c r="W10" s="211"/>
      <c r="X10" s="456">
        <f t="shared" si="3"/>
        <v>5.9041682202809476E-2</v>
      </c>
      <c r="Y10" s="456">
        <f t="shared" si="4"/>
        <v>0.21240571809109832</v>
      </c>
      <c r="Z10" s="257"/>
    </row>
    <row r="11" spans="1:29" ht="13" customHeight="1">
      <c r="A11" s="249"/>
      <c r="B11" s="22" t="str">
        <f>IF('Summary | Sumário'!D$6=Names!B$3,Names!Q24,Names!R24)</f>
        <v>Interest bearing liabilities with financial institutions</v>
      </c>
      <c r="C11" s="206">
        <f>SUM(C12:C13)</f>
        <v>510733</v>
      </c>
      <c r="D11" s="206">
        <f t="shared" ref="D11:R11" si="5">SUM(D12:D13)</f>
        <v>102874</v>
      </c>
      <c r="E11" s="206">
        <f t="shared" si="0"/>
        <v>1113010</v>
      </c>
      <c r="F11" s="206">
        <f t="shared" si="1"/>
        <v>2635401</v>
      </c>
      <c r="G11" s="206">
        <f t="shared" si="2"/>
        <v>2658958</v>
      </c>
      <c r="H11" s="206">
        <f t="shared" si="5"/>
        <v>215077.01337999999</v>
      </c>
      <c r="I11" s="206">
        <f t="shared" si="5"/>
        <v>385394.85464999999</v>
      </c>
      <c r="J11" s="206">
        <f t="shared" si="5"/>
        <v>947510.22100000002</v>
      </c>
      <c r="K11" s="206">
        <f t="shared" si="5"/>
        <v>1113010</v>
      </c>
      <c r="L11" s="206">
        <f t="shared" si="5"/>
        <v>1473583</v>
      </c>
      <c r="M11" s="206">
        <f t="shared" si="5"/>
        <v>1795650</v>
      </c>
      <c r="N11" s="206">
        <f t="shared" si="5"/>
        <v>2286525</v>
      </c>
      <c r="O11" s="206">
        <f t="shared" si="5"/>
        <v>2635401</v>
      </c>
      <c r="P11" s="206">
        <f t="shared" si="5"/>
        <v>2673490</v>
      </c>
      <c r="Q11" s="206">
        <f t="shared" si="5"/>
        <v>2320817</v>
      </c>
      <c r="R11" s="206">
        <f t="shared" si="5"/>
        <v>2957425.0232100002</v>
      </c>
      <c r="S11" s="206">
        <f t="shared" ref="S11:T11" si="6">SUM(S12:S13)</f>
        <v>2658958</v>
      </c>
      <c r="T11" s="206">
        <f t="shared" si="6"/>
        <v>2788975.0564099997</v>
      </c>
      <c r="U11" s="206">
        <f t="shared" ref="U11:V11" si="7">SUM(U12:U13)</f>
        <v>3136404.7650000001</v>
      </c>
      <c r="V11" s="206">
        <f t="shared" si="7"/>
        <v>1975608.0917399998</v>
      </c>
      <c r="W11" s="211"/>
      <c r="X11" s="457">
        <f t="shared" si="3"/>
        <v>-0.37010423087404032</v>
      </c>
      <c r="Y11" s="457">
        <f t="shared" si="4"/>
        <v>-0.33198371007368177</v>
      </c>
      <c r="Z11" s="257"/>
    </row>
    <row r="12" spans="1:29" ht="13" customHeight="1">
      <c r="A12" s="249"/>
      <c r="B12" s="17" t="str">
        <f>IF('Summary | Sumário'!D$6=Names!B$3,Names!Q20,Names!R20)</f>
        <v>Securities sold under agreements to reurchase</v>
      </c>
      <c r="C12" s="211">
        <v>178491</v>
      </c>
      <c r="D12" s="211">
        <v>102874</v>
      </c>
      <c r="E12" s="211">
        <f t="shared" si="0"/>
        <v>973533</v>
      </c>
      <c r="F12" s="211">
        <f t="shared" si="1"/>
        <v>1902873</v>
      </c>
      <c r="G12" s="211">
        <f t="shared" si="2"/>
        <v>1011092</v>
      </c>
      <c r="H12" s="211">
        <v>164878.20288</v>
      </c>
      <c r="I12" s="211">
        <v>209582.78599999999</v>
      </c>
      <c r="J12" s="211">
        <v>656030.402</v>
      </c>
      <c r="K12" s="211">
        <v>973533</v>
      </c>
      <c r="L12" s="211">
        <v>976192</v>
      </c>
      <c r="M12" s="211">
        <v>1480935</v>
      </c>
      <c r="N12" s="211">
        <v>1354877</v>
      </c>
      <c r="O12" s="211">
        <v>1902873</v>
      </c>
      <c r="P12" s="211">
        <v>1882289</v>
      </c>
      <c r="Q12" s="211">
        <v>1727567</v>
      </c>
      <c r="R12" s="211">
        <v>1600987.9855800001</v>
      </c>
      <c r="S12" s="211">
        <v>1011092</v>
      </c>
      <c r="T12" s="211">
        <v>1107832.7549099999</v>
      </c>
      <c r="U12" s="211">
        <v>1372709.743</v>
      </c>
      <c r="V12" s="211">
        <v>1776578.1025399999</v>
      </c>
      <c r="W12" s="211"/>
      <c r="X12" s="456">
        <f t="shared" si="3"/>
        <v>0.29421249583131992</v>
      </c>
      <c r="Y12" s="456">
        <f t="shared" si="4"/>
        <v>0.10967609909726317</v>
      </c>
      <c r="Z12" s="257"/>
    </row>
    <row r="13" spans="1:29" ht="13" customHeight="1">
      <c r="A13" s="249"/>
      <c r="B13" s="23" t="str">
        <f>IF('Summary | Sumário'!D$6=Names!B$3,Names!Q21,Names!R21)</f>
        <v>Interbank deposits</v>
      </c>
      <c r="C13" s="206">
        <v>332242</v>
      </c>
      <c r="D13" s="206">
        <v>0</v>
      </c>
      <c r="E13" s="206">
        <f t="shared" si="0"/>
        <v>139477</v>
      </c>
      <c r="F13" s="206">
        <f t="shared" si="1"/>
        <v>732528</v>
      </c>
      <c r="G13" s="206">
        <f t="shared" si="2"/>
        <v>1647866</v>
      </c>
      <c r="H13" s="206">
        <v>50198.8105</v>
      </c>
      <c r="I13" s="206">
        <v>175812.06864999997</v>
      </c>
      <c r="J13" s="206">
        <v>291479.81900000002</v>
      </c>
      <c r="K13" s="206">
        <v>139477</v>
      </c>
      <c r="L13" s="206">
        <v>497391</v>
      </c>
      <c r="M13" s="206">
        <v>314715</v>
      </c>
      <c r="N13" s="206">
        <v>931648</v>
      </c>
      <c r="O13" s="206">
        <v>732528</v>
      </c>
      <c r="P13" s="206">
        <v>791201</v>
      </c>
      <c r="Q13" s="206">
        <v>593250</v>
      </c>
      <c r="R13" s="206">
        <v>1356437.0376300002</v>
      </c>
      <c r="S13" s="206">
        <v>1647866</v>
      </c>
      <c r="T13" s="206">
        <v>1681142.3015000001</v>
      </c>
      <c r="U13" s="206">
        <v>1763695.0220000001</v>
      </c>
      <c r="V13" s="206">
        <v>199029.98919999998</v>
      </c>
      <c r="W13" s="211"/>
      <c r="X13" s="457">
        <f t="shared" si="3"/>
        <v>-0.88715169759094548</v>
      </c>
      <c r="Y13" s="457">
        <f t="shared" si="4"/>
        <v>-0.85327001277718717</v>
      </c>
      <c r="Z13" s="257"/>
    </row>
    <row r="14" spans="1:29" ht="13" customHeight="1">
      <c r="A14" s="249"/>
      <c r="B14" s="16" t="str">
        <f>IF('Summary | Sumário'!D$6=Names!B$3,Names!Q22,Names!R22)</f>
        <v>Borrowing and onlending</v>
      </c>
      <c r="C14" s="211">
        <v>29800</v>
      </c>
      <c r="D14" s="211">
        <v>27405</v>
      </c>
      <c r="E14" s="211">
        <f t="shared" si="0"/>
        <v>25071</v>
      </c>
      <c r="F14" s="211">
        <f t="shared" si="1"/>
        <v>36448</v>
      </c>
      <c r="G14" s="211">
        <f t="shared" si="2"/>
        <v>107412</v>
      </c>
      <c r="H14" s="211">
        <v>27179</v>
      </c>
      <c r="I14" s="211">
        <v>26325</v>
      </c>
      <c r="J14" s="211">
        <v>25580</v>
      </c>
      <c r="K14" s="211">
        <v>25071</v>
      </c>
      <c r="L14" s="211">
        <v>33002</v>
      </c>
      <c r="M14" s="211">
        <v>31855</v>
      </c>
      <c r="N14" s="211">
        <v>33119</v>
      </c>
      <c r="O14" s="211">
        <v>36448</v>
      </c>
      <c r="P14" s="211">
        <v>36632</v>
      </c>
      <c r="Q14" s="211">
        <v>38753</v>
      </c>
      <c r="R14" s="211">
        <v>87649</v>
      </c>
      <c r="S14" s="211">
        <v>107412</v>
      </c>
      <c r="T14" s="211">
        <v>102019.6489</v>
      </c>
      <c r="U14" s="211">
        <v>101630.08100000001</v>
      </c>
      <c r="V14" s="211">
        <v>114823.55414999998</v>
      </c>
      <c r="W14" s="211"/>
      <c r="X14" s="456">
        <f t="shared" si="3"/>
        <v>0.12981858343692521</v>
      </c>
      <c r="Y14" s="456">
        <f t="shared" si="4"/>
        <v>0.31003838206939016</v>
      </c>
      <c r="Z14" s="257"/>
    </row>
    <row r="15" spans="1:29" ht="13" customHeight="1">
      <c r="A15" s="249"/>
      <c r="B15" s="362" t="str">
        <f>IF('Summary | Sumário'!D$6=Names!B$3,Names!Q9,Names!R9)</f>
        <v>Total funding</v>
      </c>
      <c r="C15" s="363">
        <f>C5+C10+C11+C14</f>
        <v>6974552</v>
      </c>
      <c r="D15" s="363">
        <f t="shared" ref="D15:R15" si="8">D5+D10+D11+D14</f>
        <v>14296347</v>
      </c>
      <c r="E15" s="363">
        <f t="shared" si="0"/>
        <v>23043717</v>
      </c>
      <c r="F15" s="363">
        <f t="shared" si="1"/>
        <v>32516818</v>
      </c>
      <c r="G15" s="363">
        <f t="shared" si="2"/>
        <v>43513032</v>
      </c>
      <c r="H15" s="363">
        <f t="shared" si="8"/>
        <v>15339827.01338</v>
      </c>
      <c r="I15" s="363">
        <f t="shared" si="8"/>
        <v>18122573.474649996</v>
      </c>
      <c r="J15" s="363">
        <f t="shared" si="8"/>
        <v>21159883.519000001</v>
      </c>
      <c r="K15" s="363">
        <f t="shared" si="8"/>
        <v>23043717</v>
      </c>
      <c r="L15" s="363">
        <f t="shared" si="8"/>
        <v>24745659</v>
      </c>
      <c r="M15" s="363">
        <f t="shared" si="8"/>
        <v>27678137</v>
      </c>
      <c r="N15" s="363">
        <f t="shared" si="8"/>
        <v>30688589</v>
      </c>
      <c r="O15" s="363">
        <f t="shared" si="8"/>
        <v>32516818</v>
      </c>
      <c r="P15" s="363">
        <f t="shared" si="8"/>
        <v>33532685</v>
      </c>
      <c r="Q15" s="363">
        <f t="shared" si="8"/>
        <v>35665087.040739998</v>
      </c>
      <c r="R15" s="363">
        <f t="shared" si="8"/>
        <v>39571626.560479999</v>
      </c>
      <c r="S15" s="363">
        <f t="shared" ref="S15:T15" si="9">S5+S10+S11+S14</f>
        <v>43513032</v>
      </c>
      <c r="T15" s="363">
        <f t="shared" si="9"/>
        <v>43783581.005715944</v>
      </c>
      <c r="U15" s="363">
        <f t="shared" ref="U15:V15" si="10">U5+U10+U11+U14</f>
        <v>47759601.090000004</v>
      </c>
      <c r="V15" s="363">
        <f t="shared" si="10"/>
        <v>50267846.176159993</v>
      </c>
      <c r="W15" s="438"/>
      <c r="X15" s="458">
        <f t="shared" si="3"/>
        <v>5.2518133085604157E-2</v>
      </c>
      <c r="Y15" s="458">
        <f t="shared" si="4"/>
        <v>0.27030022633343709</v>
      </c>
      <c r="Z15" s="257"/>
    </row>
    <row r="16" spans="1:29" ht="13" customHeight="1">
      <c r="A16" s="249"/>
      <c r="E16" s="222"/>
      <c r="F16" s="222"/>
      <c r="Z16" s="257"/>
    </row>
    <row r="17" spans="1:26" ht="13" customHeight="1">
      <c r="A17" s="249"/>
      <c r="B17" s="24" t="str">
        <f>IF('Summary | Sumário'!D$6=Names!B$3,Names!Q37,Names!R10)</f>
        <v>All-in cost of funding</v>
      </c>
      <c r="C17" s="209"/>
      <c r="D17" s="209"/>
      <c r="E17" s="209"/>
      <c r="F17" s="209"/>
      <c r="G17" s="209"/>
      <c r="H17" s="209"/>
      <c r="I17" s="209"/>
      <c r="J17" s="209"/>
      <c r="K17" s="209"/>
      <c r="L17" s="209"/>
      <c r="M17" s="209"/>
      <c r="N17" s="209"/>
      <c r="O17" s="209"/>
      <c r="P17" s="209"/>
      <c r="Q17" s="209"/>
      <c r="R17" s="209"/>
      <c r="S17" s="209"/>
      <c r="T17" s="209"/>
      <c r="U17" s="209"/>
      <c r="V17" s="209"/>
      <c r="X17" s="209"/>
      <c r="Y17" s="209"/>
      <c r="Z17" s="257"/>
    </row>
    <row r="18" spans="1:26" ht="13" customHeight="1">
      <c r="A18" s="249"/>
      <c r="B18" s="331" t="str">
        <f>IF('Summary | Sumário'!D$6=Names!B$3,Names!Q11,Names!R11)</f>
        <v>Annualized interest expenses</v>
      </c>
      <c r="C18" s="360">
        <f>C19</f>
        <v>256717</v>
      </c>
      <c r="D18" s="360">
        <f t="shared" ref="D18:F18" si="11">D19</f>
        <v>184335</v>
      </c>
      <c r="E18" s="360">
        <f t="shared" si="11"/>
        <v>543242</v>
      </c>
      <c r="F18" s="360">
        <f t="shared" si="11"/>
        <v>1972850</v>
      </c>
      <c r="G18" s="360">
        <f t="shared" ref="G18" si="12">S18</f>
        <v>3008792.0200000005</v>
      </c>
      <c r="H18" s="360">
        <f>H19*4</f>
        <v>262236</v>
      </c>
      <c r="I18" s="360">
        <f t="shared" ref="I18:V18" si="13">I19*4</f>
        <v>345044</v>
      </c>
      <c r="J18" s="360">
        <f t="shared" si="13"/>
        <v>554348</v>
      </c>
      <c r="K18" s="360">
        <f t="shared" si="13"/>
        <v>1011340</v>
      </c>
      <c r="L18" s="360">
        <f t="shared" si="13"/>
        <v>1347084</v>
      </c>
      <c r="M18" s="360">
        <f t="shared" si="13"/>
        <v>1860164</v>
      </c>
      <c r="N18" s="360">
        <f t="shared" si="13"/>
        <v>2318712</v>
      </c>
      <c r="O18" s="360">
        <f t="shared" si="13"/>
        <v>2365440</v>
      </c>
      <c r="P18" s="360">
        <f t="shared" si="13"/>
        <v>2691084</v>
      </c>
      <c r="Q18" s="360">
        <f t="shared" si="13"/>
        <v>2768824</v>
      </c>
      <c r="R18" s="360">
        <f t="shared" si="13"/>
        <v>3081592</v>
      </c>
      <c r="S18" s="360">
        <f t="shared" si="13"/>
        <v>3008792.0200000005</v>
      </c>
      <c r="T18" s="360">
        <f t="shared" si="13"/>
        <v>3048987.5612000003</v>
      </c>
      <c r="U18" s="360">
        <f t="shared" si="13"/>
        <v>3090570.4360000002</v>
      </c>
      <c r="V18" s="360">
        <f t="shared" si="13"/>
        <v>3342470.872</v>
      </c>
      <c r="W18" s="211"/>
      <c r="X18" s="459">
        <f t="shared" ref="X18:X22" si="14">V18/U18-1</f>
        <v>8.1506130087112494E-2</v>
      </c>
      <c r="Y18" s="459">
        <f t="shared" ref="Y18:Y22" si="15">V18/R18-1</f>
        <v>8.4657174603256946E-2</v>
      </c>
      <c r="Z18" s="257"/>
    </row>
    <row r="19" spans="1:26" ht="13" customHeight="1">
      <c r="A19" s="249"/>
      <c r="B19" s="129" t="str">
        <f>IF('Summary | Sumário'!D$6=Names!B$3,Names!Q12,Names!R12)</f>
        <v>Interest expenses</v>
      </c>
      <c r="C19" s="206">
        <v>256717</v>
      </c>
      <c r="D19" s="206">
        <v>184335</v>
      </c>
      <c r="E19" s="206">
        <v>543242</v>
      </c>
      <c r="F19" s="206">
        <v>1972850</v>
      </c>
      <c r="G19" s="206">
        <v>2887573</v>
      </c>
      <c r="H19" s="206">
        <v>65559</v>
      </c>
      <c r="I19" s="206">
        <v>86261</v>
      </c>
      <c r="J19" s="206">
        <v>138587</v>
      </c>
      <c r="K19" s="206">
        <v>252835</v>
      </c>
      <c r="L19" s="206">
        <v>336771</v>
      </c>
      <c r="M19" s="206">
        <v>465041</v>
      </c>
      <c r="N19" s="206">
        <v>579678</v>
      </c>
      <c r="O19" s="206">
        <v>591360</v>
      </c>
      <c r="P19" s="206">
        <v>672771</v>
      </c>
      <c r="Q19" s="206">
        <v>692206</v>
      </c>
      <c r="R19" s="206">
        <v>770398</v>
      </c>
      <c r="S19" s="206">
        <v>752198.00500000012</v>
      </c>
      <c r="T19" s="206">
        <v>762246.89030000009</v>
      </c>
      <c r="U19" s="206">
        <v>772642.60900000005</v>
      </c>
      <c r="V19" s="206">
        <v>835617.71799999999</v>
      </c>
      <c r="W19" s="211"/>
      <c r="X19" s="457">
        <f t="shared" si="14"/>
        <v>8.1506130087112494E-2</v>
      </c>
      <c r="Y19" s="457">
        <f t="shared" si="15"/>
        <v>8.4657174603256946E-2</v>
      </c>
      <c r="Z19" s="257"/>
    </row>
    <row r="20" spans="1:26" ht="13" customHeight="1">
      <c r="A20" s="249"/>
      <c r="B20" s="16" t="str">
        <f>IF('Summary | Sumário'!D$6=Names!B$3,Names!Q13,Names!R13)</f>
        <v>(÷) Average funding</v>
      </c>
      <c r="C20" s="258">
        <f>AVERAGE(C21:C22)</f>
        <v>6974552</v>
      </c>
      <c r="D20" s="258">
        <f t="shared" ref="D20:R20" si="16">AVERAGE(D21:D22)</f>
        <v>10635449.5</v>
      </c>
      <c r="E20" s="258">
        <f t="shared" si="16"/>
        <v>18670032</v>
      </c>
      <c r="F20" s="258">
        <f t="shared" si="16"/>
        <v>27780267.5</v>
      </c>
      <c r="G20" s="258">
        <f t="shared" si="16"/>
        <v>38014925</v>
      </c>
      <c r="H20" s="258">
        <f t="shared" si="16"/>
        <v>23928322.506689999</v>
      </c>
      <c r="I20" s="258">
        <f t="shared" si="16"/>
        <v>16731200.244014997</v>
      </c>
      <c r="J20" s="258">
        <f t="shared" si="16"/>
        <v>19641228.496824998</v>
      </c>
      <c r="K20" s="258">
        <f t="shared" si="16"/>
        <v>22101800.259500001</v>
      </c>
      <c r="L20" s="258">
        <f t="shared" si="16"/>
        <v>23894688</v>
      </c>
      <c r="M20" s="258">
        <f t="shared" si="16"/>
        <v>26211898</v>
      </c>
      <c r="N20" s="258">
        <f t="shared" si="16"/>
        <v>29183363</v>
      </c>
      <c r="O20" s="258">
        <f t="shared" si="16"/>
        <v>31602703.5</v>
      </c>
      <c r="P20" s="258">
        <f t="shared" si="16"/>
        <v>33024751.5</v>
      </c>
      <c r="Q20" s="258">
        <f t="shared" si="16"/>
        <v>34598886.020369999</v>
      </c>
      <c r="R20" s="258">
        <f t="shared" si="16"/>
        <v>37618356.800609998</v>
      </c>
      <c r="S20" s="258">
        <f t="shared" ref="S20:T20" si="17">AVERAGE(S21:S22)</f>
        <v>41542329.280239999</v>
      </c>
      <c r="T20" s="258">
        <f t="shared" si="17"/>
        <v>43648306.502857968</v>
      </c>
      <c r="U20" s="258">
        <f t="shared" ref="U20:V20" si="18">AVERAGE(U21:U22)</f>
        <v>45771591.04785797</v>
      </c>
      <c r="V20" s="258">
        <f t="shared" si="18"/>
        <v>49013723.633079998</v>
      </c>
      <c r="W20" s="258"/>
      <c r="X20" s="460">
        <f t="shared" si="14"/>
        <v>7.0832857477733491E-2</v>
      </c>
      <c r="Y20" s="460">
        <f t="shared" si="15"/>
        <v>0.3029203772208684</v>
      </c>
      <c r="Z20" s="257"/>
    </row>
    <row r="21" spans="1:26" ht="13" customHeight="1">
      <c r="A21" s="249"/>
      <c r="B21" s="129" t="str">
        <f>IF('Summary | Sumário'!D$6=Names!B$3,Names!Q14,Names!R14)</f>
        <v>Total funding</v>
      </c>
      <c r="C21" s="259">
        <f>C15</f>
        <v>6974552</v>
      </c>
      <c r="D21" s="259">
        <f t="shared" ref="D21:R21" si="19">D15</f>
        <v>14296347</v>
      </c>
      <c r="E21" s="259">
        <f t="shared" si="19"/>
        <v>23043717</v>
      </c>
      <c r="F21" s="259">
        <f t="shared" si="19"/>
        <v>32516818</v>
      </c>
      <c r="G21" s="259">
        <f t="shared" si="19"/>
        <v>43513032</v>
      </c>
      <c r="H21" s="259">
        <f t="shared" si="19"/>
        <v>15339827.01338</v>
      </c>
      <c r="I21" s="259">
        <f t="shared" si="19"/>
        <v>18122573.474649996</v>
      </c>
      <c r="J21" s="259">
        <f t="shared" si="19"/>
        <v>21159883.519000001</v>
      </c>
      <c r="K21" s="259">
        <f t="shared" si="19"/>
        <v>23043717</v>
      </c>
      <c r="L21" s="259">
        <f t="shared" si="19"/>
        <v>24745659</v>
      </c>
      <c r="M21" s="259">
        <f t="shared" si="19"/>
        <v>27678137</v>
      </c>
      <c r="N21" s="259">
        <f t="shared" si="19"/>
        <v>30688589</v>
      </c>
      <c r="O21" s="259">
        <f t="shared" si="19"/>
        <v>32516818</v>
      </c>
      <c r="P21" s="259">
        <f t="shared" si="19"/>
        <v>33532685</v>
      </c>
      <c r="Q21" s="259">
        <f t="shared" si="19"/>
        <v>35665087.040739998</v>
      </c>
      <c r="R21" s="259">
        <f t="shared" si="19"/>
        <v>39571626.560479999</v>
      </c>
      <c r="S21" s="259">
        <f t="shared" ref="S21:T21" si="20">S15</f>
        <v>43513032</v>
      </c>
      <c r="T21" s="259">
        <f t="shared" si="20"/>
        <v>43783581.005715944</v>
      </c>
      <c r="U21" s="259">
        <f t="shared" ref="U21:V21" si="21">U15</f>
        <v>47759601.090000004</v>
      </c>
      <c r="V21" s="259">
        <f t="shared" si="21"/>
        <v>50267846.176159993</v>
      </c>
      <c r="W21" s="258"/>
      <c r="X21" s="461">
        <f t="shared" si="14"/>
        <v>5.2518133085604157E-2</v>
      </c>
      <c r="Y21" s="461">
        <f t="shared" si="15"/>
        <v>0.27030022633343709</v>
      </c>
      <c r="Z21" s="257"/>
    </row>
    <row r="22" spans="1:26" ht="13" customHeight="1">
      <c r="A22" s="249"/>
      <c r="B22" s="126" t="str">
        <f>IF('Summary | Sumário'!D$6=Names!B$3,Names!Q15,Names!R15)</f>
        <v>Total funding in the previous period</v>
      </c>
      <c r="C22" s="258">
        <f>C15</f>
        <v>6974552</v>
      </c>
      <c r="D22" s="258">
        <f t="shared" ref="D22:Q22" si="22">C15</f>
        <v>6974552</v>
      </c>
      <c r="E22" s="258">
        <f t="shared" si="22"/>
        <v>14296347</v>
      </c>
      <c r="F22" s="258">
        <f t="shared" si="22"/>
        <v>23043717</v>
      </c>
      <c r="G22" s="258">
        <f t="shared" si="22"/>
        <v>32516818</v>
      </c>
      <c r="H22" s="258">
        <f>F15</f>
        <v>32516818</v>
      </c>
      <c r="I22" s="258">
        <f t="shared" si="22"/>
        <v>15339827.01338</v>
      </c>
      <c r="J22" s="258">
        <f t="shared" si="22"/>
        <v>18122573.474649996</v>
      </c>
      <c r="K22" s="258">
        <f t="shared" si="22"/>
        <v>21159883.519000001</v>
      </c>
      <c r="L22" s="258">
        <f t="shared" si="22"/>
        <v>23043717</v>
      </c>
      <c r="M22" s="258">
        <f t="shared" si="22"/>
        <v>24745659</v>
      </c>
      <c r="N22" s="258">
        <f t="shared" si="22"/>
        <v>27678137</v>
      </c>
      <c r="O22" s="258">
        <f t="shared" si="22"/>
        <v>30688589</v>
      </c>
      <c r="P22" s="258">
        <f t="shared" si="22"/>
        <v>32516818</v>
      </c>
      <c r="Q22" s="258">
        <f t="shared" si="22"/>
        <v>33532685</v>
      </c>
      <c r="R22" s="258">
        <f>Q15</f>
        <v>35665087.040739998</v>
      </c>
      <c r="S22" s="258">
        <f>R15</f>
        <v>39571626.560479999</v>
      </c>
      <c r="T22" s="258">
        <f>S15</f>
        <v>43513032</v>
      </c>
      <c r="U22" s="258">
        <f>T15</f>
        <v>43783581.005715944</v>
      </c>
      <c r="V22" s="258">
        <f>U15</f>
        <v>47759601.090000004</v>
      </c>
      <c r="W22" s="258"/>
      <c r="X22" s="460">
        <f t="shared" si="14"/>
        <v>9.0810755834818346E-2</v>
      </c>
      <c r="Y22" s="460">
        <f t="shared" si="15"/>
        <v>0.33911354360202517</v>
      </c>
      <c r="Z22" s="257"/>
    </row>
    <row r="23" spans="1:26" ht="13" customHeight="1">
      <c r="A23" s="249"/>
      <c r="B23" s="354" t="str">
        <f>IF('Summary | Sumário'!D$6=Names!B$3,Names!Q36,Names!R16)</f>
        <v>(=) All-in cost of funding (%)</v>
      </c>
      <c r="C23" s="364">
        <f>C18/C20</f>
        <v>3.6807668793637213E-2</v>
      </c>
      <c r="D23" s="364">
        <f t="shared" ref="D23:R23" si="23">D18/D20</f>
        <v>1.7332130625978714E-2</v>
      </c>
      <c r="E23" s="364">
        <f t="shared" si="23"/>
        <v>2.9097004225809575E-2</v>
      </c>
      <c r="F23" s="364">
        <f t="shared" si="23"/>
        <v>7.1016234814873541E-2</v>
      </c>
      <c r="G23" s="364">
        <f t="shared" si="23"/>
        <v>7.9147651087040166E-2</v>
      </c>
      <c r="H23" s="364">
        <f t="shared" si="23"/>
        <v>1.0959230423556969E-2</v>
      </c>
      <c r="I23" s="364">
        <f t="shared" si="23"/>
        <v>2.0622788261913692E-2</v>
      </c>
      <c r="J23" s="364">
        <f t="shared" si="23"/>
        <v>2.8223692835181377E-2</v>
      </c>
      <c r="K23" s="364">
        <f t="shared" si="23"/>
        <v>4.5758263495540207E-2</v>
      </c>
      <c r="L23" s="364">
        <f t="shared" si="23"/>
        <v>5.637587734981097E-2</v>
      </c>
      <c r="M23" s="364">
        <f t="shared" si="23"/>
        <v>7.0966398541608855E-2</v>
      </c>
      <c r="N23" s="364">
        <f t="shared" si="23"/>
        <v>7.9453214490735696E-2</v>
      </c>
      <c r="O23" s="364">
        <f t="shared" si="23"/>
        <v>7.48492925613152E-2</v>
      </c>
      <c r="P23" s="364">
        <f t="shared" si="23"/>
        <v>8.148688113519946E-2</v>
      </c>
      <c r="Q23" s="364">
        <f t="shared" si="23"/>
        <v>8.0026391554047796E-2</v>
      </c>
      <c r="R23" s="364">
        <f t="shared" si="23"/>
        <v>8.1917240998416782E-2</v>
      </c>
      <c r="S23" s="364">
        <f t="shared" ref="S23:T23" si="24">S18/S20</f>
        <v>7.2427138105401342E-2</v>
      </c>
      <c r="T23" s="364">
        <f t="shared" si="24"/>
        <v>6.9853513354529828E-2</v>
      </c>
      <c r="U23" s="364">
        <f t="shared" ref="U23:V23" si="25">U18/U20</f>
        <v>6.7521586321274127E-2</v>
      </c>
      <c r="V23" s="364">
        <f t="shared" si="25"/>
        <v>6.8194591723370376E-2</v>
      </c>
      <c r="W23" s="425"/>
      <c r="X23" s="463">
        <f>(V23-U23)*100</f>
        <v>6.7300540209624948E-2</v>
      </c>
      <c r="Y23" s="463">
        <f>(V23-R23)*100</f>
        <v>-1.3722649275046406</v>
      </c>
      <c r="Z23" s="257"/>
    </row>
    <row r="24" spans="1:26" ht="13" customHeight="1">
      <c r="A24" s="249"/>
      <c r="B24" s="127" t="str">
        <f>IF('Summary | Sumário'!D$6=Names!B$3,Names!Q17,Names!R17)</f>
        <v>(÷) Average daily CDI rate in the period (%)</v>
      </c>
      <c r="C24" s="260">
        <v>5.9375494071146499E-2</v>
      </c>
      <c r="D24" s="260">
        <v>2.7735059760956016E-2</v>
      </c>
      <c r="E24" s="260">
        <v>4.4600000000000001E-2</v>
      </c>
      <c r="F24" s="260">
        <v>0.124527888446216</v>
      </c>
      <c r="G24" s="260">
        <v>0.1320823293</v>
      </c>
      <c r="H24" s="260">
        <v>2.022950819672133E-2</v>
      </c>
      <c r="I24" s="260">
        <v>3.2427419354838741E-2</v>
      </c>
      <c r="J24" s="260">
        <v>4.8576923076923101E-2</v>
      </c>
      <c r="K24" s="260">
        <v>7.6261904761904697E-2</v>
      </c>
      <c r="L24" s="260">
        <v>0.10270967741935499</v>
      </c>
      <c r="M24" s="260">
        <v>0.123758064516129</v>
      </c>
      <c r="N24" s="260">
        <v>0.13465384615384601</v>
      </c>
      <c r="O24" s="260">
        <v>0.13650000000000001</v>
      </c>
      <c r="P24" s="260">
        <v>0.13650000000000001</v>
      </c>
      <c r="Q24" s="260">
        <v>0.13650000000000001</v>
      </c>
      <c r="R24" s="260">
        <v>0.13275000000000001</v>
      </c>
      <c r="S24" s="260">
        <v>0.1224016393</v>
      </c>
      <c r="T24" s="260">
        <v>0.11281147540983601</v>
      </c>
      <c r="U24" s="260">
        <v>0.10507142857142864</v>
      </c>
      <c r="V24" s="260">
        <v>0.10430303030303033</v>
      </c>
      <c r="W24" s="260"/>
      <c r="X24" s="448">
        <f t="shared" ref="X24:X25" si="26">(V24-U24)*100</f>
        <v>-7.6839826839830705E-2</v>
      </c>
      <c r="Y24" s="448">
        <f t="shared" ref="Y24:Y25" si="27">(V24-R24)*100</f>
        <v>-2.8446969696969679</v>
      </c>
      <c r="Z24" s="257"/>
    </row>
    <row r="25" spans="1:26" ht="13" customHeight="1">
      <c r="A25" s="249"/>
      <c r="B25" s="354" t="str">
        <f>IF('Summary | Sumário'!D$6=Names!B$3,Names!Q35,Names!R18)</f>
        <v>(=) All-in cost of funding % of CDI</v>
      </c>
      <c r="C25" s="364">
        <f t="shared" ref="C25:R25" si="28">C23/C24</f>
        <v>0.61991347389097162</v>
      </c>
      <c r="D25" s="364">
        <f t="shared" si="28"/>
        <v>0.62491773139706708</v>
      </c>
      <c r="E25" s="364">
        <f t="shared" si="28"/>
        <v>0.65239919788810707</v>
      </c>
      <c r="F25" s="364">
        <f t="shared" si="28"/>
        <v>0.57028377900702687</v>
      </c>
      <c r="G25" s="364">
        <f t="shared" si="28"/>
        <v>0.59922967369292279</v>
      </c>
      <c r="H25" s="364">
        <f t="shared" si="28"/>
        <v>0.54174477782574915</v>
      </c>
      <c r="I25" s="364">
        <f t="shared" si="28"/>
        <v>0.63596760618684289</v>
      </c>
      <c r="J25" s="364">
        <f t="shared" si="28"/>
        <v>0.58101030381212626</v>
      </c>
      <c r="K25" s="364">
        <f t="shared" si="28"/>
        <v>0.60001469460277557</v>
      </c>
      <c r="L25" s="364">
        <f t="shared" si="28"/>
        <v>0.54888574052893768</v>
      </c>
      <c r="M25" s="364">
        <f t="shared" si="28"/>
        <v>0.57342847772445593</v>
      </c>
      <c r="N25" s="364">
        <f t="shared" si="28"/>
        <v>0.59005529184779504</v>
      </c>
      <c r="O25" s="364">
        <f t="shared" si="28"/>
        <v>0.54834646565066081</v>
      </c>
      <c r="P25" s="364">
        <f t="shared" si="28"/>
        <v>0.59697348816995932</v>
      </c>
      <c r="Q25" s="364">
        <f t="shared" si="28"/>
        <v>0.5862739307988849</v>
      </c>
      <c r="R25" s="364">
        <f t="shared" si="28"/>
        <v>0.61707902823666128</v>
      </c>
      <c r="S25" s="364">
        <f t="shared" ref="S25:T25" si="29">S23/S24</f>
        <v>0.59171705967014232</v>
      </c>
      <c r="T25" s="364">
        <f t="shared" si="29"/>
        <v>0.61920574215306567</v>
      </c>
      <c r="U25" s="364">
        <f t="shared" ref="U25:V25" si="30">U23/U24</f>
        <v>0.64262556661987569</v>
      </c>
      <c r="V25" s="364">
        <f t="shared" si="30"/>
        <v>0.65381218096200522</v>
      </c>
      <c r="W25" s="425"/>
      <c r="X25" s="463">
        <f t="shared" si="26"/>
        <v>1.1186614342129531</v>
      </c>
      <c r="Y25" s="463">
        <f t="shared" si="27"/>
        <v>3.6733152725343943</v>
      </c>
      <c r="Z25" s="257"/>
    </row>
    <row r="26" spans="1:26" ht="13" customHeight="1">
      <c r="A26" s="249"/>
      <c r="Z26" s="257"/>
    </row>
    <row r="27" spans="1:26" ht="13" customHeight="1">
      <c r="A27" s="249"/>
      <c r="B27" s="24" t="str">
        <f>IF('Summary | Sumário'!D$6=Names!B$3,Names!Q33,Names!R33)</f>
        <v>Funding - excluding other interest bearing liabilities</v>
      </c>
      <c r="C27" s="314"/>
      <c r="D27" s="314"/>
      <c r="E27" s="314"/>
      <c r="F27" s="314"/>
      <c r="G27" s="314"/>
      <c r="H27" s="314"/>
      <c r="I27" s="314"/>
      <c r="J27" s="314"/>
      <c r="K27" s="314"/>
      <c r="L27" s="314"/>
      <c r="M27" s="314"/>
      <c r="N27" s="314"/>
      <c r="O27" s="314"/>
      <c r="P27" s="314"/>
      <c r="Q27" s="314"/>
      <c r="R27" s="314"/>
      <c r="S27" s="314"/>
      <c r="T27" s="314"/>
      <c r="U27" s="314"/>
      <c r="V27" s="314"/>
      <c r="W27" s="215"/>
      <c r="X27" s="314"/>
      <c r="Y27" s="314"/>
    </row>
    <row r="28" spans="1:26" ht="13" customHeight="1">
      <c r="A28" s="249"/>
      <c r="B28" s="331" t="str">
        <f>IF('Summary | Sumário'!D$6=Names!B$3,Names!Q3,Names!R3)</f>
        <v>Liabilities with customers</v>
      </c>
      <c r="C28" s="360">
        <v>4714439</v>
      </c>
      <c r="D28" s="360">
        <v>12436632</v>
      </c>
      <c r="E28" s="360">
        <f t="shared" ref="E28:E33" si="31">K28</f>
        <v>18333543</v>
      </c>
      <c r="F28" s="360">
        <f t="shared" ref="F28:F33" si="32">O28</f>
        <v>23642804</v>
      </c>
      <c r="G28" s="360">
        <f t="shared" ref="G28:G33" si="33">S28</f>
        <v>32651620</v>
      </c>
      <c r="H28" s="360">
        <v>13392679</v>
      </c>
      <c r="I28" s="360">
        <v>15629130.619999999</v>
      </c>
      <c r="J28" s="360">
        <v>17093473.298</v>
      </c>
      <c r="K28" s="360">
        <v>18333543</v>
      </c>
      <c r="L28" s="360">
        <v>18958118</v>
      </c>
      <c r="M28" s="360">
        <v>19746409</v>
      </c>
      <c r="N28" s="360">
        <v>21452026</v>
      </c>
      <c r="O28" s="360">
        <v>23642804</v>
      </c>
      <c r="P28" s="360">
        <v>24182006</v>
      </c>
      <c r="Q28" s="360">
        <v>26299326</v>
      </c>
      <c r="R28" s="360">
        <v>29063988</v>
      </c>
      <c r="S28" s="360">
        <v>32651620</v>
      </c>
      <c r="T28" s="360">
        <v>32643444.086135942</v>
      </c>
      <c r="U28" s="360">
        <v>35978318.071000002</v>
      </c>
      <c r="V28" s="360">
        <v>39129758.61366</v>
      </c>
      <c r="W28" s="211"/>
      <c r="X28" s="459">
        <f t="shared" ref="X28:X34" si="34">V28/U28-1</f>
        <v>8.759277008004962E-2</v>
      </c>
      <c r="Y28" s="459">
        <f t="shared" ref="Y28:Y34" si="35">V28/R28-1</f>
        <v>0.34633136421815203</v>
      </c>
    </row>
    <row r="29" spans="1:26" ht="13" customHeight="1">
      <c r="A29" s="249"/>
      <c r="B29" s="23" t="str">
        <f>IF('Summary | Sumário'!D$6=Names!B$3,Names!Q4,Names!R4)</f>
        <v>Demand deposits</v>
      </c>
      <c r="C29" s="259">
        <v>2094127</v>
      </c>
      <c r="D29" s="259">
        <v>6713351</v>
      </c>
      <c r="E29" s="259">
        <f t="shared" si="31"/>
        <v>9932809</v>
      </c>
      <c r="F29" s="259">
        <f t="shared" si="32"/>
        <v>11566826</v>
      </c>
      <c r="G29" s="259">
        <f t="shared" si="33"/>
        <v>2572536</v>
      </c>
      <c r="H29" s="259">
        <v>6984899</v>
      </c>
      <c r="I29" s="259">
        <v>8299742</v>
      </c>
      <c r="J29" s="259">
        <v>9163029</v>
      </c>
      <c r="K29" s="259">
        <v>9932809</v>
      </c>
      <c r="L29" s="259">
        <v>9620809</v>
      </c>
      <c r="M29" s="259">
        <v>9784611</v>
      </c>
      <c r="N29" s="259">
        <v>10418989</v>
      </c>
      <c r="O29" s="259">
        <v>11566826</v>
      </c>
      <c r="P29" s="259">
        <v>11005662</v>
      </c>
      <c r="Q29" s="259">
        <v>3109793</v>
      </c>
      <c r="R29" s="259">
        <v>1813779</v>
      </c>
      <c r="S29" s="259">
        <v>2572536</v>
      </c>
      <c r="T29" s="259">
        <v>1593427.4698459422</v>
      </c>
      <c r="U29" s="259">
        <v>1431720.5060000001</v>
      </c>
      <c r="V29" s="259">
        <v>1457541.7699500003</v>
      </c>
      <c r="W29" s="258"/>
      <c r="X29" s="461">
        <f t="shared" si="34"/>
        <v>1.8035128952745616E-2</v>
      </c>
      <c r="Y29" s="461">
        <f t="shared" si="35"/>
        <v>-0.1964060836794338</v>
      </c>
    </row>
    <row r="30" spans="1:26" ht="13" customHeight="1">
      <c r="B30" s="17" t="str">
        <f>IF('Summary | Sumário'!D$6=Names!B$3,Names!Q5,Names!R5)</f>
        <v>Time deposits</v>
      </c>
      <c r="C30" s="258">
        <v>2259047</v>
      </c>
      <c r="D30" s="258">
        <v>4771204</v>
      </c>
      <c r="E30" s="258">
        <f t="shared" si="31"/>
        <v>6922061</v>
      </c>
      <c r="F30" s="258">
        <f t="shared" si="32"/>
        <v>10517060</v>
      </c>
      <c r="G30" s="258">
        <f t="shared" si="33"/>
        <v>28158459</v>
      </c>
      <c r="H30" s="258">
        <v>5394450</v>
      </c>
      <c r="I30" s="258">
        <v>6119961</v>
      </c>
      <c r="J30" s="258">
        <v>6580559</v>
      </c>
      <c r="K30" s="258">
        <v>6922061</v>
      </c>
      <c r="L30" s="258">
        <v>7894003</v>
      </c>
      <c r="M30" s="258">
        <v>8579727</v>
      </c>
      <c r="N30" s="258">
        <v>9558462</v>
      </c>
      <c r="O30" s="258">
        <v>10517060</v>
      </c>
      <c r="P30" s="258">
        <v>11687031</v>
      </c>
      <c r="Q30" s="258">
        <v>21616586</v>
      </c>
      <c r="R30" s="258">
        <v>25572336</v>
      </c>
      <c r="S30" s="258">
        <v>28158459</v>
      </c>
      <c r="T30" s="258">
        <v>29169018.986099999</v>
      </c>
      <c r="U30" s="258">
        <v>32531468.234000001</v>
      </c>
      <c r="V30" s="258">
        <v>35665570.401490003</v>
      </c>
      <c r="W30" s="258"/>
      <c r="X30" s="460">
        <f t="shared" si="34"/>
        <v>9.6340630707052455E-2</v>
      </c>
      <c r="Y30" s="460">
        <f t="shared" si="35"/>
        <v>0.3946934844548422</v>
      </c>
    </row>
    <row r="31" spans="1:26" ht="13" customHeight="1">
      <c r="B31" s="23" t="str">
        <f>IF('Summary | Sumário'!D$6=Names!B$3,Names!Q6,Names!R6)</f>
        <v>Savings deposits</v>
      </c>
      <c r="C31" s="259">
        <v>307098</v>
      </c>
      <c r="D31" s="259">
        <v>887666</v>
      </c>
      <c r="E31" s="259">
        <f t="shared" si="31"/>
        <v>1230039</v>
      </c>
      <c r="F31" s="259">
        <f t="shared" si="32"/>
        <v>1307055</v>
      </c>
      <c r="G31" s="259">
        <f t="shared" si="33"/>
        <v>1540604</v>
      </c>
      <c r="H31" s="259">
        <v>935359</v>
      </c>
      <c r="I31" s="259">
        <v>1049178</v>
      </c>
      <c r="J31" s="259">
        <v>1138085</v>
      </c>
      <c r="K31" s="259">
        <v>1230039</v>
      </c>
      <c r="L31" s="259">
        <v>1215061</v>
      </c>
      <c r="M31" s="259">
        <v>1182012</v>
      </c>
      <c r="N31" s="259">
        <v>1216043</v>
      </c>
      <c r="O31" s="259">
        <v>1307055</v>
      </c>
      <c r="P31" s="259">
        <v>1274938</v>
      </c>
      <c r="Q31" s="259">
        <v>1305803</v>
      </c>
      <c r="R31" s="259">
        <v>1350713</v>
      </c>
      <c r="S31" s="259">
        <v>1540604</v>
      </c>
      <c r="T31" s="259">
        <v>1549652.25122</v>
      </c>
      <c r="U31" s="259">
        <v>1715785.118</v>
      </c>
      <c r="V31" s="259">
        <v>1777366.3865499999</v>
      </c>
      <c r="W31" s="258"/>
      <c r="X31" s="461">
        <f t="shared" si="34"/>
        <v>3.5891014500569751E-2</v>
      </c>
      <c r="Y31" s="461">
        <f t="shared" si="35"/>
        <v>0.3158727180015295</v>
      </c>
    </row>
    <row r="32" spans="1:26" ht="13" customHeight="1">
      <c r="B32" s="17" t="str">
        <f>IF('Summary | Sumário'!D$6=Names!B$3,Names!Q7,Names!R7)</f>
        <v>Creditors by resources to release</v>
      </c>
      <c r="C32" s="258">
        <v>54167</v>
      </c>
      <c r="D32" s="258">
        <v>64410</v>
      </c>
      <c r="E32" s="258">
        <f t="shared" si="31"/>
        <v>248633</v>
      </c>
      <c r="F32" s="258">
        <f t="shared" si="32"/>
        <v>251863</v>
      </c>
      <c r="G32" s="258">
        <f t="shared" si="33"/>
        <v>380021</v>
      </c>
      <c r="H32" s="258">
        <v>77971</v>
      </c>
      <c r="I32" s="258">
        <v>160250</v>
      </c>
      <c r="J32" s="258">
        <v>211800</v>
      </c>
      <c r="K32" s="258">
        <v>248633</v>
      </c>
      <c r="L32" s="258">
        <v>228245</v>
      </c>
      <c r="M32" s="258">
        <v>200059</v>
      </c>
      <c r="N32" s="258">
        <v>258532</v>
      </c>
      <c r="O32" s="258">
        <v>251863</v>
      </c>
      <c r="P32" s="258">
        <v>214375</v>
      </c>
      <c r="Q32" s="258">
        <v>267144</v>
      </c>
      <c r="R32" s="258">
        <v>327160</v>
      </c>
      <c r="S32" s="258">
        <v>380021</v>
      </c>
      <c r="T32" s="258">
        <v>331346</v>
      </c>
      <c r="U32" s="258">
        <v>299344.21299999999</v>
      </c>
      <c r="V32" s="258">
        <v>229281.05567000003</v>
      </c>
      <c r="W32" s="258"/>
      <c r="X32" s="460">
        <f t="shared" si="34"/>
        <v>-0.23405549293181083</v>
      </c>
      <c r="Y32" s="460">
        <f t="shared" si="35"/>
        <v>-0.29917760218241829</v>
      </c>
    </row>
    <row r="33" spans="1:27" ht="13" customHeight="1">
      <c r="B33" s="22" t="str">
        <f>IF('Summary | Sumário'!D$6=Names!B$3,Names!Q8,Names!R8)</f>
        <v>Securities issued</v>
      </c>
      <c r="C33" s="259">
        <v>1719580</v>
      </c>
      <c r="D33" s="259">
        <v>1729436</v>
      </c>
      <c r="E33" s="259">
        <f t="shared" si="31"/>
        <v>3572093</v>
      </c>
      <c r="F33" s="259">
        <f t="shared" si="32"/>
        <v>6202165</v>
      </c>
      <c r="G33" s="259">
        <f t="shared" si="33"/>
        <v>8095042</v>
      </c>
      <c r="H33" s="259">
        <v>1704892</v>
      </c>
      <c r="I33" s="259">
        <v>2081723</v>
      </c>
      <c r="J33" s="259">
        <v>3093320</v>
      </c>
      <c r="K33" s="259">
        <v>3572093</v>
      </c>
      <c r="L33" s="259">
        <v>4280956</v>
      </c>
      <c r="M33" s="259">
        <v>6104223</v>
      </c>
      <c r="N33" s="259">
        <v>6916919</v>
      </c>
      <c r="O33" s="259">
        <v>6202165</v>
      </c>
      <c r="P33" s="259">
        <v>6640557</v>
      </c>
      <c r="Q33" s="259">
        <v>7006191.0407400001</v>
      </c>
      <c r="R33" s="259">
        <v>7462564.5372699993</v>
      </c>
      <c r="S33" s="259">
        <v>8095042</v>
      </c>
      <c r="T33" s="259">
        <v>8249142.2142699994</v>
      </c>
      <c r="U33" s="259">
        <v>8543248.1730000004</v>
      </c>
      <c r="V33" s="259">
        <v>9047655.9166099988</v>
      </c>
      <c r="W33" s="258"/>
      <c r="X33" s="461">
        <f t="shared" si="34"/>
        <v>5.9041682202809476E-2</v>
      </c>
      <c r="Y33" s="461">
        <f t="shared" si="35"/>
        <v>0.21240571809109832</v>
      </c>
    </row>
    <row r="34" spans="1:27" ht="13" customHeight="1">
      <c r="B34" s="355" t="str">
        <f>IF('Summary | Sumário'!D$6=Names!B$3,Names!Q9,Names!R9)</f>
        <v>Total funding</v>
      </c>
      <c r="C34" s="358">
        <f t="shared" ref="C34:R34" si="36">C28+C33</f>
        <v>6434019</v>
      </c>
      <c r="D34" s="358">
        <f t="shared" si="36"/>
        <v>14166068</v>
      </c>
      <c r="E34" s="358">
        <f t="shared" si="36"/>
        <v>21905636</v>
      </c>
      <c r="F34" s="358">
        <f t="shared" si="36"/>
        <v>29844969</v>
      </c>
      <c r="G34" s="358">
        <f t="shared" si="36"/>
        <v>40746662</v>
      </c>
      <c r="H34" s="358">
        <f t="shared" si="36"/>
        <v>15097571</v>
      </c>
      <c r="I34" s="358">
        <f t="shared" si="36"/>
        <v>17710853.619999997</v>
      </c>
      <c r="J34" s="358">
        <f t="shared" si="36"/>
        <v>20186793.298</v>
      </c>
      <c r="K34" s="358">
        <f t="shared" si="36"/>
        <v>21905636</v>
      </c>
      <c r="L34" s="358">
        <f t="shared" si="36"/>
        <v>23239074</v>
      </c>
      <c r="M34" s="358">
        <f t="shared" si="36"/>
        <v>25850632</v>
      </c>
      <c r="N34" s="358">
        <f t="shared" si="36"/>
        <v>28368945</v>
      </c>
      <c r="O34" s="358">
        <f t="shared" si="36"/>
        <v>29844969</v>
      </c>
      <c r="P34" s="358">
        <f t="shared" si="36"/>
        <v>30822563</v>
      </c>
      <c r="Q34" s="358">
        <f t="shared" si="36"/>
        <v>33305517.040739998</v>
      </c>
      <c r="R34" s="358">
        <f t="shared" si="36"/>
        <v>36526552.537270002</v>
      </c>
      <c r="S34" s="358">
        <f t="shared" ref="S34:T34" si="37">S28+S33</f>
        <v>40746662</v>
      </c>
      <c r="T34" s="358">
        <f t="shared" si="37"/>
        <v>40892586.300405942</v>
      </c>
      <c r="U34" s="358">
        <f t="shared" ref="U34:V34" si="38">U28+U33</f>
        <v>44521566.244000003</v>
      </c>
      <c r="V34" s="358">
        <f t="shared" si="38"/>
        <v>48177414.530269995</v>
      </c>
      <c r="W34" s="170"/>
      <c r="X34" s="462">
        <f t="shared" si="34"/>
        <v>8.2114098732154917E-2</v>
      </c>
      <c r="Y34" s="462">
        <f t="shared" si="35"/>
        <v>0.31896965860963733</v>
      </c>
    </row>
    <row r="35" spans="1:27" ht="13" customHeight="1">
      <c r="B35" s="24"/>
      <c r="C35" s="261"/>
      <c r="D35" s="261"/>
      <c r="E35" s="261"/>
      <c r="F35" s="261"/>
      <c r="G35" s="261"/>
      <c r="H35" s="261"/>
      <c r="I35" s="261"/>
      <c r="J35" s="261"/>
      <c r="K35" s="261"/>
      <c r="L35" s="261"/>
      <c r="M35" s="261"/>
      <c r="N35" s="261"/>
      <c r="O35" s="261"/>
      <c r="P35" s="261"/>
      <c r="Q35" s="261"/>
      <c r="R35" s="261"/>
      <c r="S35" s="261"/>
      <c r="T35" s="261"/>
      <c r="U35" s="261"/>
      <c r="V35" s="261"/>
      <c r="W35" s="170"/>
      <c r="X35" s="261"/>
      <c r="Y35" s="261"/>
    </row>
    <row r="36" spans="1:27" s="168" customFormat="1" ht="13" customHeight="1">
      <c r="A36" s="166"/>
      <c r="B36" s="3" t="str">
        <f>IF('Summary | Sumário'!D$6=Names!B$3,Names!Q34,Names!R34)</f>
        <v>Cost of funding - excluding other interest bearing liabilities</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row>
    <row r="37" spans="1:27" s="193" customFormat="1" ht="13" customHeight="1">
      <c r="A37" s="262"/>
      <c r="B37" s="323" t="str">
        <f>IF('Summary | Sumário'!D$6=Names!B$3,Names!Q11,Names!R11)</f>
        <v>Annualized interest expenses</v>
      </c>
      <c r="C37" s="357">
        <f>C38</f>
        <v>256717</v>
      </c>
      <c r="D37" s="357">
        <f t="shared" ref="D37:F37" si="39">D38</f>
        <v>184335</v>
      </c>
      <c r="E37" s="357">
        <f t="shared" si="39"/>
        <v>543242</v>
      </c>
      <c r="F37" s="357">
        <f t="shared" si="39"/>
        <v>1972850</v>
      </c>
      <c r="G37" s="357">
        <f t="shared" ref="G37" si="40">S37</f>
        <v>3008792.0200000005</v>
      </c>
      <c r="H37" s="357">
        <f>H38*4</f>
        <v>262236</v>
      </c>
      <c r="I37" s="357">
        <f t="shared" ref="I37:V37" si="41">I38*4</f>
        <v>345044</v>
      </c>
      <c r="J37" s="357">
        <f t="shared" si="41"/>
        <v>554348</v>
      </c>
      <c r="K37" s="357">
        <f t="shared" si="41"/>
        <v>1011340</v>
      </c>
      <c r="L37" s="357">
        <f t="shared" si="41"/>
        <v>1347084</v>
      </c>
      <c r="M37" s="357">
        <f t="shared" si="41"/>
        <v>1860164</v>
      </c>
      <c r="N37" s="357">
        <f t="shared" si="41"/>
        <v>2318712</v>
      </c>
      <c r="O37" s="357">
        <f t="shared" si="41"/>
        <v>2365440</v>
      </c>
      <c r="P37" s="357">
        <f t="shared" si="41"/>
        <v>2691084</v>
      </c>
      <c r="Q37" s="357">
        <f t="shared" si="41"/>
        <v>2768824</v>
      </c>
      <c r="R37" s="357">
        <f t="shared" si="41"/>
        <v>3081592</v>
      </c>
      <c r="S37" s="357">
        <f t="shared" si="41"/>
        <v>3008792.0200000005</v>
      </c>
      <c r="T37" s="357">
        <f t="shared" si="41"/>
        <v>3048987.5612000003</v>
      </c>
      <c r="U37" s="357">
        <f t="shared" si="41"/>
        <v>3090570.4360000002</v>
      </c>
      <c r="V37" s="357">
        <f t="shared" si="41"/>
        <v>3342470.872</v>
      </c>
      <c r="W37" s="211"/>
      <c r="X37" s="455">
        <f t="shared" ref="X37:X41" si="42">V37/U37-1</f>
        <v>8.1506130087112494E-2</v>
      </c>
      <c r="Y37" s="455">
        <f t="shared" ref="Y37:Y41" si="43">V37/R37-1</f>
        <v>8.4657174603256946E-2</v>
      </c>
      <c r="Z37" s="217"/>
    </row>
    <row r="38" spans="1:27" ht="13" customHeight="1">
      <c r="B38" s="126" t="str">
        <f>IF('Summary | Sumário'!D$6=Names!B$3,Names!Q12,Names!R12)</f>
        <v>Interest expenses</v>
      </c>
      <c r="C38" s="211">
        <v>256717</v>
      </c>
      <c r="D38" s="211">
        <v>184335</v>
      </c>
      <c r="E38" s="211">
        <v>543242</v>
      </c>
      <c r="F38" s="211">
        <v>1972850</v>
      </c>
      <c r="G38" s="211">
        <v>2887573</v>
      </c>
      <c r="H38" s="211">
        <v>65559</v>
      </c>
      <c r="I38" s="211">
        <v>86261</v>
      </c>
      <c r="J38" s="211">
        <v>138587</v>
      </c>
      <c r="K38" s="211">
        <v>252835</v>
      </c>
      <c r="L38" s="211">
        <v>336771</v>
      </c>
      <c r="M38" s="211">
        <v>465041</v>
      </c>
      <c r="N38" s="211">
        <v>579678</v>
      </c>
      <c r="O38" s="211">
        <v>591360</v>
      </c>
      <c r="P38" s="211">
        <v>672771</v>
      </c>
      <c r="Q38" s="211">
        <v>692206</v>
      </c>
      <c r="R38" s="211">
        <v>770398</v>
      </c>
      <c r="S38" s="211">
        <v>752198.00500000012</v>
      </c>
      <c r="T38" s="211">
        <v>762246.89030000009</v>
      </c>
      <c r="U38" s="211">
        <v>772642.60900000005</v>
      </c>
      <c r="V38" s="211">
        <v>835617.71799999999</v>
      </c>
      <c r="W38" s="211"/>
      <c r="X38" s="456">
        <f t="shared" si="42"/>
        <v>8.1506130087112494E-2</v>
      </c>
      <c r="Y38" s="456">
        <f t="shared" si="43"/>
        <v>8.4657174603256946E-2</v>
      </c>
    </row>
    <row r="39" spans="1:27" ht="13" customHeight="1">
      <c r="B39" s="22" t="str">
        <f>IF('Summary | Sumário'!D$6=Names!B$3,Names!Q13,Names!R13)</f>
        <v>(÷) Average funding</v>
      </c>
      <c r="C39" s="259">
        <f>AVERAGE(C40:C41)</f>
        <v>6434019</v>
      </c>
      <c r="D39" s="259">
        <f t="shared" ref="D39:P39" si="44">AVERAGE(D40:D41)</f>
        <v>10300043.5</v>
      </c>
      <c r="E39" s="259">
        <f t="shared" si="44"/>
        <v>18035852</v>
      </c>
      <c r="F39" s="259">
        <f t="shared" si="44"/>
        <v>25875302.5</v>
      </c>
      <c r="G39" s="259">
        <f t="shared" si="44"/>
        <v>35295815.5</v>
      </c>
      <c r="H39" s="259">
        <f t="shared" si="44"/>
        <v>14631819.5</v>
      </c>
      <c r="I39" s="259">
        <f t="shared" si="44"/>
        <v>16404212.309999999</v>
      </c>
      <c r="J39" s="259">
        <f t="shared" si="44"/>
        <v>18948823.458999999</v>
      </c>
      <c r="K39" s="259">
        <f t="shared" si="44"/>
        <v>21046214.649</v>
      </c>
      <c r="L39" s="259">
        <f t="shared" si="44"/>
        <v>22572355</v>
      </c>
      <c r="M39" s="259">
        <f t="shared" si="44"/>
        <v>24544853</v>
      </c>
      <c r="N39" s="259">
        <f t="shared" si="44"/>
        <v>27109788.5</v>
      </c>
      <c r="O39" s="259">
        <f t="shared" si="44"/>
        <v>29106957</v>
      </c>
      <c r="P39" s="259">
        <f t="shared" si="44"/>
        <v>30333766</v>
      </c>
      <c r="Q39" s="259">
        <f t="shared" ref="Q39:R39" si="45">AVERAGE(Q40:Q41)</f>
        <v>32064040.020369999</v>
      </c>
      <c r="R39" s="259">
        <f t="shared" si="45"/>
        <v>34916034.789004996</v>
      </c>
      <c r="S39" s="259">
        <f t="shared" ref="S39:T39" si="46">AVERAGE(S40:S41)</f>
        <v>38636607.268635005</v>
      </c>
      <c r="T39" s="259">
        <f t="shared" si="46"/>
        <v>40819624.150202975</v>
      </c>
      <c r="U39" s="259">
        <f t="shared" ref="U39:V39" si="47">AVERAGE(U40:U41)</f>
        <v>42707076.272202969</v>
      </c>
      <c r="V39" s="259">
        <f t="shared" si="47"/>
        <v>46349490.387134999</v>
      </c>
      <c r="W39" s="258"/>
      <c r="X39" s="461">
        <f t="shared" si="42"/>
        <v>8.5288304254693026E-2</v>
      </c>
      <c r="Y39" s="461">
        <f t="shared" si="43"/>
        <v>0.32745572821259694</v>
      </c>
    </row>
    <row r="40" spans="1:27" ht="13" customHeight="1">
      <c r="B40" s="126" t="str">
        <f>IF('Summary | Sumário'!D$6=Names!B$3,Names!Q14,Names!R14)</f>
        <v>Total funding</v>
      </c>
      <c r="C40" s="258">
        <f>C34</f>
        <v>6434019</v>
      </c>
      <c r="D40" s="258">
        <f t="shared" ref="D40:P40" si="48">D34</f>
        <v>14166068</v>
      </c>
      <c r="E40" s="258">
        <f t="shared" si="48"/>
        <v>21905636</v>
      </c>
      <c r="F40" s="258">
        <f t="shared" si="48"/>
        <v>29844969</v>
      </c>
      <c r="G40" s="258">
        <f t="shared" si="48"/>
        <v>40746662</v>
      </c>
      <c r="H40" s="258">
        <f t="shared" si="48"/>
        <v>15097571</v>
      </c>
      <c r="I40" s="258">
        <f t="shared" si="48"/>
        <v>17710853.619999997</v>
      </c>
      <c r="J40" s="258">
        <f t="shared" si="48"/>
        <v>20186793.298</v>
      </c>
      <c r="K40" s="258">
        <f t="shared" si="48"/>
        <v>21905636</v>
      </c>
      <c r="L40" s="258">
        <f t="shared" si="48"/>
        <v>23239074</v>
      </c>
      <c r="M40" s="258">
        <f t="shared" si="48"/>
        <v>25850632</v>
      </c>
      <c r="N40" s="258">
        <f t="shared" si="48"/>
        <v>28368945</v>
      </c>
      <c r="O40" s="258">
        <f t="shared" si="48"/>
        <v>29844969</v>
      </c>
      <c r="P40" s="258">
        <f t="shared" si="48"/>
        <v>30822563</v>
      </c>
      <c r="Q40" s="258">
        <f t="shared" ref="Q40:R40" si="49">Q34</f>
        <v>33305517.040739998</v>
      </c>
      <c r="R40" s="258">
        <f t="shared" si="49"/>
        <v>36526552.537270002</v>
      </c>
      <c r="S40" s="258">
        <f t="shared" ref="S40:T40" si="50">S34</f>
        <v>40746662</v>
      </c>
      <c r="T40" s="258">
        <f t="shared" si="50"/>
        <v>40892586.300405942</v>
      </c>
      <c r="U40" s="258">
        <f t="shared" ref="U40:V40" si="51">U34</f>
        <v>44521566.244000003</v>
      </c>
      <c r="V40" s="258">
        <f t="shared" si="51"/>
        <v>48177414.530269995</v>
      </c>
      <c r="W40" s="258"/>
      <c r="X40" s="460">
        <f t="shared" si="42"/>
        <v>8.2114098732154917E-2</v>
      </c>
      <c r="Y40" s="460">
        <f t="shared" si="43"/>
        <v>0.31896965860963733</v>
      </c>
    </row>
    <row r="41" spans="1:27" ht="13" customHeight="1">
      <c r="B41" s="129" t="str">
        <f>IF('Summary | Sumário'!D$6=Names!B$3,Names!Q15,Names!R15)</f>
        <v>Total funding in the previous period</v>
      </c>
      <c r="C41" s="259">
        <f>C34</f>
        <v>6434019</v>
      </c>
      <c r="D41" s="259">
        <f>C40</f>
        <v>6434019</v>
      </c>
      <c r="E41" s="259">
        <f t="shared" ref="E41:G41" si="52">D40</f>
        <v>14166068</v>
      </c>
      <c r="F41" s="259">
        <f t="shared" si="52"/>
        <v>21905636</v>
      </c>
      <c r="G41" s="259">
        <f t="shared" si="52"/>
        <v>29844969</v>
      </c>
      <c r="H41" s="259">
        <f>D40</f>
        <v>14166068</v>
      </c>
      <c r="I41" s="259">
        <f>H40</f>
        <v>15097571</v>
      </c>
      <c r="J41" s="259">
        <f t="shared" ref="J41:V41" si="53">I40</f>
        <v>17710853.619999997</v>
      </c>
      <c r="K41" s="259">
        <f t="shared" si="53"/>
        <v>20186793.298</v>
      </c>
      <c r="L41" s="259">
        <f t="shared" si="53"/>
        <v>21905636</v>
      </c>
      <c r="M41" s="259">
        <f t="shared" si="53"/>
        <v>23239074</v>
      </c>
      <c r="N41" s="259">
        <f t="shared" si="53"/>
        <v>25850632</v>
      </c>
      <c r="O41" s="259">
        <f t="shared" si="53"/>
        <v>28368945</v>
      </c>
      <c r="P41" s="259">
        <f t="shared" si="53"/>
        <v>29844969</v>
      </c>
      <c r="Q41" s="259">
        <f t="shared" si="53"/>
        <v>30822563</v>
      </c>
      <c r="R41" s="259">
        <f t="shared" si="53"/>
        <v>33305517.040739998</v>
      </c>
      <c r="S41" s="259">
        <f t="shared" si="53"/>
        <v>36526552.537270002</v>
      </c>
      <c r="T41" s="259">
        <f t="shared" si="53"/>
        <v>40746662</v>
      </c>
      <c r="U41" s="259">
        <f t="shared" si="53"/>
        <v>40892586.300405942</v>
      </c>
      <c r="V41" s="259">
        <f t="shared" si="53"/>
        <v>44521566.244000003</v>
      </c>
      <c r="W41" s="258"/>
      <c r="X41" s="461">
        <f t="shared" si="42"/>
        <v>8.8744202113673509E-2</v>
      </c>
      <c r="Y41" s="461">
        <f t="shared" si="43"/>
        <v>0.33676250062535584</v>
      </c>
    </row>
    <row r="42" spans="1:27" ht="13" customHeight="1">
      <c r="B42" s="355" t="str">
        <f>IF('Summary | Sumário'!D$6=Names!B$3,Names!Q16,Names!R16)</f>
        <v>Cost of funding (%)</v>
      </c>
      <c r="C42" s="365">
        <f>C37/C39</f>
        <v>3.9899944342719533E-2</v>
      </c>
      <c r="D42" s="365">
        <f t="shared" ref="D42:P42" si="54">D37/D39</f>
        <v>1.7896526359330422E-2</v>
      </c>
      <c r="E42" s="365">
        <f t="shared" ref="E42" si="55">E37/E39</f>
        <v>3.0120118528362286E-2</v>
      </c>
      <c r="F42" s="365">
        <f t="shared" ref="F42:G42" si="56">F37/F39</f>
        <v>7.6244519266972816E-2</v>
      </c>
      <c r="G42" s="365">
        <f t="shared" si="56"/>
        <v>8.5245006451260499E-2</v>
      </c>
      <c r="H42" s="365">
        <f t="shared" si="54"/>
        <v>1.7922309662171544E-2</v>
      </c>
      <c r="I42" s="365">
        <f t="shared" si="54"/>
        <v>2.1033865782733217E-2</v>
      </c>
      <c r="J42" s="365">
        <f t="shared" si="54"/>
        <v>2.9255008956068192E-2</v>
      </c>
      <c r="K42" s="365">
        <f t="shared" si="54"/>
        <v>4.8053296845380851E-2</v>
      </c>
      <c r="L42" s="365">
        <f t="shared" si="54"/>
        <v>5.9678487246900024E-2</v>
      </c>
      <c r="M42" s="365">
        <f t="shared" si="54"/>
        <v>7.5786316585395724E-2</v>
      </c>
      <c r="N42" s="365">
        <f t="shared" si="54"/>
        <v>8.5530434883326373E-2</v>
      </c>
      <c r="O42" s="365">
        <f t="shared" si="54"/>
        <v>8.1267169220059651E-2</v>
      </c>
      <c r="P42" s="365">
        <f t="shared" si="54"/>
        <v>8.8715789526430708E-2</v>
      </c>
      <c r="Q42" s="365">
        <f t="shared" ref="Q42:R42" si="57">Q37/Q39</f>
        <v>8.6352936131597599E-2</v>
      </c>
      <c r="R42" s="365">
        <f t="shared" si="57"/>
        <v>8.8257215305856798E-2</v>
      </c>
      <c r="S42" s="365">
        <f t="shared" ref="S42:T42" si="58">S37/S39</f>
        <v>7.7874125931407079E-2</v>
      </c>
      <c r="T42" s="365">
        <f t="shared" si="58"/>
        <v>7.469416058268237E-2</v>
      </c>
      <c r="U42" s="365">
        <f t="shared" ref="U42:V42" si="59">U37/U39</f>
        <v>7.2366706077034354E-2</v>
      </c>
      <c r="V42" s="365">
        <f t="shared" si="59"/>
        <v>7.2114511811930362E-2</v>
      </c>
      <c r="W42" s="425"/>
      <c r="X42" s="464">
        <f t="shared" ref="X42:X44" si="60">(V42-U42)*100</f>
        <v>-2.5219426510399157E-2</v>
      </c>
      <c r="Y42" s="464">
        <f>(V42-R42)*100</f>
        <v>-1.6142703493926436</v>
      </c>
    </row>
    <row r="43" spans="1:27" ht="13" customHeight="1">
      <c r="B43" s="130" t="str">
        <f>IF('Summary | Sumário'!D$6=Names!B$3,Names!Q17,Names!R17)</f>
        <v>(÷) Average daily CDI rate in the period (%)</v>
      </c>
      <c r="C43" s="263">
        <v>5.9375494071146499E-2</v>
      </c>
      <c r="D43" s="263">
        <v>2.7735059760956016E-2</v>
      </c>
      <c r="E43" s="263">
        <v>4.4600000000000001E-2</v>
      </c>
      <c r="F43" s="263">
        <v>0.124527888446216</v>
      </c>
      <c r="G43" s="263">
        <v>0.1320823293</v>
      </c>
      <c r="H43" s="263">
        <v>2.022950819672133E-2</v>
      </c>
      <c r="I43" s="263">
        <v>3.2427419354838741E-2</v>
      </c>
      <c r="J43" s="263">
        <v>4.8576923076923101E-2</v>
      </c>
      <c r="K43" s="263">
        <v>7.6261904761904697E-2</v>
      </c>
      <c r="L43" s="263">
        <v>0.10270967741935499</v>
      </c>
      <c r="M43" s="263">
        <v>0.123758064516129</v>
      </c>
      <c r="N43" s="263">
        <v>0.13465384615384601</v>
      </c>
      <c r="O43" s="263">
        <v>0.13650000000000001</v>
      </c>
      <c r="P43" s="263">
        <v>0.13650000000000001</v>
      </c>
      <c r="Q43" s="263">
        <v>0.13650000000000001</v>
      </c>
      <c r="R43" s="263">
        <v>0.13275000000000001</v>
      </c>
      <c r="S43" s="263">
        <v>0.1224016393</v>
      </c>
      <c r="T43" s="263">
        <v>0.11281147540983601</v>
      </c>
      <c r="U43" s="263">
        <v>0.10507142857142864</v>
      </c>
      <c r="V43" s="263">
        <v>0.10430303030303033</v>
      </c>
      <c r="W43" s="260"/>
      <c r="X43" s="449">
        <f t="shared" si="60"/>
        <v>-7.6839826839830705E-2</v>
      </c>
      <c r="Y43" s="449">
        <f t="shared" ref="Y43:Y44" si="61">(V43-R43)*100</f>
        <v>-2.8446969696969679</v>
      </c>
    </row>
    <row r="44" spans="1:27" ht="13" customHeight="1">
      <c r="B44" s="355" t="str">
        <f>IF('Summary | Sumário'!D$6=Names!B$3,Names!Q18,Names!R18)</f>
        <v>Cost of funding % of CDI</v>
      </c>
      <c r="C44" s="365">
        <f t="shared" ref="C44:P44" si="62">C42/C43</f>
        <v>0.67199347082332572</v>
      </c>
      <c r="D44" s="365">
        <f t="shared" si="62"/>
        <v>0.64526727231084702</v>
      </c>
      <c r="E44" s="365">
        <f t="shared" si="62"/>
        <v>0.67533898045655349</v>
      </c>
      <c r="F44" s="365">
        <f t="shared" si="62"/>
        <v>0.61226862687793082</v>
      </c>
      <c r="G44" s="365">
        <f t="shared" si="62"/>
        <v>0.64539296742445096</v>
      </c>
      <c r="H44" s="365">
        <f t="shared" si="62"/>
        <v>0.88594885688206093</v>
      </c>
      <c r="I44" s="365">
        <f t="shared" si="62"/>
        <v>0.64864445587140429</v>
      </c>
      <c r="J44" s="365">
        <f t="shared" si="62"/>
        <v>0.6022408811225437</v>
      </c>
      <c r="K44" s="365">
        <f t="shared" si="62"/>
        <v>0.63010879410115439</v>
      </c>
      <c r="L44" s="365">
        <f t="shared" si="62"/>
        <v>0.58104054794406346</v>
      </c>
      <c r="M44" s="365">
        <f t="shared" si="62"/>
        <v>0.61237477235690552</v>
      </c>
      <c r="N44" s="365">
        <f t="shared" si="62"/>
        <v>0.63518746271536364</v>
      </c>
      <c r="O44" s="365">
        <f t="shared" si="62"/>
        <v>0.59536387707003402</v>
      </c>
      <c r="P44" s="365">
        <f t="shared" si="62"/>
        <v>0.64993252400315527</v>
      </c>
      <c r="Q44" s="365">
        <f t="shared" ref="Q44:R44" si="63">Q42/Q43</f>
        <v>0.6326222427223267</v>
      </c>
      <c r="R44" s="365">
        <f t="shared" si="63"/>
        <v>0.66483778008178374</v>
      </c>
      <c r="S44" s="365">
        <f t="shared" ref="S44:T44" si="64">S42/S43</f>
        <v>0.63621799819642677</v>
      </c>
      <c r="T44" s="365">
        <f t="shared" si="64"/>
        <v>0.6621149161583415</v>
      </c>
      <c r="U44" s="365">
        <f t="shared" ref="U44:V44" si="65">U42/U43</f>
        <v>0.68873819515872214</v>
      </c>
      <c r="V44" s="365">
        <f t="shared" si="65"/>
        <v>0.69139421551240599</v>
      </c>
      <c r="W44" s="425"/>
      <c r="X44" s="464">
        <f t="shared" si="60"/>
        <v>0.26560203536838412</v>
      </c>
      <c r="Y44" s="464">
        <f t="shared" si="61"/>
        <v>2.6556435430622249</v>
      </c>
    </row>
    <row r="45" spans="1:27" ht="13" customHeight="1">
      <c r="B45" s="53"/>
      <c r="C45" s="260"/>
      <c r="D45" s="260"/>
      <c r="E45" s="260"/>
      <c r="F45" s="260"/>
      <c r="G45" s="260"/>
      <c r="H45" s="260"/>
      <c r="I45" s="260"/>
      <c r="J45" s="260"/>
      <c r="K45" s="260"/>
      <c r="L45" s="260"/>
      <c r="M45" s="260"/>
      <c r="N45" s="260"/>
      <c r="O45" s="260"/>
      <c r="P45" s="260"/>
      <c r="Q45" s="260"/>
      <c r="R45" s="260"/>
      <c r="S45" s="260"/>
      <c r="T45" s="260"/>
      <c r="U45" s="260"/>
      <c r="V45" s="260"/>
      <c r="W45" s="260"/>
      <c r="X45" s="260"/>
      <c r="Y45" s="260"/>
    </row>
    <row r="46" spans="1:27" ht="13" customHeight="1">
      <c r="B46" s="64" t="str">
        <f>IF('Summary | Sumário'!D6=Names!B3,Names!AT4,Names!AU4)</f>
        <v>Source: CDI Rate according to CETIP</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row>
    <row r="47" spans="1:27" ht="13" customHeight="1">
      <c r="B47" s="59"/>
      <c r="C47" s="264"/>
      <c r="D47" s="264"/>
      <c r="E47" s="264"/>
      <c r="F47" s="264"/>
      <c r="G47" s="264"/>
      <c r="H47" s="264"/>
      <c r="I47" s="264"/>
      <c r="J47" s="264"/>
      <c r="K47" s="264"/>
      <c r="L47" s="264"/>
      <c r="M47" s="264"/>
      <c r="N47" s="264"/>
      <c r="O47" s="264"/>
      <c r="P47" s="264"/>
      <c r="Q47" s="264"/>
      <c r="R47" s="264"/>
      <c r="S47" s="264"/>
      <c r="T47" s="264"/>
      <c r="U47" s="264"/>
      <c r="V47" s="264"/>
      <c r="W47" s="264"/>
      <c r="X47" s="264"/>
      <c r="Y47" s="264"/>
    </row>
    <row r="48" spans="1:27" ht="13" customHeight="1">
      <c r="B48" s="59"/>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AA48" s="174"/>
    </row>
    <row r="49" spans="1:28" ht="13" customHeight="1">
      <c r="A49" s="249"/>
      <c r="B49" s="59"/>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174"/>
      <c r="AA49" s="174"/>
      <c r="AB49" s="245"/>
    </row>
    <row r="50" spans="1:28" ht="13" customHeight="1">
      <c r="A50" s="249"/>
      <c r="B50" s="5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174"/>
      <c r="AA50" s="174"/>
      <c r="AB50" s="245"/>
    </row>
    <row r="51" spans="1:28" ht="13" customHeight="1">
      <c r="A51" s="249"/>
      <c r="B51" s="51"/>
      <c r="C51" s="253"/>
      <c r="D51" s="253"/>
      <c r="E51" s="253"/>
      <c r="F51" s="253"/>
      <c r="G51" s="253"/>
      <c r="H51" s="253"/>
      <c r="I51" s="253"/>
      <c r="J51" s="253"/>
      <c r="K51" s="253"/>
      <c r="L51" s="253"/>
      <c r="M51" s="253"/>
      <c r="N51" s="253"/>
      <c r="O51" s="253"/>
      <c r="P51" s="253"/>
      <c r="Q51" s="253"/>
      <c r="R51" s="253"/>
      <c r="S51" s="253"/>
      <c r="T51" s="253"/>
      <c r="U51" s="253"/>
      <c r="V51" s="253"/>
      <c r="W51" s="253"/>
      <c r="X51" s="253"/>
      <c r="Y51" s="253"/>
      <c r="Z51" s="174"/>
      <c r="AA51" s="174"/>
    </row>
    <row r="52" spans="1:28" ht="13" customHeight="1">
      <c r="A52" s="249"/>
      <c r="B52" s="52"/>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174"/>
      <c r="AA52" s="174"/>
    </row>
    <row r="53" spans="1:28" ht="13" customHeight="1">
      <c r="A53" s="249"/>
      <c r="Z53" s="174"/>
      <c r="AA53" s="174"/>
    </row>
    <row r="54" spans="1:28" ht="13" customHeight="1">
      <c r="A54" s="249"/>
      <c r="B54" s="53"/>
      <c r="C54" s="260"/>
      <c r="D54" s="260"/>
      <c r="E54" s="260"/>
      <c r="F54" s="260"/>
      <c r="G54" s="260"/>
      <c r="H54" s="260"/>
      <c r="I54" s="260"/>
      <c r="J54" s="260"/>
      <c r="K54" s="260"/>
      <c r="L54" s="260"/>
      <c r="M54" s="260"/>
      <c r="N54" s="260"/>
      <c r="O54" s="260"/>
      <c r="P54" s="260"/>
      <c r="Q54" s="260"/>
      <c r="R54" s="260"/>
      <c r="S54" s="260"/>
      <c r="T54" s="260"/>
      <c r="U54" s="260"/>
      <c r="V54" s="260"/>
      <c r="W54" s="260"/>
      <c r="X54" s="260"/>
      <c r="Y54" s="260"/>
    </row>
    <row r="55" spans="1:28" ht="13" customHeight="1">
      <c r="A55" s="249"/>
      <c r="B55" s="53"/>
      <c r="C55" s="260"/>
      <c r="D55" s="260"/>
      <c r="E55" s="260"/>
      <c r="F55" s="260"/>
      <c r="G55" s="260"/>
      <c r="H55" s="260"/>
      <c r="I55" s="260"/>
      <c r="J55" s="260"/>
      <c r="K55" s="260"/>
      <c r="L55" s="260"/>
      <c r="M55" s="260"/>
      <c r="N55" s="260"/>
      <c r="O55" s="260"/>
      <c r="P55" s="260"/>
      <c r="Q55" s="260"/>
      <c r="R55" s="260"/>
      <c r="S55" s="260"/>
      <c r="T55" s="260"/>
      <c r="U55" s="260"/>
      <c r="V55" s="260"/>
      <c r="W55" s="260"/>
      <c r="X55" s="260"/>
      <c r="Y55" s="260"/>
    </row>
    <row r="56" spans="1:28" ht="13" customHeight="1">
      <c r="A56" s="249"/>
      <c r="B56" s="53"/>
      <c r="C56" s="260"/>
      <c r="D56" s="260"/>
      <c r="E56" s="260"/>
      <c r="F56" s="260"/>
      <c r="G56" s="260"/>
      <c r="H56" s="260"/>
      <c r="I56" s="260"/>
      <c r="J56" s="260"/>
      <c r="K56" s="260"/>
      <c r="L56" s="260"/>
      <c r="M56" s="260"/>
      <c r="N56" s="260"/>
      <c r="O56" s="260"/>
      <c r="P56" s="260"/>
      <c r="Q56" s="260"/>
      <c r="R56" s="260"/>
      <c r="S56" s="260"/>
      <c r="T56" s="260"/>
      <c r="U56" s="260"/>
      <c r="V56" s="260"/>
      <c r="W56" s="260"/>
      <c r="X56" s="260"/>
      <c r="Y56" s="260"/>
    </row>
    <row r="57" spans="1:28" ht="13" customHeight="1">
      <c r="A57" s="249"/>
      <c r="Z57" s="217"/>
    </row>
    <row r="58" spans="1:28" ht="13" customHeight="1">
      <c r="Z58" s="217"/>
    </row>
  </sheetData>
  <sheetProtection algorithmName="SHA-512" hashValue="ozi+0FmEMbufJuHFEEGdtn4jbO3ia427FzMUnVVeABRYdcF/m/cc/4ooviHVAWu8WeJgttifRZGDWakp4rhtcw==" saltValue="387mIzAqroRvndFKVaV8bA=="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ignoredErrors>
    <ignoredError sqref="B2:Y4 B15:Y18 B11:P11 W11:Y11 B10 B5 E5:G5 B6 E6:G6 B7 E7:G7 B8 E8:G8 B9 E9:G9 E10:G10 B12 E12:G12 B13 E13:G13 B14 E14:G14 W5:Y5 W6:Y6 W7:Y7 W8:Y8 W9:Y9 W10:Y10 W12:Y12 W13:Y13 W14:Y14 B20:Y23 B19 W19:Y19 B25:Y25 B24 W24:Y24" unlockedFormula="1"/>
    <ignoredError sqref="Q11:V11" formula="1" unlocked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8192-E1BC-0E44-928B-4A788C5D6993}">
  <sheetPr>
    <tabColor rgb="FFEB7100"/>
  </sheetPr>
  <dimension ref="A1:XEZ38"/>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5"/>
    <col min="23" max="23" width="5.83203125" style="135" customWidth="1"/>
    <col min="24" max="16384" width="10.83203125" style="135"/>
  </cols>
  <sheetData>
    <row r="1" spans="1:1014 1027:2041 2054:3068 3081:4095 4108:5109 5122:6136 6149:7163 7176:8190 8203:9204 9217:10231 10244:11258 11271:12285 12298:13312 13325:14326 14339:15353 15366:16380" ht="13" customHeight="1">
      <c r="C1" s="136"/>
      <c r="D1" s="136"/>
      <c r="E1" s="136"/>
      <c r="F1" s="136"/>
      <c r="G1" s="136"/>
      <c r="H1" s="136"/>
      <c r="I1" s="136"/>
      <c r="J1" s="136"/>
      <c r="K1" s="136"/>
      <c r="L1" s="136"/>
      <c r="M1" s="136"/>
      <c r="N1" s="136"/>
      <c r="O1" s="136"/>
      <c r="P1" s="136"/>
      <c r="Q1" s="136"/>
      <c r="R1" s="136"/>
      <c r="S1" s="136"/>
      <c r="T1" s="136"/>
      <c r="U1" s="136"/>
      <c r="V1" s="136"/>
      <c r="W1" s="136"/>
      <c r="X1" s="136"/>
      <c r="Y1" s="136"/>
    </row>
    <row r="2" spans="1:1014 1027:2041 2054:3068 3081:4095 4108:5109 5122:6136 6149:7163 7176:8190 8203:9204 9217:10231 10244:11258 11271:12285 12298:13312 13325:14326 14339:15353 15366:16380" s="10" customFormat="1" ht="13" customHeight="1">
      <c r="B2" s="319" t="str">
        <f>IF('Summary | Sumário'!D$6=Names!B$3,Names!S1,Names!T1)</f>
        <v>Fee Revenues (IFRS, R$ Thousands)</v>
      </c>
      <c r="C2" s="134">
        <f>IF('Summary | Sumário'!D6=Names!B3,Names!C2,Names!D2)</f>
        <v>2019</v>
      </c>
      <c r="D2" s="134">
        <f>IF('Summary | Sumário'!D6=Names!B3,Names!C3,Names!D3)</f>
        <v>2020</v>
      </c>
      <c r="E2" s="134">
        <f>IF('Summary | Sumário'!D6=Names!B3,Names!C4,Names!D4)</f>
        <v>2021</v>
      </c>
      <c r="F2" s="134">
        <f>IF('Summary | Sumário'!D6=Names!B3,Names!C5,Names!D5)</f>
        <v>2022</v>
      </c>
      <c r="G2" s="348">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1"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1:1014 1027:2041 2054:3068 3081:4095 4108:5109 5122:6136 6149:7163 7176:8190 8203:9204 9217:10231 10244:11258 11271:12285 12298:13312 13325:14326 14339:15353 15366:16380" ht="13" customHeight="1">
      <c r="B3" s="14"/>
      <c r="C3" s="146"/>
      <c r="D3" s="146"/>
      <c r="E3" s="146"/>
      <c r="F3" s="146"/>
      <c r="G3" s="147"/>
      <c r="H3" s="147"/>
      <c r="I3" s="147"/>
      <c r="J3" s="147"/>
      <c r="K3" s="147"/>
      <c r="L3" s="147"/>
      <c r="M3" s="147"/>
      <c r="N3" s="147"/>
      <c r="O3" s="147"/>
      <c r="P3" s="147"/>
      <c r="Q3" s="147"/>
      <c r="R3" s="147"/>
      <c r="S3" s="147"/>
      <c r="T3" s="147"/>
      <c r="U3" s="147"/>
      <c r="V3" s="147"/>
      <c r="W3" s="147"/>
      <c r="X3" s="147"/>
      <c r="Y3" s="147"/>
    </row>
    <row r="4" spans="1:1014 1027:2041 2054:3068 3081:4095 4108:5109 5122:6136 6149:7163 7176:8190 8203:9204 9217:10231 10244:11258 11271:12285 12298:13312 13325:14326 14339:15353 15366:16380" s="250" customFormat="1" ht="13" customHeight="1">
      <c r="A4" s="249"/>
      <c r="B4" s="322" t="str">
        <f>IF('Summary | Sumário'!D$6=Names!B$3,Names!S3,Names!T3)</f>
        <v xml:space="preserve">Revenues from services and commissions </v>
      </c>
      <c r="C4" s="211"/>
      <c r="D4" s="211"/>
      <c r="E4" s="211"/>
      <c r="F4" s="211"/>
      <c r="G4" s="211"/>
      <c r="H4" s="211"/>
      <c r="I4" s="211"/>
      <c r="J4" s="211"/>
      <c r="K4" s="211"/>
      <c r="L4" s="211"/>
      <c r="M4" s="211"/>
      <c r="N4" s="211"/>
      <c r="O4" s="211"/>
      <c r="P4" s="211"/>
      <c r="Q4" s="211"/>
      <c r="R4" s="211"/>
      <c r="S4" s="211"/>
      <c r="T4" s="211"/>
      <c r="U4" s="211"/>
      <c r="V4" s="211"/>
      <c r="W4" s="211"/>
      <c r="X4" s="211"/>
      <c r="Y4" s="211"/>
      <c r="Z4" s="211"/>
      <c r="AA4" s="135"/>
      <c r="AM4" s="251"/>
      <c r="AZ4" s="251"/>
      <c r="BM4" s="251"/>
      <c r="BZ4" s="251"/>
      <c r="CM4" s="251"/>
      <c r="CZ4" s="251"/>
      <c r="DM4" s="251"/>
      <c r="DZ4" s="251"/>
      <c r="EM4" s="251"/>
      <c r="EZ4" s="251"/>
      <c r="FM4" s="251"/>
      <c r="FZ4" s="251"/>
      <c r="GM4" s="251"/>
      <c r="GZ4" s="251"/>
      <c r="HM4" s="251"/>
      <c r="HZ4" s="251"/>
      <c r="IM4" s="251"/>
      <c r="IZ4" s="251"/>
      <c r="JM4" s="251"/>
      <c r="JZ4" s="251"/>
      <c r="KM4" s="251"/>
      <c r="KZ4" s="251"/>
      <c r="LM4" s="251"/>
      <c r="LZ4" s="251"/>
      <c r="MM4" s="251"/>
      <c r="MZ4" s="251"/>
      <c r="NM4" s="251"/>
      <c r="NZ4" s="251"/>
      <c r="OM4" s="251"/>
      <c r="OZ4" s="251"/>
      <c r="PM4" s="251"/>
      <c r="PZ4" s="251"/>
      <c r="QM4" s="251"/>
      <c r="QZ4" s="251"/>
      <c r="RM4" s="251"/>
      <c r="RZ4" s="251"/>
      <c r="SM4" s="251"/>
      <c r="SZ4" s="251"/>
      <c r="TM4" s="251"/>
      <c r="TZ4" s="251"/>
      <c r="UM4" s="251"/>
      <c r="UZ4" s="251"/>
      <c r="VM4" s="251"/>
      <c r="VZ4" s="251"/>
      <c r="WM4" s="251"/>
      <c r="WZ4" s="251"/>
      <c r="XM4" s="251"/>
      <c r="XZ4" s="251"/>
      <c r="YM4" s="251"/>
      <c r="YZ4" s="251"/>
      <c r="ZM4" s="251"/>
      <c r="ZZ4" s="251"/>
      <c r="AAM4" s="251"/>
      <c r="AAZ4" s="251"/>
      <c r="ABM4" s="251"/>
      <c r="ABZ4" s="251"/>
      <c r="ACM4" s="251"/>
      <c r="ACZ4" s="251"/>
      <c r="ADM4" s="251"/>
      <c r="ADZ4" s="251"/>
      <c r="AEM4" s="251"/>
      <c r="AEZ4" s="251"/>
      <c r="AFM4" s="251"/>
      <c r="AFZ4" s="251"/>
      <c r="AGM4" s="251"/>
      <c r="AGZ4" s="251"/>
      <c r="AHM4" s="251"/>
      <c r="AHZ4" s="251"/>
      <c r="AIM4" s="251"/>
      <c r="AIZ4" s="251"/>
      <c r="AJM4" s="251"/>
      <c r="AJZ4" s="251"/>
      <c r="AKM4" s="251"/>
      <c r="AKZ4" s="251"/>
      <c r="ALM4" s="251"/>
      <c r="ALZ4" s="251"/>
      <c r="AMM4" s="251"/>
      <c r="AMZ4" s="251"/>
      <c r="ANM4" s="251"/>
      <c r="ANZ4" s="251"/>
      <c r="AOM4" s="251"/>
      <c r="AOZ4" s="251"/>
      <c r="APM4" s="251"/>
      <c r="APZ4" s="251"/>
      <c r="AQM4" s="251"/>
      <c r="AQZ4" s="251"/>
      <c r="ARM4" s="251"/>
      <c r="ARZ4" s="251"/>
      <c r="ASM4" s="251"/>
      <c r="ASZ4" s="251"/>
      <c r="ATM4" s="251"/>
      <c r="ATZ4" s="251"/>
      <c r="AUM4" s="251"/>
      <c r="AUZ4" s="251"/>
      <c r="AVM4" s="251"/>
      <c r="AVZ4" s="251"/>
      <c r="AWM4" s="251"/>
      <c r="AWZ4" s="251"/>
      <c r="AXM4" s="251"/>
      <c r="AXZ4" s="251"/>
      <c r="AYM4" s="251"/>
      <c r="AYZ4" s="251"/>
      <c r="AZM4" s="251"/>
      <c r="AZZ4" s="251"/>
      <c r="BAM4" s="251"/>
      <c r="BAZ4" s="251"/>
      <c r="BBM4" s="251"/>
      <c r="BBZ4" s="251"/>
      <c r="BCM4" s="251"/>
      <c r="BCZ4" s="251"/>
      <c r="BDM4" s="251"/>
      <c r="BDZ4" s="251"/>
      <c r="BEM4" s="251"/>
      <c r="BEZ4" s="251"/>
      <c r="BFM4" s="251"/>
      <c r="BFZ4" s="251"/>
      <c r="BGM4" s="251"/>
      <c r="BGZ4" s="251"/>
      <c r="BHM4" s="251"/>
      <c r="BHZ4" s="251"/>
      <c r="BIM4" s="251"/>
      <c r="BIZ4" s="251"/>
      <c r="BJM4" s="251"/>
      <c r="BJZ4" s="251"/>
      <c r="BKM4" s="251"/>
      <c r="BKZ4" s="251"/>
      <c r="BLM4" s="251"/>
      <c r="BLZ4" s="251"/>
      <c r="BMM4" s="251"/>
      <c r="BMZ4" s="251"/>
      <c r="BNM4" s="251"/>
      <c r="BNZ4" s="251"/>
      <c r="BOM4" s="251"/>
      <c r="BOZ4" s="251"/>
      <c r="BPM4" s="251"/>
      <c r="BPZ4" s="251"/>
      <c r="BQM4" s="251"/>
      <c r="BQZ4" s="251"/>
      <c r="BRM4" s="251"/>
      <c r="BRZ4" s="251"/>
      <c r="BSM4" s="251"/>
      <c r="BSZ4" s="251"/>
      <c r="BTM4" s="251"/>
      <c r="BTZ4" s="251"/>
      <c r="BUM4" s="251"/>
      <c r="BUZ4" s="251"/>
      <c r="BVM4" s="251"/>
      <c r="BVZ4" s="251"/>
      <c r="BWM4" s="251"/>
      <c r="BWZ4" s="251"/>
      <c r="BXM4" s="251"/>
      <c r="BXZ4" s="251"/>
      <c r="BYM4" s="251"/>
      <c r="BYZ4" s="251"/>
      <c r="BZM4" s="251"/>
      <c r="BZZ4" s="251"/>
      <c r="CAM4" s="251"/>
      <c r="CAZ4" s="251"/>
      <c r="CBM4" s="251"/>
      <c r="CBZ4" s="251"/>
      <c r="CCM4" s="251"/>
      <c r="CCZ4" s="251"/>
      <c r="CDM4" s="251"/>
      <c r="CDZ4" s="251"/>
      <c r="CEM4" s="251"/>
      <c r="CEZ4" s="251"/>
      <c r="CFM4" s="251"/>
      <c r="CFZ4" s="251"/>
      <c r="CGM4" s="251"/>
      <c r="CGZ4" s="251"/>
      <c r="CHM4" s="251"/>
      <c r="CHZ4" s="251"/>
      <c r="CIM4" s="251"/>
      <c r="CIZ4" s="251"/>
      <c r="CJM4" s="251"/>
      <c r="CJZ4" s="251"/>
      <c r="CKM4" s="251"/>
      <c r="CKZ4" s="251"/>
      <c r="CLM4" s="251"/>
      <c r="CLZ4" s="251"/>
      <c r="CMM4" s="251"/>
      <c r="CMZ4" s="251"/>
      <c r="CNM4" s="251"/>
      <c r="CNZ4" s="251"/>
      <c r="COM4" s="251"/>
      <c r="COZ4" s="251"/>
      <c r="CPM4" s="251"/>
      <c r="CPZ4" s="251"/>
      <c r="CQM4" s="251"/>
      <c r="CQZ4" s="251"/>
      <c r="CRM4" s="251"/>
      <c r="CRZ4" s="251"/>
      <c r="CSM4" s="251"/>
      <c r="CSZ4" s="251"/>
      <c r="CTM4" s="251"/>
      <c r="CTZ4" s="251"/>
      <c r="CUM4" s="251"/>
      <c r="CUZ4" s="251"/>
      <c r="CVM4" s="251"/>
      <c r="CVZ4" s="251"/>
      <c r="CWM4" s="251"/>
      <c r="CWZ4" s="251"/>
      <c r="CXM4" s="251"/>
      <c r="CXZ4" s="251"/>
      <c r="CYM4" s="251"/>
      <c r="CYZ4" s="251"/>
      <c r="CZM4" s="251"/>
      <c r="CZZ4" s="251"/>
      <c r="DAM4" s="251"/>
      <c r="DAZ4" s="251"/>
      <c r="DBM4" s="251"/>
      <c r="DBZ4" s="251"/>
      <c r="DCM4" s="251"/>
      <c r="DCZ4" s="251"/>
      <c r="DDM4" s="251"/>
      <c r="DDZ4" s="251"/>
      <c r="DEM4" s="251"/>
      <c r="DEZ4" s="251"/>
      <c r="DFM4" s="251"/>
      <c r="DFZ4" s="251"/>
      <c r="DGM4" s="251"/>
      <c r="DGZ4" s="251"/>
      <c r="DHM4" s="251"/>
      <c r="DHZ4" s="251"/>
      <c r="DIM4" s="251"/>
      <c r="DIZ4" s="251"/>
      <c r="DJM4" s="251"/>
      <c r="DJZ4" s="251"/>
      <c r="DKM4" s="251"/>
      <c r="DKZ4" s="251"/>
      <c r="DLM4" s="251"/>
      <c r="DLZ4" s="251"/>
      <c r="DMM4" s="251"/>
      <c r="DMZ4" s="251"/>
      <c r="DNM4" s="251"/>
      <c r="DNZ4" s="251"/>
      <c r="DOM4" s="251"/>
      <c r="DOZ4" s="251"/>
      <c r="DPM4" s="251"/>
      <c r="DPZ4" s="251"/>
      <c r="DQM4" s="251"/>
      <c r="DQZ4" s="251"/>
      <c r="DRM4" s="251"/>
      <c r="DRZ4" s="251"/>
      <c r="DSM4" s="251"/>
      <c r="DSZ4" s="251"/>
      <c r="DTM4" s="251"/>
      <c r="DTZ4" s="251"/>
      <c r="DUM4" s="251"/>
      <c r="DUZ4" s="251"/>
      <c r="DVM4" s="251"/>
      <c r="DVZ4" s="251"/>
      <c r="DWM4" s="251"/>
      <c r="DWZ4" s="251"/>
      <c r="DXM4" s="251"/>
      <c r="DXZ4" s="251"/>
      <c r="DYM4" s="251"/>
      <c r="DYZ4" s="251"/>
      <c r="DZM4" s="251"/>
      <c r="DZZ4" s="251"/>
      <c r="EAM4" s="251"/>
      <c r="EAZ4" s="251"/>
      <c r="EBM4" s="251"/>
      <c r="EBZ4" s="251"/>
      <c r="ECM4" s="251"/>
      <c r="ECZ4" s="251"/>
      <c r="EDM4" s="251"/>
      <c r="EDZ4" s="251"/>
      <c r="EEM4" s="251"/>
      <c r="EEZ4" s="251"/>
      <c r="EFM4" s="251"/>
      <c r="EFZ4" s="251"/>
      <c r="EGM4" s="251"/>
      <c r="EGZ4" s="251"/>
      <c r="EHM4" s="251"/>
      <c r="EHZ4" s="251"/>
      <c r="EIM4" s="251"/>
      <c r="EIZ4" s="251"/>
      <c r="EJM4" s="251"/>
      <c r="EJZ4" s="251"/>
      <c r="EKM4" s="251"/>
      <c r="EKZ4" s="251"/>
      <c r="ELM4" s="251"/>
      <c r="ELZ4" s="251"/>
      <c r="EMM4" s="251"/>
      <c r="EMZ4" s="251"/>
      <c r="ENM4" s="251"/>
      <c r="ENZ4" s="251"/>
      <c r="EOM4" s="251"/>
      <c r="EOZ4" s="251"/>
      <c r="EPM4" s="251"/>
      <c r="EPZ4" s="251"/>
      <c r="EQM4" s="251"/>
      <c r="EQZ4" s="251"/>
      <c r="ERM4" s="251"/>
      <c r="ERZ4" s="251"/>
      <c r="ESM4" s="251"/>
      <c r="ESZ4" s="251"/>
      <c r="ETM4" s="251"/>
      <c r="ETZ4" s="251"/>
      <c r="EUM4" s="251"/>
      <c r="EUZ4" s="251"/>
      <c r="EVM4" s="251"/>
      <c r="EVZ4" s="251"/>
      <c r="EWM4" s="251"/>
      <c r="EWZ4" s="251"/>
      <c r="EXM4" s="251"/>
      <c r="EXZ4" s="251"/>
      <c r="EYM4" s="251"/>
      <c r="EYZ4" s="251"/>
      <c r="EZM4" s="251"/>
      <c r="EZZ4" s="251"/>
      <c r="FAM4" s="251"/>
      <c r="FAZ4" s="251"/>
      <c r="FBM4" s="251"/>
      <c r="FBZ4" s="251"/>
      <c r="FCM4" s="251"/>
      <c r="FCZ4" s="251"/>
      <c r="FDM4" s="251"/>
      <c r="FDZ4" s="251"/>
      <c r="FEM4" s="251"/>
      <c r="FEZ4" s="251"/>
      <c r="FFM4" s="251"/>
      <c r="FFZ4" s="251"/>
      <c r="FGM4" s="251"/>
      <c r="FGZ4" s="251"/>
      <c r="FHM4" s="251"/>
      <c r="FHZ4" s="251"/>
      <c r="FIM4" s="251"/>
      <c r="FIZ4" s="251"/>
      <c r="FJM4" s="251"/>
      <c r="FJZ4" s="251"/>
      <c r="FKM4" s="251"/>
      <c r="FKZ4" s="251"/>
      <c r="FLM4" s="251"/>
      <c r="FLZ4" s="251"/>
      <c r="FMM4" s="251"/>
      <c r="FMZ4" s="251"/>
      <c r="FNM4" s="251"/>
      <c r="FNZ4" s="251"/>
      <c r="FOM4" s="251"/>
      <c r="FOZ4" s="251"/>
      <c r="FPM4" s="251"/>
      <c r="FPZ4" s="251"/>
      <c r="FQM4" s="251"/>
      <c r="FQZ4" s="251"/>
      <c r="FRM4" s="251"/>
      <c r="FRZ4" s="251"/>
      <c r="FSM4" s="251"/>
      <c r="FSZ4" s="251"/>
      <c r="FTM4" s="251"/>
      <c r="FTZ4" s="251"/>
      <c r="FUM4" s="251"/>
      <c r="FUZ4" s="251"/>
      <c r="FVM4" s="251"/>
      <c r="FVZ4" s="251"/>
      <c r="FWM4" s="251"/>
      <c r="FWZ4" s="251"/>
      <c r="FXM4" s="251"/>
      <c r="FXZ4" s="251"/>
      <c r="FYM4" s="251"/>
      <c r="FYZ4" s="251"/>
      <c r="FZM4" s="251"/>
      <c r="FZZ4" s="251"/>
      <c r="GAM4" s="251"/>
      <c r="GAZ4" s="251"/>
      <c r="GBM4" s="251"/>
      <c r="GBZ4" s="251"/>
      <c r="GCM4" s="251"/>
      <c r="GCZ4" s="251"/>
      <c r="GDM4" s="251"/>
      <c r="GDZ4" s="251"/>
      <c r="GEM4" s="251"/>
      <c r="GEZ4" s="251"/>
      <c r="GFM4" s="251"/>
      <c r="GFZ4" s="251"/>
      <c r="GGM4" s="251"/>
      <c r="GGZ4" s="251"/>
      <c r="GHM4" s="251"/>
      <c r="GHZ4" s="251"/>
      <c r="GIM4" s="251"/>
      <c r="GIZ4" s="251"/>
      <c r="GJM4" s="251"/>
      <c r="GJZ4" s="251"/>
      <c r="GKM4" s="251"/>
      <c r="GKZ4" s="251"/>
      <c r="GLM4" s="251"/>
      <c r="GLZ4" s="251"/>
      <c r="GMM4" s="251"/>
      <c r="GMZ4" s="251"/>
      <c r="GNM4" s="251"/>
      <c r="GNZ4" s="251"/>
      <c r="GOM4" s="251"/>
      <c r="GOZ4" s="251"/>
      <c r="GPM4" s="251"/>
      <c r="GPZ4" s="251"/>
      <c r="GQM4" s="251"/>
      <c r="GQZ4" s="251"/>
      <c r="GRM4" s="251"/>
      <c r="GRZ4" s="251"/>
      <c r="GSM4" s="251"/>
      <c r="GSZ4" s="251"/>
      <c r="GTM4" s="251"/>
      <c r="GTZ4" s="251"/>
      <c r="GUM4" s="251"/>
      <c r="GUZ4" s="251"/>
      <c r="GVM4" s="251"/>
      <c r="GVZ4" s="251"/>
      <c r="GWM4" s="251"/>
      <c r="GWZ4" s="251"/>
      <c r="GXM4" s="251"/>
      <c r="GXZ4" s="251"/>
      <c r="GYM4" s="251"/>
      <c r="GYZ4" s="251"/>
      <c r="GZM4" s="251"/>
      <c r="GZZ4" s="251"/>
      <c r="HAM4" s="251"/>
      <c r="HAZ4" s="251"/>
      <c r="HBM4" s="251"/>
      <c r="HBZ4" s="251"/>
      <c r="HCM4" s="251"/>
      <c r="HCZ4" s="251"/>
      <c r="HDM4" s="251"/>
      <c r="HDZ4" s="251"/>
      <c r="HEM4" s="251"/>
      <c r="HEZ4" s="251"/>
      <c r="HFM4" s="251"/>
      <c r="HFZ4" s="251"/>
      <c r="HGM4" s="251"/>
      <c r="HGZ4" s="251"/>
      <c r="HHM4" s="251"/>
      <c r="HHZ4" s="251"/>
      <c r="HIM4" s="251"/>
      <c r="HIZ4" s="251"/>
      <c r="HJM4" s="251"/>
      <c r="HJZ4" s="251"/>
      <c r="HKM4" s="251"/>
      <c r="HKZ4" s="251"/>
      <c r="HLM4" s="251"/>
      <c r="HLZ4" s="251"/>
      <c r="HMM4" s="251"/>
      <c r="HMZ4" s="251"/>
      <c r="HNM4" s="251"/>
      <c r="HNZ4" s="251"/>
      <c r="HOM4" s="251"/>
      <c r="HOZ4" s="251"/>
      <c r="HPM4" s="251"/>
      <c r="HPZ4" s="251"/>
      <c r="HQM4" s="251"/>
      <c r="HQZ4" s="251"/>
      <c r="HRM4" s="251"/>
      <c r="HRZ4" s="251"/>
      <c r="HSM4" s="251"/>
      <c r="HSZ4" s="251"/>
      <c r="HTM4" s="251"/>
      <c r="HTZ4" s="251"/>
      <c r="HUM4" s="251"/>
      <c r="HUZ4" s="251"/>
      <c r="HVM4" s="251"/>
      <c r="HVZ4" s="251"/>
      <c r="HWM4" s="251"/>
      <c r="HWZ4" s="251"/>
      <c r="HXM4" s="251"/>
      <c r="HXZ4" s="251"/>
      <c r="HYM4" s="251"/>
      <c r="HYZ4" s="251"/>
      <c r="HZM4" s="251"/>
      <c r="HZZ4" s="251"/>
      <c r="IAM4" s="251"/>
      <c r="IAZ4" s="251"/>
      <c r="IBM4" s="251"/>
      <c r="IBZ4" s="251"/>
      <c r="ICM4" s="251"/>
      <c r="ICZ4" s="251"/>
      <c r="IDM4" s="251"/>
      <c r="IDZ4" s="251"/>
      <c r="IEM4" s="251"/>
      <c r="IEZ4" s="251"/>
      <c r="IFM4" s="251"/>
      <c r="IFZ4" s="251"/>
      <c r="IGM4" s="251"/>
      <c r="IGZ4" s="251"/>
      <c r="IHM4" s="251"/>
      <c r="IHZ4" s="251"/>
      <c r="IIM4" s="251"/>
      <c r="IIZ4" s="251"/>
      <c r="IJM4" s="251"/>
      <c r="IJZ4" s="251"/>
      <c r="IKM4" s="251"/>
      <c r="IKZ4" s="251"/>
      <c r="ILM4" s="251"/>
      <c r="ILZ4" s="251"/>
      <c r="IMM4" s="251"/>
      <c r="IMZ4" s="251"/>
      <c r="INM4" s="251"/>
      <c r="INZ4" s="251"/>
      <c r="IOM4" s="251"/>
      <c r="IOZ4" s="251"/>
      <c r="IPM4" s="251"/>
      <c r="IPZ4" s="251"/>
      <c r="IQM4" s="251"/>
      <c r="IQZ4" s="251"/>
      <c r="IRM4" s="251"/>
      <c r="IRZ4" s="251"/>
      <c r="ISM4" s="251"/>
      <c r="ISZ4" s="251"/>
      <c r="ITM4" s="251"/>
      <c r="ITZ4" s="251"/>
      <c r="IUM4" s="251"/>
      <c r="IUZ4" s="251"/>
      <c r="IVM4" s="251"/>
      <c r="IVZ4" s="251"/>
      <c r="IWM4" s="251"/>
      <c r="IWZ4" s="251"/>
      <c r="IXM4" s="251"/>
      <c r="IXZ4" s="251"/>
      <c r="IYM4" s="251"/>
      <c r="IYZ4" s="251"/>
      <c r="IZM4" s="251"/>
      <c r="IZZ4" s="251"/>
      <c r="JAM4" s="251"/>
      <c r="JAZ4" s="251"/>
      <c r="JBM4" s="251"/>
      <c r="JBZ4" s="251"/>
      <c r="JCM4" s="251"/>
      <c r="JCZ4" s="251"/>
      <c r="JDM4" s="251"/>
      <c r="JDZ4" s="251"/>
      <c r="JEM4" s="251"/>
      <c r="JEZ4" s="251"/>
      <c r="JFM4" s="251"/>
      <c r="JFZ4" s="251"/>
      <c r="JGM4" s="251"/>
      <c r="JGZ4" s="251"/>
      <c r="JHM4" s="251"/>
      <c r="JHZ4" s="251"/>
      <c r="JIM4" s="251"/>
      <c r="JIZ4" s="251"/>
      <c r="JJM4" s="251"/>
      <c r="JJZ4" s="251"/>
      <c r="JKM4" s="251"/>
      <c r="JKZ4" s="251"/>
      <c r="JLM4" s="251"/>
      <c r="JLZ4" s="251"/>
      <c r="JMM4" s="251"/>
      <c r="JMZ4" s="251"/>
      <c r="JNM4" s="251"/>
      <c r="JNZ4" s="251"/>
      <c r="JOM4" s="251"/>
      <c r="JOZ4" s="251"/>
      <c r="JPM4" s="251"/>
      <c r="JPZ4" s="251"/>
      <c r="JQM4" s="251"/>
      <c r="JQZ4" s="251"/>
      <c r="JRM4" s="251"/>
      <c r="JRZ4" s="251"/>
      <c r="JSM4" s="251"/>
      <c r="JSZ4" s="251"/>
      <c r="JTM4" s="251"/>
      <c r="JTZ4" s="251"/>
      <c r="JUM4" s="251"/>
      <c r="JUZ4" s="251"/>
      <c r="JVM4" s="251"/>
      <c r="JVZ4" s="251"/>
      <c r="JWM4" s="251"/>
      <c r="JWZ4" s="251"/>
      <c r="JXM4" s="251"/>
      <c r="JXZ4" s="251"/>
      <c r="JYM4" s="251"/>
      <c r="JYZ4" s="251"/>
      <c r="JZM4" s="251"/>
      <c r="JZZ4" s="251"/>
      <c r="KAM4" s="251"/>
      <c r="KAZ4" s="251"/>
      <c r="KBM4" s="251"/>
      <c r="KBZ4" s="251"/>
      <c r="KCM4" s="251"/>
      <c r="KCZ4" s="251"/>
      <c r="KDM4" s="251"/>
      <c r="KDZ4" s="251"/>
      <c r="KEM4" s="251"/>
      <c r="KEZ4" s="251"/>
      <c r="KFM4" s="251"/>
      <c r="KFZ4" s="251"/>
      <c r="KGM4" s="251"/>
      <c r="KGZ4" s="251"/>
      <c r="KHM4" s="251"/>
      <c r="KHZ4" s="251"/>
      <c r="KIM4" s="251"/>
      <c r="KIZ4" s="251"/>
      <c r="KJM4" s="251"/>
      <c r="KJZ4" s="251"/>
      <c r="KKM4" s="251"/>
      <c r="KKZ4" s="251"/>
      <c r="KLM4" s="251"/>
      <c r="KLZ4" s="251"/>
      <c r="KMM4" s="251"/>
      <c r="KMZ4" s="251"/>
      <c r="KNM4" s="251"/>
      <c r="KNZ4" s="251"/>
      <c r="KOM4" s="251"/>
      <c r="KOZ4" s="251"/>
      <c r="KPM4" s="251"/>
      <c r="KPZ4" s="251"/>
      <c r="KQM4" s="251"/>
      <c r="KQZ4" s="251"/>
      <c r="KRM4" s="251"/>
      <c r="KRZ4" s="251"/>
      <c r="KSM4" s="251"/>
      <c r="KSZ4" s="251"/>
      <c r="KTM4" s="251"/>
      <c r="KTZ4" s="251"/>
      <c r="KUM4" s="251"/>
      <c r="KUZ4" s="251"/>
      <c r="KVM4" s="251"/>
      <c r="KVZ4" s="251"/>
      <c r="KWM4" s="251"/>
      <c r="KWZ4" s="251"/>
      <c r="KXM4" s="251"/>
      <c r="KXZ4" s="251"/>
      <c r="KYM4" s="251"/>
      <c r="KYZ4" s="251"/>
      <c r="KZM4" s="251"/>
      <c r="KZZ4" s="251"/>
      <c r="LAM4" s="251"/>
      <c r="LAZ4" s="251"/>
      <c r="LBM4" s="251"/>
      <c r="LBZ4" s="251"/>
      <c r="LCM4" s="251"/>
      <c r="LCZ4" s="251"/>
      <c r="LDM4" s="251"/>
      <c r="LDZ4" s="251"/>
      <c r="LEM4" s="251"/>
      <c r="LEZ4" s="251"/>
      <c r="LFM4" s="251"/>
      <c r="LFZ4" s="251"/>
      <c r="LGM4" s="251"/>
      <c r="LGZ4" s="251"/>
      <c r="LHM4" s="251"/>
      <c r="LHZ4" s="251"/>
      <c r="LIM4" s="251"/>
      <c r="LIZ4" s="251"/>
      <c r="LJM4" s="251"/>
      <c r="LJZ4" s="251"/>
      <c r="LKM4" s="251"/>
      <c r="LKZ4" s="251"/>
      <c r="LLM4" s="251"/>
      <c r="LLZ4" s="251"/>
      <c r="LMM4" s="251"/>
      <c r="LMZ4" s="251"/>
      <c r="LNM4" s="251"/>
      <c r="LNZ4" s="251"/>
      <c r="LOM4" s="251"/>
      <c r="LOZ4" s="251"/>
      <c r="LPM4" s="251"/>
      <c r="LPZ4" s="251"/>
      <c r="LQM4" s="251"/>
      <c r="LQZ4" s="251"/>
      <c r="LRM4" s="251"/>
      <c r="LRZ4" s="251"/>
      <c r="LSM4" s="251"/>
      <c r="LSZ4" s="251"/>
      <c r="LTM4" s="251"/>
      <c r="LTZ4" s="251"/>
      <c r="LUM4" s="251"/>
      <c r="LUZ4" s="251"/>
      <c r="LVM4" s="251"/>
      <c r="LVZ4" s="251"/>
      <c r="LWM4" s="251"/>
      <c r="LWZ4" s="251"/>
      <c r="LXM4" s="251"/>
      <c r="LXZ4" s="251"/>
      <c r="LYM4" s="251"/>
      <c r="LYZ4" s="251"/>
      <c r="LZM4" s="251"/>
      <c r="LZZ4" s="251"/>
      <c r="MAM4" s="251"/>
      <c r="MAZ4" s="251"/>
      <c r="MBM4" s="251"/>
      <c r="MBZ4" s="251"/>
      <c r="MCM4" s="251"/>
      <c r="MCZ4" s="251"/>
      <c r="MDM4" s="251"/>
      <c r="MDZ4" s="251"/>
      <c r="MEM4" s="251"/>
      <c r="MEZ4" s="251"/>
      <c r="MFM4" s="251"/>
      <c r="MFZ4" s="251"/>
      <c r="MGM4" s="251"/>
      <c r="MGZ4" s="251"/>
      <c r="MHM4" s="251"/>
      <c r="MHZ4" s="251"/>
      <c r="MIM4" s="251"/>
      <c r="MIZ4" s="251"/>
      <c r="MJM4" s="251"/>
      <c r="MJZ4" s="251"/>
      <c r="MKM4" s="251"/>
      <c r="MKZ4" s="251"/>
      <c r="MLM4" s="251"/>
      <c r="MLZ4" s="251"/>
      <c r="MMM4" s="251"/>
      <c r="MMZ4" s="251"/>
      <c r="MNM4" s="251"/>
      <c r="MNZ4" s="251"/>
      <c r="MOM4" s="251"/>
      <c r="MOZ4" s="251"/>
      <c r="MPM4" s="251"/>
      <c r="MPZ4" s="251"/>
      <c r="MQM4" s="251"/>
      <c r="MQZ4" s="251"/>
      <c r="MRM4" s="251"/>
      <c r="MRZ4" s="251"/>
      <c r="MSM4" s="251"/>
      <c r="MSZ4" s="251"/>
      <c r="MTM4" s="251"/>
      <c r="MTZ4" s="251"/>
      <c r="MUM4" s="251"/>
      <c r="MUZ4" s="251"/>
      <c r="MVM4" s="251"/>
      <c r="MVZ4" s="251"/>
      <c r="MWM4" s="251"/>
      <c r="MWZ4" s="251"/>
      <c r="MXM4" s="251"/>
      <c r="MXZ4" s="251"/>
      <c r="MYM4" s="251"/>
      <c r="MYZ4" s="251"/>
      <c r="MZM4" s="251"/>
      <c r="MZZ4" s="251"/>
      <c r="NAM4" s="251"/>
      <c r="NAZ4" s="251"/>
      <c r="NBM4" s="251"/>
      <c r="NBZ4" s="251"/>
      <c r="NCM4" s="251"/>
      <c r="NCZ4" s="251"/>
      <c r="NDM4" s="251"/>
      <c r="NDZ4" s="251"/>
      <c r="NEM4" s="251"/>
      <c r="NEZ4" s="251"/>
      <c r="NFM4" s="251"/>
      <c r="NFZ4" s="251"/>
      <c r="NGM4" s="251"/>
      <c r="NGZ4" s="251"/>
      <c r="NHM4" s="251"/>
      <c r="NHZ4" s="251"/>
      <c r="NIM4" s="251"/>
      <c r="NIZ4" s="251"/>
      <c r="NJM4" s="251"/>
      <c r="NJZ4" s="251"/>
      <c r="NKM4" s="251"/>
      <c r="NKZ4" s="251"/>
      <c r="NLM4" s="251"/>
      <c r="NLZ4" s="251"/>
      <c r="NMM4" s="251"/>
      <c r="NMZ4" s="251"/>
      <c r="NNM4" s="251"/>
      <c r="NNZ4" s="251"/>
      <c r="NOM4" s="251"/>
      <c r="NOZ4" s="251"/>
      <c r="NPM4" s="251"/>
      <c r="NPZ4" s="251"/>
      <c r="NQM4" s="251"/>
      <c r="NQZ4" s="251"/>
      <c r="NRM4" s="251"/>
      <c r="NRZ4" s="251"/>
      <c r="NSM4" s="251"/>
      <c r="NSZ4" s="251"/>
      <c r="NTM4" s="251"/>
      <c r="NTZ4" s="251"/>
      <c r="NUM4" s="251"/>
      <c r="NUZ4" s="251"/>
      <c r="NVM4" s="251"/>
      <c r="NVZ4" s="251"/>
      <c r="NWM4" s="251"/>
      <c r="NWZ4" s="251"/>
      <c r="NXM4" s="251"/>
      <c r="NXZ4" s="251"/>
      <c r="NYM4" s="251"/>
      <c r="NYZ4" s="251"/>
      <c r="NZM4" s="251"/>
      <c r="NZZ4" s="251"/>
      <c r="OAM4" s="251"/>
      <c r="OAZ4" s="251"/>
      <c r="OBM4" s="251"/>
      <c r="OBZ4" s="251"/>
      <c r="OCM4" s="251"/>
      <c r="OCZ4" s="251"/>
      <c r="ODM4" s="251"/>
      <c r="ODZ4" s="251"/>
      <c r="OEM4" s="251"/>
      <c r="OEZ4" s="251"/>
      <c r="OFM4" s="251"/>
      <c r="OFZ4" s="251"/>
      <c r="OGM4" s="251"/>
      <c r="OGZ4" s="251"/>
      <c r="OHM4" s="251"/>
      <c r="OHZ4" s="251"/>
      <c r="OIM4" s="251"/>
      <c r="OIZ4" s="251"/>
      <c r="OJM4" s="251"/>
      <c r="OJZ4" s="251"/>
      <c r="OKM4" s="251"/>
      <c r="OKZ4" s="251"/>
      <c r="OLM4" s="251"/>
      <c r="OLZ4" s="251"/>
      <c r="OMM4" s="251"/>
      <c r="OMZ4" s="251"/>
      <c r="ONM4" s="251"/>
      <c r="ONZ4" s="251"/>
      <c r="OOM4" s="251"/>
      <c r="OOZ4" s="251"/>
      <c r="OPM4" s="251"/>
      <c r="OPZ4" s="251"/>
      <c r="OQM4" s="251"/>
      <c r="OQZ4" s="251"/>
      <c r="ORM4" s="251"/>
      <c r="ORZ4" s="251"/>
      <c r="OSM4" s="251"/>
      <c r="OSZ4" s="251"/>
      <c r="OTM4" s="251"/>
      <c r="OTZ4" s="251"/>
      <c r="OUM4" s="251"/>
      <c r="OUZ4" s="251"/>
      <c r="OVM4" s="251"/>
      <c r="OVZ4" s="251"/>
      <c r="OWM4" s="251"/>
      <c r="OWZ4" s="251"/>
      <c r="OXM4" s="251"/>
      <c r="OXZ4" s="251"/>
      <c r="OYM4" s="251"/>
      <c r="OYZ4" s="251"/>
      <c r="OZM4" s="251"/>
      <c r="OZZ4" s="251"/>
      <c r="PAM4" s="251"/>
      <c r="PAZ4" s="251"/>
      <c r="PBM4" s="251"/>
      <c r="PBZ4" s="251"/>
      <c r="PCM4" s="251"/>
      <c r="PCZ4" s="251"/>
      <c r="PDM4" s="251"/>
      <c r="PDZ4" s="251"/>
      <c r="PEM4" s="251"/>
      <c r="PEZ4" s="251"/>
      <c r="PFM4" s="251"/>
      <c r="PFZ4" s="251"/>
      <c r="PGM4" s="251"/>
      <c r="PGZ4" s="251"/>
      <c r="PHM4" s="251"/>
      <c r="PHZ4" s="251"/>
      <c r="PIM4" s="251"/>
      <c r="PIZ4" s="251"/>
      <c r="PJM4" s="251"/>
      <c r="PJZ4" s="251"/>
      <c r="PKM4" s="251"/>
      <c r="PKZ4" s="251"/>
      <c r="PLM4" s="251"/>
      <c r="PLZ4" s="251"/>
      <c r="PMM4" s="251"/>
      <c r="PMZ4" s="251"/>
      <c r="PNM4" s="251"/>
      <c r="PNZ4" s="251"/>
      <c r="POM4" s="251"/>
      <c r="POZ4" s="251"/>
      <c r="PPM4" s="251"/>
      <c r="PPZ4" s="251"/>
      <c r="PQM4" s="251"/>
      <c r="PQZ4" s="251"/>
      <c r="PRM4" s="251"/>
      <c r="PRZ4" s="251"/>
      <c r="PSM4" s="251"/>
      <c r="PSZ4" s="251"/>
      <c r="PTM4" s="251"/>
      <c r="PTZ4" s="251"/>
      <c r="PUM4" s="251"/>
      <c r="PUZ4" s="251"/>
      <c r="PVM4" s="251"/>
      <c r="PVZ4" s="251"/>
      <c r="PWM4" s="251"/>
      <c r="PWZ4" s="251"/>
      <c r="PXM4" s="251"/>
      <c r="PXZ4" s="251"/>
      <c r="PYM4" s="251"/>
      <c r="PYZ4" s="251"/>
      <c r="PZM4" s="251"/>
      <c r="PZZ4" s="251"/>
      <c r="QAM4" s="251"/>
      <c r="QAZ4" s="251"/>
      <c r="QBM4" s="251"/>
      <c r="QBZ4" s="251"/>
      <c r="QCM4" s="251"/>
      <c r="QCZ4" s="251"/>
      <c r="QDM4" s="251"/>
      <c r="QDZ4" s="251"/>
      <c r="QEM4" s="251"/>
      <c r="QEZ4" s="251"/>
      <c r="QFM4" s="251"/>
      <c r="QFZ4" s="251"/>
      <c r="QGM4" s="251"/>
      <c r="QGZ4" s="251"/>
      <c r="QHM4" s="251"/>
      <c r="QHZ4" s="251"/>
      <c r="QIM4" s="251"/>
      <c r="QIZ4" s="251"/>
      <c r="QJM4" s="251"/>
      <c r="QJZ4" s="251"/>
      <c r="QKM4" s="251"/>
      <c r="QKZ4" s="251"/>
      <c r="QLM4" s="251"/>
      <c r="QLZ4" s="251"/>
      <c r="QMM4" s="251"/>
      <c r="QMZ4" s="251"/>
      <c r="QNM4" s="251"/>
      <c r="QNZ4" s="251"/>
      <c r="QOM4" s="251"/>
      <c r="QOZ4" s="251"/>
      <c r="QPM4" s="251"/>
      <c r="QPZ4" s="251"/>
      <c r="QQM4" s="251"/>
      <c r="QQZ4" s="251"/>
      <c r="QRM4" s="251"/>
      <c r="QRZ4" s="251"/>
      <c r="QSM4" s="251"/>
      <c r="QSZ4" s="251"/>
      <c r="QTM4" s="251"/>
      <c r="QTZ4" s="251"/>
      <c r="QUM4" s="251"/>
      <c r="QUZ4" s="251"/>
      <c r="QVM4" s="251"/>
      <c r="QVZ4" s="251"/>
      <c r="QWM4" s="251"/>
      <c r="QWZ4" s="251"/>
      <c r="QXM4" s="251"/>
      <c r="QXZ4" s="251"/>
      <c r="QYM4" s="251"/>
      <c r="QYZ4" s="251"/>
      <c r="QZM4" s="251"/>
      <c r="QZZ4" s="251"/>
      <c r="RAM4" s="251"/>
      <c r="RAZ4" s="251"/>
      <c r="RBM4" s="251"/>
      <c r="RBZ4" s="251"/>
      <c r="RCM4" s="251"/>
      <c r="RCZ4" s="251"/>
      <c r="RDM4" s="251"/>
      <c r="RDZ4" s="251"/>
      <c r="REM4" s="251"/>
      <c r="REZ4" s="251"/>
      <c r="RFM4" s="251"/>
      <c r="RFZ4" s="251"/>
      <c r="RGM4" s="251"/>
      <c r="RGZ4" s="251"/>
      <c r="RHM4" s="251"/>
      <c r="RHZ4" s="251"/>
      <c r="RIM4" s="251"/>
      <c r="RIZ4" s="251"/>
      <c r="RJM4" s="251"/>
      <c r="RJZ4" s="251"/>
      <c r="RKM4" s="251"/>
      <c r="RKZ4" s="251"/>
      <c r="RLM4" s="251"/>
      <c r="RLZ4" s="251"/>
      <c r="RMM4" s="251"/>
      <c r="RMZ4" s="251"/>
      <c r="RNM4" s="251"/>
      <c r="RNZ4" s="251"/>
      <c r="ROM4" s="251"/>
      <c r="ROZ4" s="251"/>
      <c r="RPM4" s="251"/>
      <c r="RPZ4" s="251"/>
      <c r="RQM4" s="251"/>
      <c r="RQZ4" s="251"/>
      <c r="RRM4" s="251"/>
      <c r="RRZ4" s="251"/>
      <c r="RSM4" s="251"/>
      <c r="RSZ4" s="251"/>
      <c r="RTM4" s="251"/>
      <c r="RTZ4" s="251"/>
      <c r="RUM4" s="251"/>
      <c r="RUZ4" s="251"/>
      <c r="RVM4" s="251"/>
      <c r="RVZ4" s="251"/>
      <c r="RWM4" s="251"/>
      <c r="RWZ4" s="251"/>
      <c r="RXM4" s="251"/>
      <c r="RXZ4" s="251"/>
      <c r="RYM4" s="251"/>
      <c r="RYZ4" s="251"/>
      <c r="RZM4" s="251"/>
      <c r="RZZ4" s="251"/>
      <c r="SAM4" s="251"/>
      <c r="SAZ4" s="251"/>
      <c r="SBM4" s="251"/>
      <c r="SBZ4" s="251"/>
      <c r="SCM4" s="251"/>
      <c r="SCZ4" s="251"/>
      <c r="SDM4" s="251"/>
      <c r="SDZ4" s="251"/>
      <c r="SEM4" s="251"/>
      <c r="SEZ4" s="251"/>
      <c r="SFM4" s="251"/>
      <c r="SFZ4" s="251"/>
      <c r="SGM4" s="251"/>
      <c r="SGZ4" s="251"/>
      <c r="SHM4" s="251"/>
      <c r="SHZ4" s="251"/>
      <c r="SIM4" s="251"/>
      <c r="SIZ4" s="251"/>
      <c r="SJM4" s="251"/>
      <c r="SJZ4" s="251"/>
      <c r="SKM4" s="251"/>
      <c r="SKZ4" s="251"/>
      <c r="SLM4" s="251"/>
      <c r="SLZ4" s="251"/>
      <c r="SMM4" s="251"/>
      <c r="SMZ4" s="251"/>
      <c r="SNM4" s="251"/>
      <c r="SNZ4" s="251"/>
      <c r="SOM4" s="251"/>
      <c r="SOZ4" s="251"/>
      <c r="SPM4" s="251"/>
      <c r="SPZ4" s="251"/>
      <c r="SQM4" s="251"/>
      <c r="SQZ4" s="251"/>
      <c r="SRM4" s="251"/>
      <c r="SRZ4" s="251"/>
      <c r="SSM4" s="251"/>
      <c r="SSZ4" s="251"/>
      <c r="STM4" s="251"/>
      <c r="STZ4" s="251"/>
      <c r="SUM4" s="251"/>
      <c r="SUZ4" s="251"/>
      <c r="SVM4" s="251"/>
      <c r="SVZ4" s="251"/>
      <c r="SWM4" s="251"/>
      <c r="SWZ4" s="251"/>
      <c r="SXM4" s="251"/>
      <c r="SXZ4" s="251"/>
      <c r="SYM4" s="251"/>
      <c r="SYZ4" s="251"/>
      <c r="SZM4" s="251"/>
      <c r="SZZ4" s="251"/>
      <c r="TAM4" s="251"/>
      <c r="TAZ4" s="251"/>
      <c r="TBM4" s="251"/>
      <c r="TBZ4" s="251"/>
      <c r="TCM4" s="251"/>
      <c r="TCZ4" s="251"/>
      <c r="TDM4" s="251"/>
      <c r="TDZ4" s="251"/>
      <c r="TEM4" s="251"/>
      <c r="TEZ4" s="251"/>
      <c r="TFM4" s="251"/>
      <c r="TFZ4" s="251"/>
      <c r="TGM4" s="251"/>
      <c r="TGZ4" s="251"/>
      <c r="THM4" s="251"/>
      <c r="THZ4" s="251"/>
      <c r="TIM4" s="251"/>
      <c r="TIZ4" s="251"/>
      <c r="TJM4" s="251"/>
      <c r="TJZ4" s="251"/>
      <c r="TKM4" s="251"/>
      <c r="TKZ4" s="251"/>
      <c r="TLM4" s="251"/>
      <c r="TLZ4" s="251"/>
      <c r="TMM4" s="251"/>
      <c r="TMZ4" s="251"/>
      <c r="TNM4" s="251"/>
      <c r="TNZ4" s="251"/>
      <c r="TOM4" s="251"/>
      <c r="TOZ4" s="251"/>
      <c r="TPM4" s="251"/>
      <c r="TPZ4" s="251"/>
      <c r="TQM4" s="251"/>
      <c r="TQZ4" s="251"/>
      <c r="TRM4" s="251"/>
      <c r="TRZ4" s="251"/>
      <c r="TSM4" s="251"/>
      <c r="TSZ4" s="251"/>
      <c r="TTM4" s="251"/>
      <c r="TTZ4" s="251"/>
      <c r="TUM4" s="251"/>
      <c r="TUZ4" s="251"/>
      <c r="TVM4" s="251"/>
      <c r="TVZ4" s="251"/>
      <c r="TWM4" s="251"/>
      <c r="TWZ4" s="251"/>
      <c r="TXM4" s="251"/>
      <c r="TXZ4" s="251"/>
      <c r="TYM4" s="251"/>
      <c r="TYZ4" s="251"/>
      <c r="TZM4" s="251"/>
      <c r="TZZ4" s="251"/>
      <c r="UAM4" s="251"/>
      <c r="UAZ4" s="251"/>
      <c r="UBM4" s="251"/>
      <c r="UBZ4" s="251"/>
      <c r="UCM4" s="251"/>
      <c r="UCZ4" s="251"/>
      <c r="UDM4" s="251"/>
      <c r="UDZ4" s="251"/>
      <c r="UEM4" s="251"/>
      <c r="UEZ4" s="251"/>
      <c r="UFM4" s="251"/>
      <c r="UFZ4" s="251"/>
      <c r="UGM4" s="251"/>
      <c r="UGZ4" s="251"/>
      <c r="UHM4" s="251"/>
      <c r="UHZ4" s="251"/>
      <c r="UIM4" s="251"/>
      <c r="UIZ4" s="251"/>
      <c r="UJM4" s="251"/>
      <c r="UJZ4" s="251"/>
      <c r="UKM4" s="251"/>
      <c r="UKZ4" s="251"/>
      <c r="ULM4" s="251"/>
      <c r="ULZ4" s="251"/>
      <c r="UMM4" s="251"/>
      <c r="UMZ4" s="251"/>
      <c r="UNM4" s="251"/>
      <c r="UNZ4" s="251"/>
      <c r="UOM4" s="251"/>
      <c r="UOZ4" s="251"/>
      <c r="UPM4" s="251"/>
      <c r="UPZ4" s="251"/>
      <c r="UQM4" s="251"/>
      <c r="UQZ4" s="251"/>
      <c r="URM4" s="251"/>
      <c r="URZ4" s="251"/>
      <c r="USM4" s="251"/>
      <c r="USZ4" s="251"/>
      <c r="UTM4" s="251"/>
      <c r="UTZ4" s="251"/>
      <c r="UUM4" s="251"/>
      <c r="UUZ4" s="251"/>
      <c r="UVM4" s="251"/>
      <c r="UVZ4" s="251"/>
      <c r="UWM4" s="251"/>
      <c r="UWZ4" s="251"/>
      <c r="UXM4" s="251"/>
      <c r="UXZ4" s="251"/>
      <c r="UYM4" s="251"/>
      <c r="UYZ4" s="251"/>
      <c r="UZM4" s="251"/>
      <c r="UZZ4" s="251"/>
      <c r="VAM4" s="251"/>
      <c r="VAZ4" s="251"/>
      <c r="VBM4" s="251"/>
      <c r="VBZ4" s="251"/>
      <c r="VCM4" s="251"/>
      <c r="VCZ4" s="251"/>
      <c r="VDM4" s="251"/>
      <c r="VDZ4" s="251"/>
      <c r="VEM4" s="251"/>
      <c r="VEZ4" s="251"/>
      <c r="VFM4" s="251"/>
      <c r="VFZ4" s="251"/>
      <c r="VGM4" s="251"/>
      <c r="VGZ4" s="251"/>
      <c r="VHM4" s="251"/>
      <c r="VHZ4" s="251"/>
      <c r="VIM4" s="251"/>
      <c r="VIZ4" s="251"/>
      <c r="VJM4" s="251"/>
      <c r="VJZ4" s="251"/>
      <c r="VKM4" s="251"/>
      <c r="VKZ4" s="251"/>
      <c r="VLM4" s="251"/>
      <c r="VLZ4" s="251"/>
      <c r="VMM4" s="251"/>
      <c r="VMZ4" s="251"/>
      <c r="VNM4" s="251"/>
      <c r="VNZ4" s="251"/>
      <c r="VOM4" s="251"/>
      <c r="VOZ4" s="251"/>
      <c r="VPM4" s="251"/>
      <c r="VPZ4" s="251"/>
      <c r="VQM4" s="251"/>
      <c r="VQZ4" s="251"/>
      <c r="VRM4" s="251"/>
      <c r="VRZ4" s="251"/>
      <c r="VSM4" s="251"/>
      <c r="VSZ4" s="251"/>
      <c r="VTM4" s="251"/>
      <c r="VTZ4" s="251"/>
      <c r="VUM4" s="251"/>
      <c r="VUZ4" s="251"/>
      <c r="VVM4" s="251"/>
      <c r="VVZ4" s="251"/>
      <c r="VWM4" s="251"/>
      <c r="VWZ4" s="251"/>
      <c r="VXM4" s="251"/>
      <c r="VXZ4" s="251"/>
      <c r="VYM4" s="251"/>
      <c r="VYZ4" s="251"/>
      <c r="VZM4" s="251"/>
      <c r="VZZ4" s="251"/>
      <c r="WAM4" s="251"/>
      <c r="WAZ4" s="251"/>
      <c r="WBM4" s="251"/>
      <c r="WBZ4" s="251"/>
      <c r="WCM4" s="251"/>
      <c r="WCZ4" s="251"/>
      <c r="WDM4" s="251"/>
      <c r="WDZ4" s="251"/>
      <c r="WEM4" s="251"/>
      <c r="WEZ4" s="251"/>
      <c r="WFM4" s="251"/>
      <c r="WFZ4" s="251"/>
      <c r="WGM4" s="251"/>
      <c r="WGZ4" s="251"/>
      <c r="WHM4" s="251"/>
      <c r="WHZ4" s="251"/>
      <c r="WIM4" s="251"/>
      <c r="WIZ4" s="251"/>
      <c r="WJM4" s="251"/>
      <c r="WJZ4" s="251"/>
      <c r="WKM4" s="251"/>
      <c r="WKZ4" s="251"/>
      <c r="WLM4" s="251"/>
      <c r="WLZ4" s="251"/>
      <c r="WMM4" s="251"/>
      <c r="WMZ4" s="251"/>
      <c r="WNM4" s="251"/>
      <c r="WNZ4" s="251"/>
      <c r="WOM4" s="251"/>
      <c r="WOZ4" s="251"/>
      <c r="WPM4" s="251"/>
      <c r="WPZ4" s="251"/>
      <c r="WQM4" s="251"/>
      <c r="WQZ4" s="251"/>
      <c r="WRM4" s="251"/>
      <c r="WRZ4" s="251"/>
      <c r="WSM4" s="251"/>
      <c r="WSZ4" s="251"/>
      <c r="WTM4" s="251"/>
      <c r="WTZ4" s="251"/>
      <c r="WUM4" s="251"/>
      <c r="WUZ4" s="251"/>
      <c r="WVM4" s="251"/>
      <c r="WVZ4" s="251"/>
      <c r="WWM4" s="251"/>
      <c r="WWZ4" s="251"/>
      <c r="WXM4" s="251"/>
      <c r="WXZ4" s="251"/>
      <c r="WYM4" s="251"/>
      <c r="WYZ4" s="251"/>
      <c r="WZM4" s="251"/>
      <c r="WZZ4" s="251"/>
      <c r="XAM4" s="251"/>
      <c r="XAZ4" s="251"/>
      <c r="XBM4" s="251"/>
      <c r="XBZ4" s="251"/>
      <c r="XCM4" s="251"/>
      <c r="XCZ4" s="251"/>
      <c r="XDM4" s="251"/>
      <c r="XDZ4" s="251"/>
      <c r="XEM4" s="251"/>
      <c r="XEZ4" s="251"/>
    </row>
    <row r="5" spans="1:1014 1027:2041 2054:3068 3081:4095 4108:5109 5122:6136 6149:7163 7176:8190 8203:9204 9217:10231 10244:11258 11271:12285 12298:13312 13325:14326 14339:15353 15366:16380" ht="13" customHeight="1">
      <c r="A5" s="249"/>
      <c r="B5" s="323" t="str">
        <f>IF('Summary | Sumário'!D$6=Names!B$3,Names!S4,Names!T4)</f>
        <v>Interchange</v>
      </c>
      <c r="C5" s="361">
        <v>58152</v>
      </c>
      <c r="D5" s="361">
        <v>137863</v>
      </c>
      <c r="E5" s="361">
        <v>369340</v>
      </c>
      <c r="F5" s="361">
        <v>617552</v>
      </c>
      <c r="G5" s="361">
        <v>820630</v>
      </c>
      <c r="H5" s="361">
        <v>61188</v>
      </c>
      <c r="I5" s="361">
        <v>78212</v>
      </c>
      <c r="J5" s="361">
        <v>99723</v>
      </c>
      <c r="K5" s="361">
        <v>130217</v>
      </c>
      <c r="L5" s="361">
        <v>127049</v>
      </c>
      <c r="M5" s="361">
        <v>149403</v>
      </c>
      <c r="N5" s="361">
        <v>161418</v>
      </c>
      <c r="O5" s="361">
        <v>179682</v>
      </c>
      <c r="P5" s="361">
        <v>174929</v>
      </c>
      <c r="Q5" s="361">
        <v>185608</v>
      </c>
      <c r="R5" s="361">
        <v>214415</v>
      </c>
      <c r="S5" s="361">
        <v>245678</v>
      </c>
      <c r="T5" s="361">
        <v>241890.53451</v>
      </c>
      <c r="U5" s="361">
        <v>254700.68423000001</v>
      </c>
      <c r="V5" s="361">
        <v>294983.58452999999</v>
      </c>
      <c r="W5" s="253"/>
      <c r="X5" s="465">
        <f>V5/U5-1</f>
        <v>0.15815780166347593</v>
      </c>
      <c r="Y5" s="465">
        <f>V5/R5-1</f>
        <v>0.3757600192617121</v>
      </c>
      <c r="Z5" s="253"/>
    </row>
    <row r="6" spans="1:1014 1027:2041 2054:3068 3081:4095 4108:5109 5122:6136 6149:7163 7176:8190 8203:9204 9217:10231 10244:11258 11271:12285 12298:13312 13325:14326 14339:15353 15366:16380" ht="13" customHeight="1">
      <c r="A6" s="249"/>
      <c r="B6" s="16" t="str">
        <f>IF('Summary | Sumário'!D$6=Names!B$3,Names!S40,Names!T40)</f>
        <v>Commission and brokerage fees</v>
      </c>
      <c r="C6" s="253">
        <v>18870</v>
      </c>
      <c r="D6" s="253">
        <v>110640</v>
      </c>
      <c r="E6" s="253">
        <v>314586</v>
      </c>
      <c r="F6" s="253">
        <v>523889</v>
      </c>
      <c r="G6" s="253">
        <v>536580</v>
      </c>
      <c r="H6" s="253">
        <v>57439.66</v>
      </c>
      <c r="I6" s="253">
        <v>71617</v>
      </c>
      <c r="J6" s="253">
        <v>78731</v>
      </c>
      <c r="K6" s="253">
        <v>106798.34</v>
      </c>
      <c r="L6" s="253">
        <v>120069</v>
      </c>
      <c r="M6" s="253">
        <v>134103</v>
      </c>
      <c r="N6" s="253">
        <v>122675</v>
      </c>
      <c r="O6" s="253">
        <v>147042</v>
      </c>
      <c r="P6" s="253">
        <v>132652</v>
      </c>
      <c r="Q6" s="253">
        <v>116633</v>
      </c>
      <c r="R6" s="253">
        <v>142831</v>
      </c>
      <c r="S6" s="253">
        <v>144464</v>
      </c>
      <c r="T6" s="253">
        <v>146067.27165041512</v>
      </c>
      <c r="U6" s="253">
        <v>189250.16493492996</v>
      </c>
      <c r="V6" s="253">
        <v>221396.18695506995</v>
      </c>
      <c r="W6" s="253"/>
      <c r="X6" s="466">
        <f t="shared" ref="X6:X13" si="0">V6/U6-1</f>
        <v>0.16985994189855935</v>
      </c>
      <c r="Y6" s="466">
        <f t="shared" ref="Y6:Y13" si="1">V6/R6-1</f>
        <v>0.55005696911083701</v>
      </c>
      <c r="Z6" s="253"/>
    </row>
    <row r="7" spans="1:1014 1027:2041 2054:3068 3081:4095 4108:5109 5122:6136 6149:7163 7176:8190 8203:9204 9217:10231 10244:11258 11271:12285 12298:13312 13325:14326 14339:15353 15366:16380" ht="13" customHeight="1">
      <c r="A7" s="249"/>
      <c r="B7" s="22" t="str">
        <f>IF('Summary | Sumário'!D$6=Names!B$3,Names!S39,Names!T39)</f>
        <v>Banking and credit operations</v>
      </c>
      <c r="C7" s="252">
        <v>29397</v>
      </c>
      <c r="D7" s="252">
        <v>40436</v>
      </c>
      <c r="E7" s="252">
        <v>50992</v>
      </c>
      <c r="F7" s="252">
        <v>62544</v>
      </c>
      <c r="G7" s="252">
        <v>89507</v>
      </c>
      <c r="H7" s="252">
        <v>11035</v>
      </c>
      <c r="I7" s="252">
        <v>11281</v>
      </c>
      <c r="J7" s="252">
        <v>13664</v>
      </c>
      <c r="K7" s="252">
        <v>15012</v>
      </c>
      <c r="L7" s="252">
        <v>12254</v>
      </c>
      <c r="M7" s="252">
        <v>16155</v>
      </c>
      <c r="N7" s="252">
        <v>16837</v>
      </c>
      <c r="O7" s="252">
        <v>17298</v>
      </c>
      <c r="P7" s="252">
        <v>14541</v>
      </c>
      <c r="Q7" s="252">
        <v>21875.4</v>
      </c>
      <c r="R7" s="252">
        <v>24030</v>
      </c>
      <c r="S7" s="252">
        <v>29060.6</v>
      </c>
      <c r="T7" s="252">
        <v>25837.612680000002</v>
      </c>
      <c r="U7" s="252">
        <v>27809.559130000001</v>
      </c>
      <c r="V7" s="252">
        <v>26119.279930000001</v>
      </c>
      <c r="W7" s="253"/>
      <c r="X7" s="467">
        <f t="shared" si="0"/>
        <v>-6.0780510474780836E-2</v>
      </c>
      <c r="Y7" s="467">
        <f t="shared" si="1"/>
        <v>8.6944649604660862E-2</v>
      </c>
      <c r="Z7" s="253"/>
    </row>
    <row r="8" spans="1:1014 1027:2041 2054:3068 3081:4095 4108:5109 5122:6136 6149:7163 7176:8190 8203:9204 9217:10231 10244:11258 11271:12285 12298:13312 13325:14326 14339:15353 15366:16380" ht="13" customHeight="1">
      <c r="A8" s="249"/>
      <c r="B8" s="16" t="str">
        <f>IF('Summary | Sumário'!D$6=Names!B$3,Names!S8,Names!T8)</f>
        <v>Other</v>
      </c>
      <c r="C8" s="253">
        <v>4271</v>
      </c>
      <c r="D8" s="253">
        <v>6005</v>
      </c>
      <c r="E8" s="253">
        <v>9780</v>
      </c>
      <c r="F8" s="253">
        <v>18059</v>
      </c>
      <c r="G8" s="253">
        <v>69945</v>
      </c>
      <c r="H8" s="253">
        <v>1891</v>
      </c>
      <c r="I8" s="253">
        <v>2826</v>
      </c>
      <c r="J8" s="253">
        <v>2715</v>
      </c>
      <c r="K8" s="253">
        <v>2348</v>
      </c>
      <c r="L8" s="253">
        <v>5875</v>
      </c>
      <c r="M8" s="253">
        <v>5182</v>
      </c>
      <c r="N8" s="253">
        <v>3516</v>
      </c>
      <c r="O8" s="253">
        <v>3486</v>
      </c>
      <c r="P8" s="253">
        <v>7279</v>
      </c>
      <c r="Q8" s="253">
        <v>20925</v>
      </c>
      <c r="R8" s="253">
        <v>20957</v>
      </c>
      <c r="S8" s="253">
        <v>20784</v>
      </c>
      <c r="T8" s="253">
        <v>25279.820079759389</v>
      </c>
      <c r="U8" s="253">
        <v>17465.699248099983</v>
      </c>
      <c r="V8" s="253">
        <v>24323.572961900063</v>
      </c>
      <c r="W8" s="253"/>
      <c r="X8" s="466">
        <f t="shared" si="0"/>
        <v>0.39264810508781189</v>
      </c>
      <c r="Y8" s="466">
        <f t="shared" si="1"/>
        <v>0.16064193166484064</v>
      </c>
      <c r="Z8" s="253"/>
    </row>
    <row r="9" spans="1:1014 1027:2041 2054:3068 3081:4095 4108:5109 5122:6136 6149:7163 7176:8190 8203:9204 9217:10231 10244:11258 11271:12285 12298:13312 13325:14326 14339:15353 15366:16380" ht="13" customHeight="1">
      <c r="A9" s="249"/>
      <c r="B9" s="22" t="str">
        <f>IF('Summary | Sumário'!D$6=Names!B$3,Names!S38,Names!T38)</f>
        <v>Investments</v>
      </c>
      <c r="C9" s="252">
        <v>19767</v>
      </c>
      <c r="D9" s="252">
        <v>22177</v>
      </c>
      <c r="E9" s="252">
        <v>49234</v>
      </c>
      <c r="F9" s="252">
        <v>67433</v>
      </c>
      <c r="G9" s="252">
        <v>90772</v>
      </c>
      <c r="H9" s="252">
        <v>7894</v>
      </c>
      <c r="I9" s="252">
        <v>7159</v>
      </c>
      <c r="J9" s="252">
        <v>20258</v>
      </c>
      <c r="K9" s="252">
        <v>13923</v>
      </c>
      <c r="L9" s="252">
        <v>23514</v>
      </c>
      <c r="M9" s="252">
        <v>18922</v>
      </c>
      <c r="N9" s="252">
        <v>22407</v>
      </c>
      <c r="O9" s="252">
        <v>2590</v>
      </c>
      <c r="P9" s="252">
        <v>20220</v>
      </c>
      <c r="Q9" s="252">
        <v>18062</v>
      </c>
      <c r="R9" s="252">
        <v>20848</v>
      </c>
      <c r="S9" s="252">
        <v>31642</v>
      </c>
      <c r="T9" s="252">
        <v>28732</v>
      </c>
      <c r="U9" s="252">
        <v>27595.525853990002</v>
      </c>
      <c r="V9" s="252">
        <v>35584.306976009997</v>
      </c>
      <c r="W9" s="253"/>
      <c r="X9" s="467">
        <f t="shared" si="0"/>
        <v>0.28949552055247052</v>
      </c>
      <c r="Y9" s="467">
        <f t="shared" si="1"/>
        <v>0.70684511588689558</v>
      </c>
      <c r="Z9" s="253"/>
    </row>
    <row r="10" spans="1:1014 1027:2041 2054:3068 3081:4095 4108:5109 5122:6136 6149:7163 7176:8190 8203:9204 9217:10231 10244:11258 11271:12285 12298:13312 13325:14326 14339:15353 15366:16380" ht="13" customHeight="1">
      <c r="A10" s="249"/>
      <c r="B10" s="16" t="str">
        <f>IF('Summary | Sumário'!D$6=Names!B$3,Names!S10,Names!T10)</f>
        <v>Cashback expenses</v>
      </c>
      <c r="C10" s="253">
        <v>0</v>
      </c>
      <c r="D10" s="253">
        <v>-59976</v>
      </c>
      <c r="E10" s="253">
        <v>-251363</v>
      </c>
      <c r="F10" s="253">
        <v>-321438</v>
      </c>
      <c r="G10" s="253">
        <v>-236482</v>
      </c>
      <c r="H10" s="253">
        <v>-38482.660000000003</v>
      </c>
      <c r="I10" s="253">
        <v>-60184</v>
      </c>
      <c r="J10" s="253">
        <v>-65808</v>
      </c>
      <c r="K10" s="253">
        <v>-86888.34</v>
      </c>
      <c r="L10" s="253">
        <v>-82542</v>
      </c>
      <c r="M10" s="253">
        <v>-85250</v>
      </c>
      <c r="N10" s="253">
        <v>-76420</v>
      </c>
      <c r="O10" s="253">
        <v>-77226</v>
      </c>
      <c r="P10" s="253">
        <v>-67268</v>
      </c>
      <c r="Q10" s="253">
        <v>-58005</v>
      </c>
      <c r="R10" s="253">
        <v>-48391</v>
      </c>
      <c r="S10" s="253">
        <v>-62818</v>
      </c>
      <c r="T10" s="253">
        <v>-63381.686999999998</v>
      </c>
      <c r="U10" s="253">
        <v>-91044.550029999999</v>
      </c>
      <c r="V10" s="253">
        <v>-104280.08586999998</v>
      </c>
      <c r="W10" s="253"/>
      <c r="X10" s="466">
        <f t="shared" si="0"/>
        <v>0.1453742792472339</v>
      </c>
      <c r="Y10" s="466">
        <f t="shared" si="1"/>
        <v>1.1549479421793305</v>
      </c>
      <c r="Z10" s="253"/>
    </row>
    <row r="11" spans="1:1014 1027:2041 2054:3068 3081:4095 4108:5109 5122:6136 6149:7163 7176:8190 8203:9204 9217:10231 10244:11258 11271:12285 12298:13312 13325:14326 14339:15353 15366:16380" ht="13" customHeight="1">
      <c r="A11" s="249"/>
      <c r="B11" s="22" t="str">
        <f>IF('Summary | Sumário'!D$6=Names!B$3,Names!S11,Names!T11)</f>
        <v>Inter rewards</v>
      </c>
      <c r="C11" s="252">
        <v>0</v>
      </c>
      <c r="D11" s="252">
        <v>0</v>
      </c>
      <c r="E11" s="252">
        <v>0</v>
      </c>
      <c r="F11" s="252">
        <v>0</v>
      </c>
      <c r="G11" s="252">
        <v>-66571</v>
      </c>
      <c r="H11" s="252">
        <v>0</v>
      </c>
      <c r="I11" s="252">
        <v>0</v>
      </c>
      <c r="J11" s="252">
        <v>0</v>
      </c>
      <c r="K11" s="252">
        <v>0</v>
      </c>
      <c r="L11" s="252">
        <v>0</v>
      </c>
      <c r="M11" s="252">
        <v>0</v>
      </c>
      <c r="N11" s="252">
        <v>0</v>
      </c>
      <c r="O11" s="252">
        <v>0</v>
      </c>
      <c r="P11" s="252">
        <v>0</v>
      </c>
      <c r="Q11" s="252">
        <v>-6574</v>
      </c>
      <c r="R11" s="252">
        <v>-26910</v>
      </c>
      <c r="S11" s="252">
        <v>-33087</v>
      </c>
      <c r="T11" s="252">
        <v>-30086.383590000005</v>
      </c>
      <c r="U11" s="252">
        <v>-28632.017450000003</v>
      </c>
      <c r="V11" s="252">
        <v>-30458.503759999989</v>
      </c>
      <c r="W11" s="253"/>
      <c r="X11" s="467">
        <f t="shared" si="0"/>
        <v>6.3791743393198708E-2</v>
      </c>
      <c r="Y11" s="467">
        <f t="shared" si="1"/>
        <v>0.13186561724266022</v>
      </c>
      <c r="Z11" s="253"/>
    </row>
    <row r="12" spans="1:1014 1027:2041 2054:3068 3081:4095 4108:5109 5122:6136 6149:7163 7176:8190 8203:9204 9217:10231 10244:11258 11271:12285 12298:13312 13325:14326 14339:15353 15366:16380" ht="13" customHeight="1">
      <c r="A12" s="249"/>
      <c r="B12" s="16" t="str">
        <f>IF('Summary | Sumário'!D$6=Names!B$3,Names!S12,Names!T12)</f>
        <v>Expenses from services and commissions</v>
      </c>
      <c r="C12" s="253">
        <v>-56627.339</v>
      </c>
      <c r="D12" s="253">
        <v>-71611</v>
      </c>
      <c r="E12" s="253">
        <v>-100297</v>
      </c>
      <c r="F12" s="253">
        <v>-129233</v>
      </c>
      <c r="G12" s="253">
        <v>-135582</v>
      </c>
      <c r="H12" s="253">
        <v>-23279</v>
      </c>
      <c r="I12" s="253">
        <v>-21841</v>
      </c>
      <c r="J12" s="253">
        <v>-26430</v>
      </c>
      <c r="K12" s="253">
        <v>-28747</v>
      </c>
      <c r="L12" s="253">
        <v>-28516</v>
      </c>
      <c r="M12" s="253">
        <v>-33954</v>
      </c>
      <c r="N12" s="253">
        <v>-33404</v>
      </c>
      <c r="O12" s="253">
        <v>-33359</v>
      </c>
      <c r="P12" s="253">
        <v>-35678</v>
      </c>
      <c r="Q12" s="253">
        <v>-31723</v>
      </c>
      <c r="R12" s="253">
        <v>-32271</v>
      </c>
      <c r="S12" s="253">
        <v>-35910</v>
      </c>
      <c r="T12" s="253">
        <v>-34021.773478642281</v>
      </c>
      <c r="U12" s="253">
        <v>-32942.008999999998</v>
      </c>
      <c r="V12" s="253">
        <v>-37677.792999999998</v>
      </c>
      <c r="W12" s="253"/>
      <c r="X12" s="466">
        <f t="shared" si="0"/>
        <v>0.14376123811999442</v>
      </c>
      <c r="Y12" s="466">
        <f t="shared" si="1"/>
        <v>0.16754339809736285</v>
      </c>
      <c r="Z12" s="253"/>
      <c r="AA12" s="222"/>
    </row>
    <row r="13" spans="1:1014 1027:2041 2054:3068 3081:4095 4108:5109 5122:6136 6149:7163 7176:8190 8203:9204 9217:10231 10244:11258 11271:12285 12298:13312 13325:14326 14339:15353 15366:16380" ht="13" customHeight="1">
      <c r="A13" s="249"/>
      <c r="B13" s="366" t="str">
        <f>IF('Summary | Sumário'!D$6=Names!B$3,Names!S13,Names!T13)</f>
        <v>Net result from services and commissions</v>
      </c>
      <c r="C13" s="350">
        <f>SUM(C5:C12)</f>
        <v>73829.660999999993</v>
      </c>
      <c r="D13" s="350">
        <f>SUM(D5:D12)</f>
        <v>185534</v>
      </c>
      <c r="E13" s="350">
        <f>SUM(E5:E12)</f>
        <v>442272</v>
      </c>
      <c r="F13" s="350">
        <f>SUM(F5:F12)</f>
        <v>838806</v>
      </c>
      <c r="G13" s="350">
        <f t="shared" ref="G13" si="2">SUM(P13:S13)</f>
        <v>1168799</v>
      </c>
      <c r="H13" s="350">
        <f t="shared" ref="H13:T13" si="3">SUM(H5:H12)</f>
        <v>77686</v>
      </c>
      <c r="I13" s="350">
        <f t="shared" si="3"/>
        <v>89070</v>
      </c>
      <c r="J13" s="350">
        <f t="shared" si="3"/>
        <v>122853</v>
      </c>
      <c r="K13" s="350">
        <f t="shared" si="3"/>
        <v>152662.99999999997</v>
      </c>
      <c r="L13" s="350">
        <f t="shared" si="3"/>
        <v>177703</v>
      </c>
      <c r="M13" s="350">
        <f t="shared" si="3"/>
        <v>204561</v>
      </c>
      <c r="N13" s="350">
        <f t="shared" si="3"/>
        <v>217029</v>
      </c>
      <c r="O13" s="350">
        <f t="shared" si="3"/>
        <v>239513</v>
      </c>
      <c r="P13" s="350">
        <f t="shared" si="3"/>
        <v>246675</v>
      </c>
      <c r="Q13" s="350">
        <f t="shared" si="3"/>
        <v>266801.40000000002</v>
      </c>
      <c r="R13" s="350">
        <f t="shared" si="3"/>
        <v>315509</v>
      </c>
      <c r="S13" s="350">
        <f t="shared" si="3"/>
        <v>339813.6</v>
      </c>
      <c r="T13" s="350">
        <f t="shared" si="3"/>
        <v>340317.3948515323</v>
      </c>
      <c r="U13" s="350">
        <f t="shared" ref="U13:V13" si="4">SUM(U5:U12)</f>
        <v>364203.05691701995</v>
      </c>
      <c r="V13" s="350">
        <f t="shared" si="4"/>
        <v>429990.54872298002</v>
      </c>
      <c r="W13" s="265"/>
      <c r="X13" s="468">
        <f t="shared" si="0"/>
        <v>0.18063410110516753</v>
      </c>
      <c r="Y13" s="468">
        <f t="shared" si="1"/>
        <v>0.36284717305363712</v>
      </c>
      <c r="Z13" s="253"/>
    </row>
    <row r="14" spans="1:1014 1027:2041 2054:3068 3081:4095 4108:5109 5122:6136 6149:7163 7176:8190 8203:9204 9217:10231 10244:11258 11271:12285 12298:13312 13325:14326 14339:15353 15366:16380" ht="13" customHeight="1">
      <c r="A14" s="249"/>
      <c r="B14" s="408"/>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row>
    <row r="15" spans="1:1014 1027:2041 2054:3068 3081:4095 4108:5109 5122:6136 6149:7163 7176:8190 8203:9204 9217:10231 10244:11258 11271:12285 12298:13312 13325:14326 14339:15353 15366:16380" ht="13" customHeight="1">
      <c r="A15" s="249"/>
      <c r="B15" s="326" t="str">
        <f>IF('Summary | Sumário'!D$6=Names!B$3,Names!S15,Names!T15)</f>
        <v>Other revenues</v>
      </c>
      <c r="C15" s="206"/>
      <c r="D15" s="206"/>
      <c r="E15" s="206"/>
      <c r="F15" s="206"/>
      <c r="G15" s="206"/>
      <c r="H15" s="206"/>
      <c r="I15" s="206"/>
      <c r="J15" s="206"/>
      <c r="K15" s="206"/>
      <c r="L15" s="206"/>
      <c r="M15" s="206"/>
      <c r="N15" s="206"/>
      <c r="O15" s="206"/>
      <c r="P15" s="206"/>
      <c r="Q15" s="206"/>
      <c r="R15" s="206"/>
      <c r="S15" s="206"/>
      <c r="T15" s="206"/>
      <c r="U15" s="206"/>
      <c r="V15" s="206"/>
      <c r="W15" s="211"/>
      <c r="X15" s="206"/>
      <c r="Y15" s="206"/>
      <c r="Z15" s="253"/>
    </row>
    <row r="16" spans="1:1014 1027:2041 2054:3068 3081:4095 4108:5109 5122:6136 6149:7163 7176:8190 8203:9204 9217:10231 10244:11258 11271:12285 12298:13312 13325:14326 14339:15353 15366:16380" ht="13" customHeight="1">
      <c r="A16" s="249"/>
      <c r="B16" s="331" t="str">
        <f>IF('Summary | Sumário'!D$6=Names!B$3,Names!S16,Names!T16)</f>
        <v>Performance fees</v>
      </c>
      <c r="C16" s="367">
        <v>24610</v>
      </c>
      <c r="D16" s="367">
        <v>75230</v>
      </c>
      <c r="E16" s="367">
        <f>SUM(H16:K16)</f>
        <v>102863</v>
      </c>
      <c r="F16" s="367">
        <f>SUM(L16:O16)</f>
        <v>150401</v>
      </c>
      <c r="G16" s="367">
        <f t="shared" ref="G16:G20" si="5">SUM(P16:S16)</f>
        <v>135260</v>
      </c>
      <c r="H16" s="367">
        <v>29089</v>
      </c>
      <c r="I16" s="367">
        <v>45719</v>
      </c>
      <c r="J16" s="367">
        <v>18654</v>
      </c>
      <c r="K16" s="367">
        <v>9401</v>
      </c>
      <c r="L16" s="367">
        <v>40734</v>
      </c>
      <c r="M16" s="367">
        <v>52204</v>
      </c>
      <c r="N16" s="367">
        <v>30764</v>
      </c>
      <c r="O16" s="367">
        <v>26699</v>
      </c>
      <c r="P16" s="367">
        <v>28285</v>
      </c>
      <c r="Q16" s="367">
        <v>27910</v>
      </c>
      <c r="R16" s="367">
        <v>48644.500280000007</v>
      </c>
      <c r="S16" s="367">
        <v>30420.499719999993</v>
      </c>
      <c r="T16" s="367">
        <v>24264</v>
      </c>
      <c r="U16" s="367">
        <v>16726.843239999995</v>
      </c>
      <c r="V16" s="367">
        <v>14306.892960000001</v>
      </c>
      <c r="W16" s="253"/>
      <c r="X16" s="469">
        <f t="shared" ref="X16:X20" si="6">V16/U16-1</f>
        <v>-0.14467465529975243</v>
      </c>
      <c r="Y16" s="469">
        <f t="shared" ref="Y16:Y20" si="7">V16/R16-1</f>
        <v>-0.70588878747548311</v>
      </c>
      <c r="Z16" s="253"/>
    </row>
    <row r="17" spans="1:26" ht="13" customHeight="1">
      <c r="A17" s="249"/>
      <c r="B17" s="22" t="str">
        <f>IF('Summary | Sumário'!D$6=Names!B$3,Names!S17,Names!T17)</f>
        <v>Capital gains (losses)</v>
      </c>
      <c r="C17" s="252">
        <v>0</v>
      </c>
      <c r="D17" s="252">
        <v>0</v>
      </c>
      <c r="E17" s="252">
        <f t="shared" ref="E17:E20" si="8">SUM(H17:K17)</f>
        <v>29330</v>
      </c>
      <c r="F17" s="252">
        <f t="shared" ref="F17:F20" si="9">SUM(L17:O17)</f>
        <v>66363</v>
      </c>
      <c r="G17" s="252">
        <f t="shared" si="5"/>
        <v>41785</v>
      </c>
      <c r="H17" s="252">
        <v>6837</v>
      </c>
      <c r="I17" s="252">
        <v>13917</v>
      </c>
      <c r="J17" s="252">
        <v>4248</v>
      </c>
      <c r="K17" s="252">
        <v>4328</v>
      </c>
      <c r="L17" s="252">
        <v>38486</v>
      </c>
      <c r="M17" s="252">
        <v>22428</v>
      </c>
      <c r="N17" s="252">
        <v>2651</v>
      </c>
      <c r="O17" s="252">
        <v>2798</v>
      </c>
      <c r="P17" s="252">
        <v>2938</v>
      </c>
      <c r="Q17" s="252">
        <v>6149</v>
      </c>
      <c r="R17" s="252">
        <v>25341</v>
      </c>
      <c r="S17" s="252">
        <v>7357</v>
      </c>
      <c r="T17" s="252">
        <v>3255</v>
      </c>
      <c r="U17" s="252">
        <v>5533.7366399999992</v>
      </c>
      <c r="V17" s="252">
        <v>7716.7339199999979</v>
      </c>
      <c r="W17" s="253"/>
      <c r="X17" s="467">
        <f t="shared" si="6"/>
        <v>0.39448882771551608</v>
      </c>
      <c r="Y17" s="467">
        <f t="shared" si="7"/>
        <v>-0.69548423819107386</v>
      </c>
      <c r="Z17" s="253"/>
    </row>
    <row r="18" spans="1:26" ht="13" customHeight="1">
      <c r="B18" s="16" t="str">
        <f>IF('Summary | Sumário'!D$6=Names!B$3,Names!S18,Names!T18)</f>
        <v>Foreign exchange</v>
      </c>
      <c r="C18" s="253">
        <v>5976</v>
      </c>
      <c r="D18" s="253">
        <v>17318</v>
      </c>
      <c r="E18" s="253">
        <f t="shared" si="8"/>
        <v>24667</v>
      </c>
      <c r="F18" s="253">
        <f t="shared" si="9"/>
        <v>99780</v>
      </c>
      <c r="G18" s="253">
        <f t="shared" si="5"/>
        <v>88708</v>
      </c>
      <c r="H18" s="253">
        <v>5876</v>
      </c>
      <c r="I18" s="253">
        <v>6689</v>
      </c>
      <c r="J18" s="253">
        <v>5791</v>
      </c>
      <c r="K18" s="253">
        <v>6311</v>
      </c>
      <c r="L18" s="253">
        <v>17033</v>
      </c>
      <c r="M18" s="253">
        <v>25563</v>
      </c>
      <c r="N18" s="253">
        <v>31137</v>
      </c>
      <c r="O18" s="253">
        <v>26047</v>
      </c>
      <c r="P18" s="253">
        <v>14919</v>
      </c>
      <c r="Q18" s="253">
        <v>26191</v>
      </c>
      <c r="R18" s="253">
        <v>26659</v>
      </c>
      <c r="S18" s="253">
        <v>20939</v>
      </c>
      <c r="T18" s="253">
        <v>21756</v>
      </c>
      <c r="U18" s="253">
        <v>12197.464688940003</v>
      </c>
      <c r="V18" s="253">
        <v>29585.372958767712</v>
      </c>
      <c r="W18" s="253"/>
      <c r="X18" s="466">
        <f t="shared" si="6"/>
        <v>1.4255346265190765</v>
      </c>
      <c r="Y18" s="466">
        <f t="shared" si="7"/>
        <v>0.10977054498547245</v>
      </c>
    </row>
    <row r="19" spans="1:26" ht="13" customHeight="1">
      <c r="B19" s="22" t="str">
        <f>IF('Summary | Sumário'!D$6=Names!B$3,Names!S19,Names!T19)</f>
        <v>Other revenue</v>
      </c>
      <c r="C19" s="252">
        <v>22257</v>
      </c>
      <c r="D19" s="252">
        <v>17334</v>
      </c>
      <c r="E19" s="252">
        <v>33222</v>
      </c>
      <c r="F19" s="252">
        <v>71918</v>
      </c>
      <c r="G19" s="252">
        <f t="shared" si="5"/>
        <v>109935</v>
      </c>
      <c r="H19" s="252">
        <v>5697</v>
      </c>
      <c r="I19" s="252">
        <v>9723</v>
      </c>
      <c r="J19" s="252">
        <v>7594</v>
      </c>
      <c r="K19" s="252">
        <v>10208</v>
      </c>
      <c r="L19" s="252">
        <v>16154</v>
      </c>
      <c r="M19" s="252">
        <v>11177</v>
      </c>
      <c r="N19" s="252">
        <v>13135</v>
      </c>
      <c r="O19" s="252">
        <v>31452</v>
      </c>
      <c r="P19" s="252">
        <v>19735</v>
      </c>
      <c r="Q19" s="252">
        <v>20908</v>
      </c>
      <c r="R19" s="252">
        <v>30785</v>
      </c>
      <c r="S19" s="252">
        <v>38507</v>
      </c>
      <c r="T19" s="252">
        <v>40682</v>
      </c>
      <c r="U19" s="252">
        <v>50270.638358679993</v>
      </c>
      <c r="V19" s="252">
        <v>59778.309649938848</v>
      </c>
      <c r="W19" s="253"/>
      <c r="X19" s="467">
        <f t="shared" si="6"/>
        <v>0.18912971073535623</v>
      </c>
      <c r="Y19" s="467">
        <f t="shared" si="7"/>
        <v>0.94179989117878349</v>
      </c>
    </row>
    <row r="20" spans="1:26" ht="13" customHeight="1">
      <c r="B20" s="407" t="str">
        <f>IF('Summary | Sumário'!D$6=Names!B$3,Names!S21,Names!T21)</f>
        <v>Other revenues</v>
      </c>
      <c r="C20" s="352">
        <f>SUM(C16:C19)</f>
        <v>52843</v>
      </c>
      <c r="D20" s="352">
        <f>SUM(D16:D19)</f>
        <v>109882</v>
      </c>
      <c r="E20" s="352">
        <f t="shared" si="8"/>
        <v>190082</v>
      </c>
      <c r="F20" s="352">
        <f t="shared" si="9"/>
        <v>388462</v>
      </c>
      <c r="G20" s="352">
        <f t="shared" si="5"/>
        <v>375688</v>
      </c>
      <c r="H20" s="352">
        <f t="shared" ref="H20:Q20" si="10">SUM(H16:H19)</f>
        <v>47499</v>
      </c>
      <c r="I20" s="352">
        <f t="shared" si="10"/>
        <v>76048</v>
      </c>
      <c r="J20" s="352">
        <f t="shared" si="10"/>
        <v>36287</v>
      </c>
      <c r="K20" s="352">
        <f t="shared" si="10"/>
        <v>30248</v>
      </c>
      <c r="L20" s="352">
        <f t="shared" si="10"/>
        <v>112407</v>
      </c>
      <c r="M20" s="352">
        <f t="shared" si="10"/>
        <v>111372</v>
      </c>
      <c r="N20" s="352">
        <f t="shared" si="10"/>
        <v>77687</v>
      </c>
      <c r="O20" s="352">
        <f t="shared" si="10"/>
        <v>86996</v>
      </c>
      <c r="P20" s="352">
        <f t="shared" si="10"/>
        <v>65877</v>
      </c>
      <c r="Q20" s="352">
        <f t="shared" si="10"/>
        <v>81158</v>
      </c>
      <c r="R20" s="352">
        <f t="shared" ref="R20:S20" si="11">SUM(R16:R19)</f>
        <v>131429.50028000001</v>
      </c>
      <c r="S20" s="352">
        <f t="shared" si="11"/>
        <v>97223.499719999993</v>
      </c>
      <c r="T20" s="352">
        <f t="shared" ref="T20:U20" si="12">SUM(T16:T19)</f>
        <v>89957</v>
      </c>
      <c r="U20" s="352">
        <f t="shared" si="12"/>
        <v>84728.682927619986</v>
      </c>
      <c r="V20" s="352">
        <f t="shared" ref="V20" si="13">SUM(V16:V19)</f>
        <v>111387.30948870655</v>
      </c>
      <c r="W20" s="265"/>
      <c r="X20" s="470">
        <f t="shared" si="6"/>
        <v>0.31463520545763557</v>
      </c>
      <c r="Y20" s="470">
        <f t="shared" si="7"/>
        <v>-0.15249385220665967</v>
      </c>
    </row>
    <row r="21" spans="1:26" ht="13" customHeight="1">
      <c r="B21" s="8"/>
      <c r="C21" s="209"/>
      <c r="D21" s="209"/>
      <c r="E21" s="209"/>
      <c r="F21" s="209"/>
      <c r="G21" s="209"/>
      <c r="H21" s="209"/>
      <c r="I21" s="209"/>
      <c r="J21" s="209"/>
      <c r="K21" s="209"/>
      <c r="L21" s="209"/>
      <c r="M21" s="209"/>
      <c r="N21" s="209"/>
      <c r="O21" s="209"/>
      <c r="P21" s="209"/>
      <c r="Q21" s="209"/>
      <c r="R21" s="209"/>
      <c r="S21" s="209"/>
      <c r="T21" s="209"/>
      <c r="U21" s="209"/>
      <c r="V21" s="209"/>
      <c r="X21" s="209"/>
      <c r="Y21" s="209"/>
    </row>
    <row r="22" spans="1:26" ht="13" customHeight="1">
      <c r="B22" s="322" t="str">
        <f>IF('Summary | Sumário'!D$6=Names!B$3,Names!S23,Names!T23)</f>
        <v>Fee revenues</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row>
    <row r="23" spans="1:26" ht="13" customHeight="1">
      <c r="B23" s="323" t="str">
        <f>IF('Summary | Sumário'!D$6=Names!B$3,Names!S24,Names!T24)</f>
        <v>Net result from services and commissions</v>
      </c>
      <c r="C23" s="361">
        <v>73829.660999999993</v>
      </c>
      <c r="D23" s="361">
        <v>185534</v>
      </c>
      <c r="E23" s="361">
        <f>SUM(H23:K23)</f>
        <v>442272</v>
      </c>
      <c r="F23" s="361">
        <f>SUM(L23:O23)</f>
        <v>838806</v>
      </c>
      <c r="G23" s="361">
        <f t="shared" ref="G23:G25" si="14">SUM(P23:S23)</f>
        <v>1168800.6000000001</v>
      </c>
      <c r="H23" s="361">
        <v>77686</v>
      </c>
      <c r="I23" s="361">
        <v>89070</v>
      </c>
      <c r="J23" s="361">
        <v>122853</v>
      </c>
      <c r="K23" s="361">
        <v>152663</v>
      </c>
      <c r="L23" s="361">
        <v>177703</v>
      </c>
      <c r="M23" s="361">
        <v>204561</v>
      </c>
      <c r="N23" s="361">
        <v>217029</v>
      </c>
      <c r="O23" s="361">
        <v>239513</v>
      </c>
      <c r="P23" s="361">
        <v>246675</v>
      </c>
      <c r="Q23" s="361">
        <v>266801</v>
      </c>
      <c r="R23" s="361">
        <v>315509</v>
      </c>
      <c r="S23" s="361">
        <v>339815.6</v>
      </c>
      <c r="T23" s="361">
        <v>340317.39485153224</v>
      </c>
      <c r="U23" s="361">
        <v>364200.86699999997</v>
      </c>
      <c r="V23" s="361">
        <v>429988.97899999999</v>
      </c>
      <c r="W23" s="253"/>
      <c r="X23" s="465">
        <f t="shared" ref="X23:X25" si="15">V23/U23-1</f>
        <v>0.18063689013678275</v>
      </c>
      <c r="Y23" s="465">
        <f t="shared" ref="Y23:Y25" si="16">V23/R23-1</f>
        <v>0.3628421978453864</v>
      </c>
    </row>
    <row r="24" spans="1:26" ht="13" customHeight="1">
      <c r="A24" s="249"/>
      <c r="B24" s="16" t="str">
        <f>IF('Summary | Sumário'!D$6=Names!B$3,Names!S25,Names!T25)</f>
        <v>Other revenues</v>
      </c>
      <c r="C24" s="253">
        <f>C20</f>
        <v>52843</v>
      </c>
      <c r="D24" s="253">
        <f t="shared" ref="D24:P24" si="17">D20</f>
        <v>109882</v>
      </c>
      <c r="E24" s="253">
        <f t="shared" si="17"/>
        <v>190082</v>
      </c>
      <c r="F24" s="253">
        <f t="shared" si="17"/>
        <v>388462</v>
      </c>
      <c r="G24" s="253">
        <f t="shared" si="14"/>
        <v>375688</v>
      </c>
      <c r="H24" s="253">
        <f t="shared" si="17"/>
        <v>47499</v>
      </c>
      <c r="I24" s="253">
        <f t="shared" si="17"/>
        <v>76048</v>
      </c>
      <c r="J24" s="253">
        <f t="shared" si="17"/>
        <v>36287</v>
      </c>
      <c r="K24" s="253">
        <f t="shared" si="17"/>
        <v>30248</v>
      </c>
      <c r="L24" s="253">
        <f t="shared" si="17"/>
        <v>112407</v>
      </c>
      <c r="M24" s="253">
        <f t="shared" si="17"/>
        <v>111372</v>
      </c>
      <c r="N24" s="253">
        <f t="shared" si="17"/>
        <v>77687</v>
      </c>
      <c r="O24" s="253">
        <f t="shared" si="17"/>
        <v>86996</v>
      </c>
      <c r="P24" s="253">
        <f t="shared" si="17"/>
        <v>65877</v>
      </c>
      <c r="Q24" s="253">
        <f t="shared" ref="Q24:R24" si="18">Q20</f>
        <v>81158</v>
      </c>
      <c r="R24" s="253">
        <f t="shared" si="18"/>
        <v>131429.50028000001</v>
      </c>
      <c r="S24" s="253">
        <f t="shared" ref="S24:T24" si="19">S20</f>
        <v>97223.499719999993</v>
      </c>
      <c r="T24" s="253">
        <f t="shared" si="19"/>
        <v>89957</v>
      </c>
      <c r="U24" s="253">
        <f t="shared" ref="U24:V24" si="20">U20</f>
        <v>84728.682927619986</v>
      </c>
      <c r="V24" s="253">
        <f t="shared" si="20"/>
        <v>111387.30948870655</v>
      </c>
      <c r="W24" s="253"/>
      <c r="X24" s="466">
        <f t="shared" si="15"/>
        <v>0.31463520545763557</v>
      </c>
      <c r="Y24" s="466">
        <f t="shared" si="16"/>
        <v>-0.15249385220665967</v>
      </c>
      <c r="Z24" s="253"/>
    </row>
    <row r="25" spans="1:26" ht="13" customHeight="1">
      <c r="B25" s="366" t="str">
        <f>IF('Summary | Sumário'!D$6=Names!B$3,Names!S26,Names!T26)</f>
        <v>Net fee revenues</v>
      </c>
      <c r="C25" s="350">
        <f>SUM(C23:C24)</f>
        <v>126672.66099999999</v>
      </c>
      <c r="D25" s="350">
        <f t="shared" ref="D25:P25" si="21">SUM(D23:D24)</f>
        <v>295416</v>
      </c>
      <c r="E25" s="350">
        <f t="shared" si="21"/>
        <v>632354</v>
      </c>
      <c r="F25" s="350">
        <f t="shared" si="21"/>
        <v>1227268</v>
      </c>
      <c r="G25" s="350">
        <f t="shared" si="14"/>
        <v>1544488.6</v>
      </c>
      <c r="H25" s="350">
        <f t="shared" si="21"/>
        <v>125185</v>
      </c>
      <c r="I25" s="350">
        <f t="shared" si="21"/>
        <v>165118</v>
      </c>
      <c r="J25" s="350">
        <f t="shared" si="21"/>
        <v>159140</v>
      </c>
      <c r="K25" s="350">
        <f t="shared" si="21"/>
        <v>182911</v>
      </c>
      <c r="L25" s="350">
        <f t="shared" si="21"/>
        <v>290110</v>
      </c>
      <c r="M25" s="350">
        <f t="shared" si="21"/>
        <v>315933</v>
      </c>
      <c r="N25" s="350">
        <f t="shared" si="21"/>
        <v>294716</v>
      </c>
      <c r="O25" s="350">
        <f t="shared" si="21"/>
        <v>326509</v>
      </c>
      <c r="P25" s="350">
        <f t="shared" si="21"/>
        <v>312552</v>
      </c>
      <c r="Q25" s="350">
        <f t="shared" ref="Q25:R25" si="22">SUM(Q23:Q24)</f>
        <v>347959</v>
      </c>
      <c r="R25" s="350">
        <f t="shared" si="22"/>
        <v>446938.50028000004</v>
      </c>
      <c r="S25" s="350">
        <f t="shared" ref="S25:T25" si="23">SUM(S23:S24)</f>
        <v>437039.09971999994</v>
      </c>
      <c r="T25" s="350">
        <f t="shared" si="23"/>
        <v>430274.39485153224</v>
      </c>
      <c r="U25" s="350">
        <f t="shared" ref="U25:V25" si="24">SUM(U23:U24)</f>
        <v>448929.54992761998</v>
      </c>
      <c r="V25" s="350">
        <f t="shared" si="24"/>
        <v>541376.28848870657</v>
      </c>
      <c r="W25" s="265"/>
      <c r="X25" s="468">
        <f t="shared" si="15"/>
        <v>0.20592705152955859</v>
      </c>
      <c r="Y25" s="468">
        <f t="shared" si="16"/>
        <v>0.21129929095287769</v>
      </c>
    </row>
    <row r="27" spans="1:26" ht="13" customHeight="1">
      <c r="B27" s="326" t="str">
        <f>IF('Summary | Sumário'!D$6=Names!B$3,Names!S28,Names!T28)</f>
        <v>Fee income ratio</v>
      </c>
      <c r="C27" s="206"/>
      <c r="D27" s="206"/>
      <c r="E27" s="206"/>
      <c r="F27" s="206"/>
      <c r="G27" s="206"/>
      <c r="H27" s="206"/>
      <c r="I27" s="206"/>
      <c r="J27" s="206"/>
      <c r="K27" s="206"/>
      <c r="L27" s="206"/>
      <c r="M27" s="206"/>
      <c r="N27" s="206"/>
      <c r="O27" s="206"/>
      <c r="P27" s="206"/>
      <c r="Q27" s="206"/>
      <c r="R27" s="206"/>
      <c r="S27" s="206"/>
      <c r="T27" s="206"/>
      <c r="U27" s="206"/>
      <c r="V27" s="206"/>
      <c r="W27" s="211"/>
      <c r="X27" s="206"/>
      <c r="Y27" s="206"/>
    </row>
    <row r="28" spans="1:26" ht="13" customHeight="1">
      <c r="B28" s="409" t="str">
        <f>IF('Summary | Sumário'!D$6=Names!B$3,Names!S29,Names!T29)</f>
        <v>Net fee revenues</v>
      </c>
      <c r="C28" s="410">
        <f>C25</f>
        <v>126672.66099999999</v>
      </c>
      <c r="D28" s="410">
        <f t="shared" ref="D28:P28" si="25">D25</f>
        <v>295416</v>
      </c>
      <c r="E28" s="410">
        <f t="shared" si="25"/>
        <v>632354</v>
      </c>
      <c r="F28" s="410">
        <f t="shared" si="25"/>
        <v>1227268</v>
      </c>
      <c r="G28" s="410">
        <f t="shared" ref="G28" si="26">G25</f>
        <v>1544488.6</v>
      </c>
      <c r="H28" s="410">
        <f t="shared" si="25"/>
        <v>125185</v>
      </c>
      <c r="I28" s="410">
        <f t="shared" si="25"/>
        <v>165118</v>
      </c>
      <c r="J28" s="410">
        <f t="shared" si="25"/>
        <v>159140</v>
      </c>
      <c r="K28" s="410">
        <f t="shared" si="25"/>
        <v>182911</v>
      </c>
      <c r="L28" s="410">
        <f t="shared" si="25"/>
        <v>290110</v>
      </c>
      <c r="M28" s="410">
        <f t="shared" si="25"/>
        <v>315933</v>
      </c>
      <c r="N28" s="410">
        <f t="shared" si="25"/>
        <v>294716</v>
      </c>
      <c r="O28" s="410">
        <f t="shared" si="25"/>
        <v>326509</v>
      </c>
      <c r="P28" s="410">
        <f t="shared" si="25"/>
        <v>312552</v>
      </c>
      <c r="Q28" s="410">
        <f t="shared" ref="Q28:R28" si="27">Q25</f>
        <v>347959</v>
      </c>
      <c r="R28" s="410">
        <f t="shared" si="27"/>
        <v>446938.50028000004</v>
      </c>
      <c r="S28" s="410">
        <f t="shared" ref="S28:T28" si="28">S25</f>
        <v>437039.09971999994</v>
      </c>
      <c r="T28" s="410">
        <f t="shared" si="28"/>
        <v>430274.39485153224</v>
      </c>
      <c r="U28" s="410">
        <f t="shared" ref="U28:V28" si="29">U25</f>
        <v>448929.54992761998</v>
      </c>
      <c r="V28" s="410">
        <f t="shared" si="29"/>
        <v>541376.28848870657</v>
      </c>
      <c r="W28" s="222"/>
      <c r="X28" s="471">
        <f t="shared" ref="X28:X32" si="30">V28/U28-1</f>
        <v>0.20592705152955859</v>
      </c>
      <c r="Y28" s="471">
        <f t="shared" ref="Y28:Y32" si="31">V28/R28-1</f>
        <v>0.21129929095287769</v>
      </c>
    </row>
    <row r="29" spans="1:26" ht="13" customHeight="1">
      <c r="B29" s="82" t="str">
        <f>IF('Summary | Sumário'!D$6=Names!B$3,Names!S30,Names!T30)</f>
        <v>(÷) Total net revenues</v>
      </c>
      <c r="C29" s="254">
        <f t="shared" ref="C29:S29" si="32">C30+C32</f>
        <v>712223.66099999996</v>
      </c>
      <c r="D29" s="254">
        <f t="shared" si="32"/>
        <v>1011378.89518</v>
      </c>
      <c r="E29" s="254">
        <f t="shared" si="32"/>
        <v>2221823.2459999998</v>
      </c>
      <c r="F29" s="254">
        <f t="shared" si="32"/>
        <v>3562697.0819999995</v>
      </c>
      <c r="G29" s="254">
        <f t="shared" si="32"/>
        <v>4752576.5999999996</v>
      </c>
      <c r="H29" s="254">
        <f t="shared" si="32"/>
        <v>416765.935</v>
      </c>
      <c r="I29" s="254">
        <f t="shared" si="32"/>
        <v>467413.75100000005</v>
      </c>
      <c r="J29" s="254">
        <f t="shared" si="32"/>
        <v>606509.88</v>
      </c>
      <c r="K29" s="254">
        <f t="shared" si="32"/>
        <v>731132.67999999993</v>
      </c>
      <c r="L29" s="254">
        <f t="shared" si="32"/>
        <v>833520.63199999998</v>
      </c>
      <c r="M29" s="254">
        <f t="shared" si="32"/>
        <v>877020.6370000001</v>
      </c>
      <c r="N29" s="254">
        <f t="shared" si="32"/>
        <v>850303.73100000003</v>
      </c>
      <c r="O29" s="254">
        <f t="shared" si="32"/>
        <v>1001852.0819999999</v>
      </c>
      <c r="P29" s="254">
        <f t="shared" si="32"/>
        <v>1024113.822</v>
      </c>
      <c r="Q29" s="254">
        <f t="shared" si="32"/>
        <v>1150034</v>
      </c>
      <c r="R29" s="254">
        <f t="shared" si="32"/>
        <v>1265495.5890200001</v>
      </c>
      <c r="S29" s="254">
        <f t="shared" si="32"/>
        <v>1312934.1839799997</v>
      </c>
      <c r="T29" s="254">
        <f t="shared" ref="T29:U29" si="33">T30+T32</f>
        <v>1400939.504551532</v>
      </c>
      <c r="U29" s="254">
        <f t="shared" si="33"/>
        <v>1478596.27892762</v>
      </c>
      <c r="V29" s="254">
        <f t="shared" ref="V29" si="34">V30+V32</f>
        <v>1676138.5664887065</v>
      </c>
      <c r="W29" s="222"/>
      <c r="X29" s="472">
        <f t="shared" si="30"/>
        <v>0.13360123407341296</v>
      </c>
      <c r="Y29" s="472">
        <f t="shared" si="31"/>
        <v>0.32449182836481349</v>
      </c>
    </row>
    <row r="30" spans="1:26" ht="13" customHeight="1">
      <c r="B30" s="56" t="str">
        <f>IF('Summary | Sumário'!D$6=Names!B$3,Names!S31,Names!T31)</f>
        <v>NII</v>
      </c>
      <c r="C30" s="211">
        <f t="shared" ref="C30:V30" si="35">SUM(C31:C31)</f>
        <v>585551</v>
      </c>
      <c r="D30" s="211">
        <f t="shared" si="35"/>
        <v>715962.89517999999</v>
      </c>
      <c r="E30" s="211">
        <f t="shared" si="35"/>
        <v>1589469.2459999998</v>
      </c>
      <c r="F30" s="211">
        <f t="shared" si="35"/>
        <v>2335429.0819999995</v>
      </c>
      <c r="G30" s="211">
        <f t="shared" si="35"/>
        <v>3208088</v>
      </c>
      <c r="H30" s="211">
        <f t="shared" si="35"/>
        <v>291580.935</v>
      </c>
      <c r="I30" s="211">
        <f t="shared" si="35"/>
        <v>302295.75100000005</v>
      </c>
      <c r="J30" s="211">
        <f t="shared" si="35"/>
        <v>447369.88</v>
      </c>
      <c r="K30" s="211">
        <f t="shared" si="35"/>
        <v>548221.67999999993</v>
      </c>
      <c r="L30" s="211">
        <f t="shared" si="35"/>
        <v>543410.63199999998</v>
      </c>
      <c r="M30" s="211">
        <f t="shared" si="35"/>
        <v>561087.6370000001</v>
      </c>
      <c r="N30" s="211">
        <f t="shared" si="35"/>
        <v>555587.73100000003</v>
      </c>
      <c r="O30" s="211">
        <f t="shared" si="35"/>
        <v>675343.08199999994</v>
      </c>
      <c r="P30" s="211">
        <f t="shared" si="35"/>
        <v>711561.82200000004</v>
      </c>
      <c r="Q30" s="211">
        <f t="shared" si="35"/>
        <v>802075</v>
      </c>
      <c r="R30" s="211">
        <f t="shared" si="35"/>
        <v>818557.08874000004</v>
      </c>
      <c r="S30" s="211">
        <f t="shared" si="35"/>
        <v>875895.08425999992</v>
      </c>
      <c r="T30" s="211">
        <f t="shared" si="35"/>
        <v>970665.10969999968</v>
      </c>
      <c r="U30" s="211">
        <f t="shared" si="35"/>
        <v>1029666.7290000001</v>
      </c>
      <c r="V30" s="211">
        <f t="shared" si="35"/>
        <v>1134762.2779999999</v>
      </c>
      <c r="W30" s="211"/>
      <c r="X30" s="456">
        <f t="shared" si="30"/>
        <v>0.10206753898134346</v>
      </c>
      <c r="Y30" s="456">
        <f t="shared" si="31"/>
        <v>0.38629582909938831</v>
      </c>
    </row>
    <row r="31" spans="1:26" ht="13" customHeight="1">
      <c r="B31" s="71" t="str">
        <f>IF('Summary | Sumário'!D$6=Names!B$3,Names!S32,Names!T32)</f>
        <v>Net interest income</v>
      </c>
      <c r="C31" s="225">
        <v>585551</v>
      </c>
      <c r="D31" s="225">
        <v>715962.89517999999</v>
      </c>
      <c r="E31" s="225">
        <v>1589469.2459999998</v>
      </c>
      <c r="F31" s="225">
        <v>2335429.0819999995</v>
      </c>
      <c r="G31" s="225">
        <v>3208088</v>
      </c>
      <c r="H31" s="225">
        <v>291580.935</v>
      </c>
      <c r="I31" s="225">
        <v>302295.75100000005</v>
      </c>
      <c r="J31" s="225">
        <v>447369.88</v>
      </c>
      <c r="K31" s="225">
        <v>548221.67999999993</v>
      </c>
      <c r="L31" s="225">
        <v>543410.63199999998</v>
      </c>
      <c r="M31" s="225">
        <v>561087.6370000001</v>
      </c>
      <c r="N31" s="225">
        <v>555587.73100000003</v>
      </c>
      <c r="O31" s="225">
        <v>675343.08199999994</v>
      </c>
      <c r="P31" s="225">
        <v>711561.82200000004</v>
      </c>
      <c r="Q31" s="225">
        <v>802075</v>
      </c>
      <c r="R31" s="225">
        <v>818557.08874000004</v>
      </c>
      <c r="S31" s="225">
        <v>875895.08425999992</v>
      </c>
      <c r="T31" s="225">
        <v>970665.10969999968</v>
      </c>
      <c r="U31" s="225">
        <v>1029666.7290000001</v>
      </c>
      <c r="V31" s="225">
        <v>1134762.2779999999</v>
      </c>
      <c r="W31" s="226"/>
      <c r="X31" s="473">
        <f t="shared" si="30"/>
        <v>0.10206753898134346</v>
      </c>
      <c r="Y31" s="473">
        <f t="shared" si="31"/>
        <v>0.38629582909938831</v>
      </c>
    </row>
    <row r="32" spans="1:26" ht="13" customHeight="1">
      <c r="B32" s="56" t="str">
        <f>IF('Summary | Sumário'!D$6=Names!B$3,Names!S34,Names!T34)</f>
        <v>Net fee revenues</v>
      </c>
      <c r="C32" s="222">
        <f>C25</f>
        <v>126672.66099999999</v>
      </c>
      <c r="D32" s="222">
        <f t="shared" ref="D32:P32" si="36">D25</f>
        <v>295416</v>
      </c>
      <c r="E32" s="222">
        <f t="shared" si="36"/>
        <v>632354</v>
      </c>
      <c r="F32" s="222">
        <f t="shared" si="36"/>
        <v>1227268</v>
      </c>
      <c r="G32" s="222">
        <f t="shared" ref="G32" si="37">G25</f>
        <v>1544488.6</v>
      </c>
      <c r="H32" s="222">
        <f t="shared" si="36"/>
        <v>125185</v>
      </c>
      <c r="I32" s="222">
        <f t="shared" si="36"/>
        <v>165118</v>
      </c>
      <c r="J32" s="222">
        <f t="shared" si="36"/>
        <v>159140</v>
      </c>
      <c r="K32" s="222">
        <f t="shared" si="36"/>
        <v>182911</v>
      </c>
      <c r="L32" s="222">
        <f t="shared" si="36"/>
        <v>290110</v>
      </c>
      <c r="M32" s="222">
        <f t="shared" si="36"/>
        <v>315933</v>
      </c>
      <c r="N32" s="222">
        <f t="shared" si="36"/>
        <v>294716</v>
      </c>
      <c r="O32" s="222">
        <f t="shared" si="36"/>
        <v>326509</v>
      </c>
      <c r="P32" s="222">
        <f t="shared" si="36"/>
        <v>312552</v>
      </c>
      <c r="Q32" s="222">
        <f t="shared" ref="Q32:R32" si="38">Q25</f>
        <v>347959</v>
      </c>
      <c r="R32" s="222">
        <f t="shared" si="38"/>
        <v>446938.50028000004</v>
      </c>
      <c r="S32" s="222">
        <f t="shared" ref="S32:T32" si="39">S25</f>
        <v>437039.09971999994</v>
      </c>
      <c r="T32" s="222">
        <f t="shared" si="39"/>
        <v>430274.39485153224</v>
      </c>
      <c r="U32" s="222">
        <f t="shared" ref="U32:V32" si="40">U25</f>
        <v>448929.54992761998</v>
      </c>
      <c r="V32" s="222">
        <f t="shared" si="40"/>
        <v>541376.28848870657</v>
      </c>
      <c r="W32" s="222"/>
      <c r="X32" s="217">
        <f t="shared" si="30"/>
        <v>0.20592705152955859</v>
      </c>
      <c r="Y32" s="217">
        <f t="shared" si="31"/>
        <v>0.21129929095287769</v>
      </c>
    </row>
    <row r="33" spans="2:25" ht="13" customHeight="1">
      <c r="B33" s="366" t="str">
        <f>IF('Summary | Sumário'!D$6=Names!B$3,Names!S35,Names!T35)</f>
        <v>(=) Fee income ratio (%)</v>
      </c>
      <c r="C33" s="411">
        <f>C28/C29</f>
        <v>0.17785517097556802</v>
      </c>
      <c r="D33" s="411">
        <f t="shared" ref="D33:P33" si="41">D28/D29</f>
        <v>0.29209231219663073</v>
      </c>
      <c r="E33" s="411">
        <f t="shared" si="41"/>
        <v>0.28461039875176464</v>
      </c>
      <c r="F33" s="411">
        <f t="shared" si="41"/>
        <v>0.34447722378660545</v>
      </c>
      <c r="G33" s="411">
        <f t="shared" ref="G33" si="42">G28/G29</f>
        <v>0.32497921232873977</v>
      </c>
      <c r="H33" s="411">
        <f t="shared" si="41"/>
        <v>0.30037243806886471</v>
      </c>
      <c r="I33" s="411">
        <f t="shared" si="41"/>
        <v>0.35325875553883734</v>
      </c>
      <c r="J33" s="411">
        <f t="shared" si="41"/>
        <v>0.26238649236843431</v>
      </c>
      <c r="K33" s="411">
        <f t="shared" si="41"/>
        <v>0.25017483830704984</v>
      </c>
      <c r="L33" s="411">
        <f t="shared" si="41"/>
        <v>0.34805377199109333</v>
      </c>
      <c r="M33" s="411">
        <f t="shared" si="41"/>
        <v>0.36023439662800083</v>
      </c>
      <c r="N33" s="411">
        <f t="shared" si="41"/>
        <v>0.34660085479502617</v>
      </c>
      <c r="O33" s="411">
        <f t="shared" si="41"/>
        <v>0.32590539648147382</v>
      </c>
      <c r="P33" s="411">
        <f t="shared" si="41"/>
        <v>0.30519263902679755</v>
      </c>
      <c r="Q33" s="411">
        <f t="shared" ref="Q33:R33" si="43">Q28/Q29</f>
        <v>0.30256409810492557</v>
      </c>
      <c r="R33" s="411">
        <f t="shared" si="43"/>
        <v>0.35317270495277608</v>
      </c>
      <c r="S33" s="411">
        <f t="shared" ref="S33:T33" si="44">S28/S29</f>
        <v>0.33287205486201088</v>
      </c>
      <c r="T33" s="411">
        <f t="shared" si="44"/>
        <v>0.30713274445727867</v>
      </c>
      <c r="U33" s="411">
        <f t="shared" ref="U33:V33" si="45">U28/U29</f>
        <v>0.30361874727103644</v>
      </c>
      <c r="V33" s="411">
        <f t="shared" si="45"/>
        <v>0.32299017474600555</v>
      </c>
      <c r="W33" s="431"/>
      <c r="X33" s="474">
        <f>(V33-U33)*100</f>
        <v>1.9371427474969116</v>
      </c>
      <c r="Y33" s="474">
        <f>(V33-R33)*100</f>
        <v>-3.018253020677053</v>
      </c>
    </row>
    <row r="34" spans="2:25" ht="13" customHeight="1">
      <c r="X34" s="211"/>
      <c r="Y34" s="211"/>
    </row>
    <row r="38" spans="2:25" ht="13" customHeight="1">
      <c r="E38" s="217"/>
    </row>
  </sheetData>
  <sheetProtection algorithmName="SHA-512" hashValue="AE7Hbaa924Jarl7qYp3c53oDHeRoMXhcyPTqeQNpdte+cV1UuW81hOYxXlIQLvTqKA7/+FKLepm2AfMFrK4jBA==" saltValue="hldEvSH/IrFBXqqIqcXR1Q==" spinCount="100000" sheet="1" formatCells="0" formatColumns="0" formatRows="0" insertColumns="0" insertRows="0" insertHyperlinks="0" deleteColumns="0" deleteRows="0" sort="0" autoFilter="0" pivotTables="0"/>
  <phoneticPr fontId="6" type="noConversion"/>
  <pageMargins left="0.7" right="0.7" top="0.75" bottom="0.75" header="0.3" footer="0.3"/>
  <pageSetup paperSize="9"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EE35-A6A6-F947-816E-CF45E782FE5A}">
  <sheetPr codeName="Sheet6">
    <tabColor rgb="FFEB7100"/>
  </sheetPr>
  <dimension ref="B1:AC23"/>
  <sheetViews>
    <sheetView showGridLines="0" zoomScaleNormal="100" workbookViewId="0">
      <pane xSplit="2" ySplit="3" topLeftCell="C4" activePane="bottomRight" state="frozen"/>
      <selection pane="topRight"/>
      <selection pane="bottomLeft"/>
      <selection pane="bottomRight"/>
    </sheetView>
  </sheetViews>
  <sheetFormatPr baseColWidth="10" defaultColWidth="10.83203125" defaultRowHeight="13" customHeight="1"/>
  <cols>
    <col min="1" max="1" width="3.33203125" style="135" customWidth="1"/>
    <col min="2" max="2" width="68.33203125" style="25" customWidth="1"/>
    <col min="3" max="22" width="10.83203125" style="136" customWidth="1"/>
    <col min="23" max="23" width="5.83203125" style="136" customWidth="1"/>
    <col min="24" max="25" width="10.83203125" style="136" customWidth="1"/>
    <col min="26" max="16384" width="10.83203125" style="135"/>
  </cols>
  <sheetData>
    <row r="1" spans="2:29" ht="13" customHeight="1">
      <c r="Z1" s="136"/>
    </row>
    <row r="2" spans="2:29" s="10" customFormat="1" ht="13" customHeight="1">
      <c r="B2" s="319" t="str">
        <f>IF('Summary | Sumário'!D$6=Names!B$3,Names!V1,Names!W1)</f>
        <v>Financials KPIs</v>
      </c>
      <c r="C2" s="134">
        <f>IF('Summary | Sumário'!D6=Names!B3,Names!C2,Names!D2)</f>
        <v>2019</v>
      </c>
      <c r="D2" s="134">
        <f>IF('Summary | Sumário'!D6=Names!B3,Names!C3,Names!D3)</f>
        <v>2020</v>
      </c>
      <c r="E2" s="134">
        <f>IF('Summary | Sumário'!D6=Names!B3,Names!C4,Names!D4)</f>
        <v>2021</v>
      </c>
      <c r="F2" s="134">
        <f>IF('Summary | Sumário'!D6=Names!B3,Names!C5,Names!D5)</f>
        <v>2022</v>
      </c>
      <c r="G2" s="347">
        <f>IF('Summary | Sumário'!D6=Names!B3,Names!C18,Names!D18)</f>
        <v>2023</v>
      </c>
      <c r="H2" s="20" t="str">
        <f>IF('Summary | Sumário'!D6=Names!B3,Names!C6,Names!D6)</f>
        <v>1Q21</v>
      </c>
      <c r="I2" s="21" t="str">
        <f>IF('Summary | Sumário'!D6=Names!B3,Names!C7,Names!D7)</f>
        <v>2Q21</v>
      </c>
      <c r="J2" s="21" t="str">
        <f>IF('Summary | Sumário'!D6=Names!B3,Names!C8,Names!D8)</f>
        <v>3Q21</v>
      </c>
      <c r="K2" s="21" t="str">
        <f>IF('Summary | Sumário'!D6=Names!B3,Names!C9,Names!D9)</f>
        <v>4Q21</v>
      </c>
      <c r="L2" s="21" t="str">
        <f>IF('Summary | Sumário'!D6=Names!B3,Names!C10,Names!D10)</f>
        <v>1Q22</v>
      </c>
      <c r="M2" s="21" t="str">
        <f>IF('Summary | Sumário'!D6=Names!B3,Names!C11,Names!D11)</f>
        <v>2Q22</v>
      </c>
      <c r="N2" s="21" t="str">
        <f>IF('Summary | Sumário'!D6=Names!B3,Names!C12,Names!D12)</f>
        <v>3Q22</v>
      </c>
      <c r="O2" s="21" t="str">
        <f>IF('Summary | Sumário'!D6=Names!B3,Names!C13,Names!D13)</f>
        <v>4Q22</v>
      </c>
      <c r="P2" s="21" t="str">
        <f>IF('Summary | Sumário'!D6=Names!B3,Names!C14,Names!D14)</f>
        <v>1Q23</v>
      </c>
      <c r="Q2" s="21" t="str">
        <f>IF('Summary | Sumário'!D6=Names!B3,Names!C15,Names!D15)</f>
        <v>2Q23</v>
      </c>
      <c r="R2" s="21" t="str">
        <f>IF('Summary | Sumário'!D6=Names!B3,Names!C16,Names!D16)</f>
        <v>3Q23</v>
      </c>
      <c r="S2" s="21" t="str">
        <f>IF('Summary | Sumário'!D6=Names!B3,Names!C17,Names!D17)</f>
        <v>4Q23</v>
      </c>
      <c r="T2" s="21" t="str">
        <f>IF('Summary | Sumário'!D6=Names!B3,Names!C19,Names!D19)</f>
        <v>1Q24</v>
      </c>
      <c r="U2" s="21" t="str">
        <f>IF('Summary | Sumário'!D6=Names!B3,Names!C20,Names!D20)</f>
        <v>2Q24</v>
      </c>
      <c r="V2" s="320" t="str">
        <f>IF('Summary | Sumário'!D6=Names!B3,Names!C21,Names!D21)</f>
        <v>3Q24</v>
      </c>
      <c r="W2" s="422"/>
      <c r="X2" s="116" t="str">
        <f>IF('Summary | Sumário'!$D$6=Names!$B$3,Names!$I$24,Names!$J$24)</f>
        <v>QoQ Variation</v>
      </c>
      <c r="Y2" s="116" t="str">
        <f>IF('Summary | Sumário'!$D$6=Names!$B$3,Names!$I$25,Names!$J$25)</f>
        <v>YoY Variation</v>
      </c>
      <c r="Z2" s="11"/>
      <c r="AB2" s="12"/>
      <c r="AC2" s="13"/>
    </row>
    <row r="3" spans="2:29" ht="13" customHeight="1">
      <c r="B3" s="49"/>
      <c r="C3" s="178"/>
      <c r="D3" s="178"/>
      <c r="E3" s="178"/>
      <c r="F3" s="178"/>
      <c r="G3" s="178"/>
      <c r="H3" s="178"/>
      <c r="I3" s="178"/>
      <c r="J3" s="178"/>
      <c r="K3" s="178"/>
      <c r="L3" s="178"/>
      <c r="M3" s="178"/>
      <c r="N3" s="178"/>
      <c r="O3" s="178"/>
      <c r="P3" s="178"/>
      <c r="Q3" s="178"/>
      <c r="R3" s="178"/>
      <c r="S3" s="178"/>
      <c r="T3" s="178"/>
      <c r="U3" s="178"/>
      <c r="V3" s="178"/>
      <c r="W3" s="178"/>
      <c r="X3" s="178"/>
      <c r="Y3" s="178"/>
      <c r="Z3" s="147"/>
    </row>
    <row r="4" spans="2:29" ht="13" customHeight="1">
      <c r="B4" s="322" t="str">
        <f>IF('Summary | Sumário'!D$6=Names!B$3,Names!V2,Names!W2)</f>
        <v>Financials KPIs</v>
      </c>
      <c r="C4" s="315"/>
      <c r="D4" s="315"/>
      <c r="E4" s="315"/>
      <c r="F4" s="315"/>
      <c r="G4" s="315"/>
      <c r="H4" s="315"/>
      <c r="I4" s="315"/>
      <c r="J4" s="315"/>
      <c r="K4" s="315"/>
      <c r="L4" s="315"/>
      <c r="M4" s="315"/>
      <c r="N4" s="315"/>
      <c r="O4" s="315"/>
      <c r="P4" s="315"/>
      <c r="Q4" s="315"/>
      <c r="R4" s="315"/>
      <c r="S4" s="315"/>
      <c r="T4" s="315"/>
      <c r="U4" s="315"/>
      <c r="V4" s="315"/>
      <c r="W4" s="315"/>
      <c r="X4" s="315"/>
      <c r="Y4" s="315"/>
    </row>
    <row r="5" spans="2:29" ht="13" customHeight="1">
      <c r="B5" s="368" t="str">
        <f>IF('Summary | Sumário'!D$6=Names!B$3,Names!V3,Names!W3)</f>
        <v>Tier I ratio (%)</v>
      </c>
      <c r="C5" s="369">
        <v>0.39400000000000002</v>
      </c>
      <c r="D5" s="369">
        <v>0.31828739525522021</v>
      </c>
      <c r="E5" s="369">
        <f>K5</f>
        <v>0.443</v>
      </c>
      <c r="F5" s="369">
        <f>O5</f>
        <v>0.24099999999999999</v>
      </c>
      <c r="G5" s="369">
        <f>P5</f>
        <v>0.23</v>
      </c>
      <c r="H5" s="369">
        <v>0.24099999999999999</v>
      </c>
      <c r="I5" s="369">
        <v>0.19600000000000001</v>
      </c>
      <c r="J5" s="369">
        <v>0.49740000000000001</v>
      </c>
      <c r="K5" s="369">
        <v>0.443</v>
      </c>
      <c r="L5" s="369">
        <v>0.35699999999999998</v>
      </c>
      <c r="M5" s="369">
        <v>0.32900000000000001</v>
      </c>
      <c r="N5" s="369">
        <v>0.29799999999999999</v>
      </c>
      <c r="O5" s="369">
        <v>0.24099999999999999</v>
      </c>
      <c r="P5" s="369">
        <v>0.23</v>
      </c>
      <c r="Q5" s="369">
        <f>'7.1. Tier I Ratio | Basileia'!Q22</f>
        <v>0.22800000000000001</v>
      </c>
      <c r="R5" s="369">
        <f>'7.1. Tier I Ratio | Basileia'!R22</f>
        <v>0.2374</v>
      </c>
      <c r="S5" s="369">
        <f>'7.1. Tier I Ratio | Basileia'!S22</f>
        <v>0.229501027251763</v>
      </c>
      <c r="T5" s="369">
        <f>'7.1. Tier I Ratio | Basileia'!T22</f>
        <v>0.20276529979036845</v>
      </c>
      <c r="U5" s="369">
        <f>'7.1. Tier I Ratio | Basileia'!U22</f>
        <v>0.19289246116070838</v>
      </c>
      <c r="V5" s="369">
        <f>'7.1. Tier I Ratio | Basileia'!V22</f>
        <v>0.17004172684835503</v>
      </c>
      <c r="W5" s="244"/>
      <c r="X5" s="477">
        <f>(V5-U5)*100</f>
        <v>-2.2850734312353351</v>
      </c>
      <c r="Y5" s="477">
        <f>(V5-R5)*100</f>
        <v>-6.7358273151644967</v>
      </c>
    </row>
    <row r="6" spans="2:29" ht="13" customHeight="1">
      <c r="B6" s="111" t="str">
        <f>IF('Summary | Sumário'!D$6=Names!B$3,Names!V4,Names!W4)</f>
        <v>NIM 1.0 - IEP + non-interest credit card receivables (%)</v>
      </c>
      <c r="C6" s="244">
        <v>9.803273556152127E-2</v>
      </c>
      <c r="D6" s="244">
        <v>6.8765813012030511E-2</v>
      </c>
      <c r="E6" s="244">
        <v>6.8686082884596447E-2</v>
      </c>
      <c r="F6" s="244">
        <v>6.7187969136151937E-2</v>
      </c>
      <c r="G6" s="244">
        <v>7.4108012101248649E-2</v>
      </c>
      <c r="H6" s="244">
        <v>7.2951874040954615E-2</v>
      </c>
      <c r="I6" s="244">
        <v>6.3550064892455183E-2</v>
      </c>
      <c r="J6" s="244">
        <v>7.1739740077472594E-2</v>
      </c>
      <c r="K6" s="244">
        <v>7.2623601704043694E-2</v>
      </c>
      <c r="L6" s="244">
        <v>6.9048772905710307E-2</v>
      </c>
      <c r="M6" s="244">
        <v>6.9509885601935162E-2</v>
      </c>
      <c r="N6" s="244">
        <v>6.3804563889878999E-2</v>
      </c>
      <c r="O6" s="244">
        <v>7.2326106208657676E-2</v>
      </c>
      <c r="P6" s="244">
        <v>7.4154768372393848E-2</v>
      </c>
      <c r="Q6" s="244">
        <v>8.1292947827274115E-2</v>
      </c>
      <c r="R6" s="244">
        <v>7.8011077819640784E-2</v>
      </c>
      <c r="S6" s="244">
        <v>7.6016105585943614E-2</v>
      </c>
      <c r="T6" s="244">
        <v>7.8008672381001315E-2</v>
      </c>
      <c r="U6" s="244">
        <v>7.8135655650361471E-2</v>
      </c>
      <c r="V6" s="244">
        <v>8.1286365750537298E-2</v>
      </c>
      <c r="W6" s="244"/>
      <c r="X6" s="476">
        <f t="shared" ref="X6:X8" si="0">(V6-U6)*100</f>
        <v>0.3150710100175827</v>
      </c>
      <c r="Y6" s="476">
        <f t="shared" ref="Y6:Y8" si="1">(V6-R6)*100</f>
        <v>0.32752879308965144</v>
      </c>
    </row>
    <row r="7" spans="2:29" ht="13" customHeight="1">
      <c r="B7" s="110" t="str">
        <f>IF('Summary | Sumário'!D$6=Names!B$3,Names!V5,Names!W5)</f>
        <v>NIM 2.0 - IEP only (%)</v>
      </c>
      <c r="C7" s="243">
        <v>9.9142145718649363E-2</v>
      </c>
      <c r="D7" s="243">
        <v>7.5040839606477505E-2</v>
      </c>
      <c r="E7" s="243">
        <v>7.8520632436058474E-2</v>
      </c>
      <c r="F7" s="243">
        <v>7.786690423211888E-2</v>
      </c>
      <c r="G7" s="243">
        <v>8.7085309397980981E-2</v>
      </c>
      <c r="H7" s="243">
        <v>8.2698905127656999E-2</v>
      </c>
      <c r="I7" s="243">
        <v>7.2601624955520236E-2</v>
      </c>
      <c r="J7" s="243">
        <v>8.1419665829301657E-2</v>
      </c>
      <c r="K7" s="243">
        <v>8.2770428980190339E-2</v>
      </c>
      <c r="L7" s="243">
        <v>7.9975031029914642E-2</v>
      </c>
      <c r="M7" s="243">
        <v>8.1316997280889425E-2</v>
      </c>
      <c r="N7" s="243">
        <v>7.4497874078582174E-2</v>
      </c>
      <c r="O7" s="243">
        <v>8.4173192464300134E-2</v>
      </c>
      <c r="P7" s="243">
        <v>8.6679395326141259E-2</v>
      </c>
      <c r="Q7" s="243">
        <v>9.5275870614249816E-2</v>
      </c>
      <c r="R7" s="243">
        <v>9.1881395447457576E-2</v>
      </c>
      <c r="S7" s="243">
        <v>8.9925313340997362E-2</v>
      </c>
      <c r="T7" s="243">
        <v>9.2313259386583357E-2</v>
      </c>
      <c r="U7" s="243">
        <v>9.2300802453283842E-2</v>
      </c>
      <c r="V7" s="243">
        <v>9.5686227541557201E-2</v>
      </c>
      <c r="W7" s="244"/>
      <c r="X7" s="475">
        <f t="shared" si="0"/>
        <v>0.33854250882733583</v>
      </c>
      <c r="Y7" s="475">
        <f t="shared" si="1"/>
        <v>0.3804832094099625</v>
      </c>
      <c r="Z7" s="245"/>
    </row>
    <row r="8" spans="2:29" ht="13" customHeight="1">
      <c r="B8" s="111" t="str">
        <f>IF('Summary | Sumário'!D$6=Names!B$3,Names!V6,Names!W6)</f>
        <v>Efficiency ratio (%)</v>
      </c>
      <c r="C8" s="244">
        <v>0.80448043413149117</v>
      </c>
      <c r="D8" s="244">
        <v>0.89667983853718281</v>
      </c>
      <c r="E8" s="244">
        <v>0.82011307288876678</v>
      </c>
      <c r="F8" s="244">
        <v>0.72178100986236648</v>
      </c>
      <c r="G8" s="244">
        <f>'7.3. Efficiency | Eficiência'!G14</f>
        <v>0.54508164497360145</v>
      </c>
      <c r="H8" s="244">
        <v>0.82244761859407534</v>
      </c>
      <c r="I8" s="244">
        <v>0.89498519098050877</v>
      </c>
      <c r="J8" s="244">
        <v>0.68477256272790943</v>
      </c>
      <c r="K8" s="244">
        <v>0.88300693976751266</v>
      </c>
      <c r="L8" s="244">
        <v>0.71882612950101654</v>
      </c>
      <c r="M8" s="244">
        <v>0.68258635450748339</v>
      </c>
      <c r="N8" s="244">
        <v>0.75028931719132097</v>
      </c>
      <c r="O8" s="244">
        <v>0.73439417574268773</v>
      </c>
      <c r="P8" s="244">
        <v>0.62351057373347107</v>
      </c>
      <c r="Q8" s="244">
        <v>0.53383674950420901</v>
      </c>
      <c r="R8" s="244">
        <v>0.52425869323134722</v>
      </c>
      <c r="S8" s="244">
        <v>0.51364339974584727</v>
      </c>
      <c r="T8" s="244">
        <v>0.47740981275189837</v>
      </c>
      <c r="U8" s="244">
        <v>0.47859537792112389</v>
      </c>
      <c r="V8" s="244">
        <v>0.50700722132018838</v>
      </c>
      <c r="W8" s="244"/>
      <c r="X8" s="476">
        <f t="shared" si="0"/>
        <v>2.8411843399064498</v>
      </c>
      <c r="Y8" s="476">
        <f t="shared" si="1"/>
        <v>-1.7251471911158833</v>
      </c>
    </row>
    <row r="9" spans="2:29" ht="13" customHeight="1">
      <c r="B9" s="110" t="str">
        <f>IF('Summary | Sumário'!D$6=Names!B$3,Names!V7,Names!W7)</f>
        <v>Cost-to-serve (R$)</v>
      </c>
      <c r="C9" s="246">
        <v>18.74712515371165</v>
      </c>
      <c r="D9" s="246">
        <v>17.830909204132052</v>
      </c>
      <c r="E9" s="246">
        <v>17.409937868948457</v>
      </c>
      <c r="F9" s="246">
        <v>16.574093350746622</v>
      </c>
      <c r="G9" s="246">
        <f>'7.4. CTS | Custo de servir'!G14</f>
        <v>12.852293711960394</v>
      </c>
      <c r="H9" s="246">
        <v>15.873373059532792</v>
      </c>
      <c r="I9" s="246">
        <v>17.183325533777968</v>
      </c>
      <c r="J9" s="246">
        <v>14.438974922927862</v>
      </c>
      <c r="K9" s="246">
        <v>21.197166973408052</v>
      </c>
      <c r="L9" s="246">
        <v>17.504516477667526</v>
      </c>
      <c r="M9" s="246">
        <v>15.659009047475481</v>
      </c>
      <c r="N9" s="246">
        <v>15.811985206549455</v>
      </c>
      <c r="O9" s="246">
        <v>17.144369708964522</v>
      </c>
      <c r="P9" s="246">
        <v>13.841844617734582</v>
      </c>
      <c r="Q9" s="246">
        <v>12.525885414818191</v>
      </c>
      <c r="R9" s="246">
        <v>12.654836511248545</v>
      </c>
      <c r="S9" s="246">
        <v>12.494674203389398</v>
      </c>
      <c r="T9" s="246">
        <v>11.676346720405142</v>
      </c>
      <c r="U9" s="246">
        <v>11.126182837386366</v>
      </c>
      <c r="V9" s="246">
        <v>12.609296798541864</v>
      </c>
      <c r="W9" s="247"/>
      <c r="X9" s="243">
        <f>V9/U9-1</f>
        <v>0.13329944176109665</v>
      </c>
      <c r="Y9" s="243">
        <f>U9/Q9-1</f>
        <v>-0.11174480135160492</v>
      </c>
    </row>
    <row r="10" spans="2:29" ht="13" customHeight="1">
      <c r="B10" s="111" t="str">
        <f>IF('Summary | Sumário'!D$6=Names!B$3,Names!V8,Names!W8)</f>
        <v>ARPAC gross of cost of funding (R$)</v>
      </c>
      <c r="C10" s="247">
        <v>37.439906636795584</v>
      </c>
      <c r="D10" s="247">
        <v>29.358654512771416</v>
      </c>
      <c r="E10" s="247">
        <v>36.896687804881864</v>
      </c>
      <c r="F10" s="247">
        <v>46.598265162928641</v>
      </c>
      <c r="G10" s="247">
        <v>51.539350932127313</v>
      </c>
      <c r="H10" s="247">
        <v>31.860046277549944</v>
      </c>
      <c r="I10" s="247">
        <v>32.116695201378882</v>
      </c>
      <c r="J10" s="247">
        <v>37.142020815254909</v>
      </c>
      <c r="K10" s="247">
        <v>43.653798617393988</v>
      </c>
      <c r="L10" s="247">
        <v>45.637602004130088</v>
      </c>
      <c r="M10" s="247">
        <v>47.272647711128187</v>
      </c>
      <c r="N10" s="247">
        <v>45.89827789545167</v>
      </c>
      <c r="O10" s="247">
        <v>46.871330110655641</v>
      </c>
      <c r="P10" s="247">
        <v>45.928746437189169</v>
      </c>
      <c r="Q10" s="247">
        <v>46.097358198258931</v>
      </c>
      <c r="R10" s="247">
        <v>47.683228896709714</v>
      </c>
      <c r="S10" s="247">
        <v>45.943992190292008</v>
      </c>
      <c r="T10" s="247">
        <v>45.155479395825651</v>
      </c>
      <c r="U10" s="247">
        <v>44.744959491034628</v>
      </c>
      <c r="V10" s="247">
        <v>47.164607079454782</v>
      </c>
      <c r="W10" s="247"/>
      <c r="X10" s="244">
        <f>U10/T10-1</f>
        <v>-9.0912533823962471E-3</v>
      </c>
      <c r="Y10" s="244">
        <f>U10/Q10-1</f>
        <v>-2.9337878787062066E-2</v>
      </c>
    </row>
    <row r="11" spans="2:29" ht="13" customHeight="1">
      <c r="B11" s="110" t="str">
        <f>IF('Summary | Sumário'!D$6=Names!B$3,Names!V9,Names!W9)</f>
        <v>ARPAC net of cost of of funding (R$)</v>
      </c>
      <c r="C11" s="246">
        <v>28.068065362420551</v>
      </c>
      <c r="D11" s="246">
        <v>25.281336702420809</v>
      </c>
      <c r="E11" s="246">
        <v>30.465631062462688</v>
      </c>
      <c r="F11" s="246">
        <v>31.241092041703261</v>
      </c>
      <c r="G11" s="246">
        <v>33.117812815263498</v>
      </c>
      <c r="H11" s="246">
        <v>28.021111826481732</v>
      </c>
      <c r="I11" s="246">
        <v>27.758634276534909</v>
      </c>
      <c r="J11" s="246">
        <v>30.994658079423658</v>
      </c>
      <c r="K11" s="246">
        <v>33.616350581439335</v>
      </c>
      <c r="L11" s="246">
        <v>33.642889178916676</v>
      </c>
      <c r="M11" s="246">
        <v>32.228347203683377</v>
      </c>
      <c r="N11" s="246">
        <v>28.619330689169562</v>
      </c>
      <c r="O11" s="246">
        <v>30.603060803784444</v>
      </c>
      <c r="P11" s="246">
        <v>28.760728037016342</v>
      </c>
      <c r="Q11" s="246">
        <v>29.637117497266111</v>
      </c>
      <c r="R11" s="246">
        <v>30.545065184754449</v>
      </c>
      <c r="S11" s="246">
        <v>30.213529860070665</v>
      </c>
      <c r="T11" s="246">
        <v>30.129513192195212</v>
      </c>
      <c r="U11" s="246">
        <v>30.363132468161702</v>
      </c>
      <c r="V11" s="246">
        <v>32.48165399640795</v>
      </c>
      <c r="W11" s="247"/>
      <c r="X11" s="243">
        <f>U11/T11-1</f>
        <v>7.7538350678365564E-3</v>
      </c>
      <c r="Y11" s="243">
        <f>U11/Q11-1</f>
        <v>2.4496814542188883E-2</v>
      </c>
    </row>
    <row r="12" spans="2:29" ht="13" customHeight="1">
      <c r="B12" s="111" t="str">
        <f>IF('Summary | Sumário'!D$6=Names!B$3,Names!V10,Names!W10)</f>
        <v>ROAA (%)</v>
      </c>
      <c r="C12" s="244">
        <v>3.0137344267975844E-3</v>
      </c>
      <c r="D12" s="244">
        <v>2.03568129271206E-3</v>
      </c>
      <c r="E12" s="244">
        <v>-1.9476721466506826E-3</v>
      </c>
      <c r="F12" s="244">
        <v>-3.3937600244941883E-4</v>
      </c>
      <c r="G12" s="244">
        <v>8.16235850035049E-3</v>
      </c>
      <c r="H12" s="244">
        <v>-5.2092398426627066E-4</v>
      </c>
      <c r="I12" s="244">
        <v>-4.7150550114909654E-3</v>
      </c>
      <c r="J12" s="244">
        <v>4.2886875256527663E-3</v>
      </c>
      <c r="K12" s="244">
        <v>-6.3902394101949785E-3</v>
      </c>
      <c r="L12" s="244">
        <v>-3.0646390834829728E-3</v>
      </c>
      <c r="M12" s="244">
        <v>1.5614253156473533E-3</v>
      </c>
      <c r="N12" s="244">
        <v>-2.7927361117431526E-3</v>
      </c>
      <c r="O12" s="244">
        <v>2.5558476185419468E-3</v>
      </c>
      <c r="P12" s="244">
        <v>2.0599676786001273E-3</v>
      </c>
      <c r="Q12" s="244">
        <v>5.2543782997418655E-3</v>
      </c>
      <c r="R12" s="244">
        <v>7.9298705758538354E-3</v>
      </c>
      <c r="S12" s="244">
        <v>1.1068962794254815E-2</v>
      </c>
      <c r="T12" s="244">
        <v>1.2728179158428773E-2</v>
      </c>
      <c r="U12" s="244">
        <v>1.3816775320005487E-2</v>
      </c>
      <c r="V12" s="244">
        <v>1.5238036540363119E-2</v>
      </c>
      <c r="W12" s="244"/>
      <c r="X12" s="476">
        <f t="shared" ref="X12" si="2">(V12-U12)*100</f>
        <v>0.14212612203576314</v>
      </c>
      <c r="Y12" s="476">
        <f t="shared" ref="Y12" si="3">(V12-R12)*100</f>
        <v>0.73081659645092834</v>
      </c>
    </row>
    <row r="13" spans="2:29" ht="13" customHeight="1">
      <c r="B13" s="681" t="str">
        <f>IF('Summary | Sumário'!D$6=Names!B$3,Names!V14,Names!W14)</f>
        <v>ROAA (%) - Excluding Minorities</v>
      </c>
      <c r="C13" s="243">
        <v>2.7471235236059314E-3</v>
      </c>
      <c r="D13" s="243">
        <v>1.1941184516035179E-3</v>
      </c>
      <c r="E13" s="243">
        <v>-2.5699958866494247E-3</v>
      </c>
      <c r="F13" s="243">
        <v>-2.6732735194309059E-4</v>
      </c>
      <c r="G13" s="243">
        <v>7.0057115655239553E-3</v>
      </c>
      <c r="H13" s="243">
        <v>-1.6749245858386761E-3</v>
      </c>
      <c r="I13" s="243">
        <v>-1.8596935428399485E-3</v>
      </c>
      <c r="J13" s="243">
        <v>3.9317693632322985E-4</v>
      </c>
      <c r="K13" s="243">
        <v>-6.265184952183144E-3</v>
      </c>
      <c r="L13" s="243">
        <v>3.479068437803681E-4</v>
      </c>
      <c r="M13" s="243">
        <v>-1.6684691253949461E-3</v>
      </c>
      <c r="N13" s="243">
        <v>-2.8316831734554802E-3</v>
      </c>
      <c r="O13" s="243">
        <v>2.8594755615286151E-3</v>
      </c>
      <c r="P13" s="243">
        <v>9.7018216775827753E-4</v>
      </c>
      <c r="Q13" s="243">
        <v>3.9913034438573986E-3</v>
      </c>
      <c r="R13" s="243">
        <v>6.9500659050918522E-3</v>
      </c>
      <c r="S13" s="243">
        <v>1.0458298017924758E-2</v>
      </c>
      <c r="T13" s="243">
        <v>1.1917949251647734E-2</v>
      </c>
      <c r="U13" s="243">
        <v>1.281258288273571E-2</v>
      </c>
      <c r="V13" s="243">
        <v>1.4222176175477766E-2</v>
      </c>
      <c r="W13" s="244"/>
      <c r="X13" s="475">
        <f t="shared" ref="X13:X16" si="4">(V13-U13)*100</f>
        <v>0.14095932927420551</v>
      </c>
      <c r="Y13" s="475">
        <f t="shared" ref="Y13:Y16" si="5">(V13-R13)*100</f>
        <v>0.72721102703859131</v>
      </c>
    </row>
    <row r="14" spans="2:29" ht="13" customHeight="1">
      <c r="B14" s="111" t="str">
        <f>IF('Summary | Sumário'!D$6=Names!B$3,Names!V11,Names!W11)</f>
        <v>ROAE (%)</v>
      </c>
      <c r="C14" s="244">
        <v>1.4047424579243236E-2</v>
      </c>
      <c r="D14" s="244">
        <v>1.2450073360639399E-2</v>
      </c>
      <c r="E14" s="244">
        <v>-1.2761981543825627E-2</v>
      </c>
      <c r="F14" s="244">
        <v>-2.0618718812886847E-3</v>
      </c>
      <c r="G14" s="244">
        <v>4.6618851858342393E-2</v>
      </c>
      <c r="H14" s="244">
        <v>-3.2768173052661002E-3</v>
      </c>
      <c r="I14" s="244">
        <v>-2.0428791131351785E-2</v>
      </c>
      <c r="J14" s="244">
        <v>1.5947182749384788E-2</v>
      </c>
      <c r="K14" s="244">
        <v>-2.6477465454938745E-2</v>
      </c>
      <c r="L14" s="244">
        <v>-1.3721547930939392E-2</v>
      </c>
      <c r="M14" s="244">
        <v>8.0289028644101833E-3</v>
      </c>
      <c r="N14" s="244">
        <v>-1.6608156020408833E-2</v>
      </c>
      <c r="O14" s="244">
        <v>1.6199070395942601E-2</v>
      </c>
      <c r="P14" s="244">
        <v>1.3615002027547946E-2</v>
      </c>
      <c r="Q14" s="244">
        <v>3.5509163231094806E-2</v>
      </c>
      <c r="R14" s="244">
        <v>5.6740741194691365E-2</v>
      </c>
      <c r="S14" s="244">
        <v>8.537951387371448E-2</v>
      </c>
      <c r="T14" s="244">
        <v>9.6792442627862685E-2</v>
      </c>
      <c r="U14" s="244">
        <v>0.10388990595238404</v>
      </c>
      <c r="V14" s="244">
        <v>0.11902212094810076</v>
      </c>
      <c r="W14" s="244"/>
      <c r="X14" s="476">
        <f t="shared" si="4"/>
        <v>1.5132214995716722</v>
      </c>
      <c r="Y14" s="476">
        <f t="shared" si="5"/>
        <v>6.2281379753409398</v>
      </c>
    </row>
    <row r="15" spans="2:29" ht="13" customHeight="1">
      <c r="B15" s="681" t="str">
        <f>IF('Summary | Sumário'!D$6=Names!B$3,Names!V15,Names!W15)</f>
        <v>ROAE (%) - Excluding Minorities</v>
      </c>
      <c r="C15" s="243">
        <v>3.8772219130055775E-3</v>
      </c>
      <c r="D15" s="243">
        <v>6.529529890981896E-3</v>
      </c>
      <c r="E15" s="243">
        <v>-1.2343130409195763E-2</v>
      </c>
      <c r="F15" s="243">
        <v>-1.4273866050882752E-3</v>
      </c>
      <c r="G15" s="243">
        <v>4.117489042983373E-2</v>
      </c>
      <c r="H15" s="243">
        <v>-1.0695727159522619E-2</v>
      </c>
      <c r="I15" s="243">
        <v>-1.623743177526633E-2</v>
      </c>
      <c r="J15" s="243">
        <v>4.6564729195060989E-3</v>
      </c>
      <c r="K15" s="243">
        <v>-8.2575321316311887E-2</v>
      </c>
      <c r="L15" s="243">
        <v>4.9651364433768719E-3</v>
      </c>
      <c r="M15" s="243">
        <v>-1.3753518950570856E-2</v>
      </c>
      <c r="N15" s="243">
        <v>-1.7051854146924641E-2</v>
      </c>
      <c r="O15" s="243">
        <v>1.8372289052940301E-2</v>
      </c>
      <c r="P15" s="243">
        <v>6.506292220659432E-3</v>
      </c>
      <c r="Q15" s="243">
        <v>2.7395160479617629E-2</v>
      </c>
      <c r="R15" s="243">
        <v>5.0491675207795732E-2</v>
      </c>
      <c r="S15" s="243">
        <v>8.194362028479428E-2</v>
      </c>
      <c r="T15" s="243">
        <v>9.2178374248602021E-2</v>
      </c>
      <c r="U15" s="243">
        <v>9.8005597157780053E-2</v>
      </c>
      <c r="V15" s="243">
        <v>0.11307226329691265</v>
      </c>
      <c r="W15" s="244"/>
      <c r="X15" s="475">
        <f t="shared" si="4"/>
        <v>1.5066666139132601</v>
      </c>
      <c r="Y15" s="475">
        <f t="shared" si="5"/>
        <v>6.2580588089116933</v>
      </c>
    </row>
    <row r="16" spans="2:29" ht="13" customHeight="1">
      <c r="B16" s="27" t="str">
        <f>IF('Summary | Sumário'!D$6=Names!B$3,Names!V12,Names!W12)</f>
        <v>Cost of risk (%)</v>
      </c>
      <c r="C16" s="181">
        <f>'7.6. Cost of Risk'!C10</f>
        <v>2.9005395627358637E-2</v>
      </c>
      <c r="D16" s="181">
        <f>'7.6. Cost of Risk'!D10</f>
        <v>3.1500109268915409E-2</v>
      </c>
      <c r="E16" s="181">
        <f>'7.6. Cost of Risk'!E10</f>
        <v>4.5283541340645432E-2</v>
      </c>
      <c r="F16" s="181">
        <f>'7.6. Cost of Risk'!F10</f>
        <v>5.1511017082199802E-2</v>
      </c>
      <c r="G16" s="181">
        <f>'7.6. Cost of Risk'!G10</f>
        <v>5.5487760873199829E-2</v>
      </c>
      <c r="H16" s="181">
        <f>'7.6. Cost of Risk'!H10</f>
        <v>4.4634313670387712E-2</v>
      </c>
      <c r="I16" s="181">
        <f>'7.6. Cost of Risk'!I10</f>
        <v>5.8424647902114324E-2</v>
      </c>
      <c r="J16" s="181">
        <f>'7.6. Cost of Risk'!J10</f>
        <v>4.0064739961695038E-2</v>
      </c>
      <c r="K16" s="181">
        <f>'7.6. Cost of Risk'!K10</f>
        <v>4.5199656846193884E-2</v>
      </c>
      <c r="L16" s="181">
        <f>'7.6. Cost of Risk'!L10</f>
        <v>6.9469987637552258E-2</v>
      </c>
      <c r="M16" s="181">
        <f>'7.6. Cost of Risk'!M10</f>
        <v>5.052883253163383E-2</v>
      </c>
      <c r="N16" s="181">
        <f>'7.6. Cost of Risk'!N10</f>
        <v>5.0236830789062659E-2</v>
      </c>
      <c r="O16" s="181">
        <f>'7.6. Cost of Risk'!O10</f>
        <v>4.5464906141166862E-2</v>
      </c>
      <c r="P16" s="181">
        <f>'7.6. Cost of Risk'!P10</f>
        <v>5.6477997401058043E-2</v>
      </c>
      <c r="Q16" s="181">
        <f>'7.6. Cost of Risk'!Q10</f>
        <v>6.1787867829059713E-2</v>
      </c>
      <c r="R16" s="181">
        <f>'7.6. Cost of Risk'!R10</f>
        <v>5.8999999999999997E-2</v>
      </c>
      <c r="S16" s="181">
        <f>'7.6. Cost of Risk'!S10</f>
        <v>5.1882148962593862E-2</v>
      </c>
      <c r="T16" s="181">
        <f>'7.6. Cost of Risk'!T10</f>
        <v>5.2060667855093147E-2</v>
      </c>
      <c r="U16" s="181">
        <f>'7.6. Cost of Risk'!U10</f>
        <v>4.9691550016446435E-2</v>
      </c>
      <c r="V16" s="181">
        <f>'7.6. Cost of Risk'!V10</f>
        <v>5.1148832185524698E-2</v>
      </c>
      <c r="W16" s="181"/>
      <c r="X16" s="476">
        <f t="shared" si="4"/>
        <v>0.14572821690782625</v>
      </c>
      <c r="Y16" s="476">
        <f t="shared" si="5"/>
        <v>-0.78511678144752994</v>
      </c>
    </row>
    <row r="19" spans="7:25" ht="13" customHeight="1">
      <c r="V19" s="395"/>
      <c r="W19" s="395"/>
      <c r="X19" s="395"/>
      <c r="Y19" s="395"/>
    </row>
    <row r="23" spans="7:25" ht="13" customHeight="1">
      <c r="G23" s="395"/>
    </row>
  </sheetData>
  <sheetProtection algorithmName="SHA-512" hashValue="l6XmjXyutEb0vidIl1chrDlX2YXAGB5o+ZjYFzkwb1riodBlVCfIk0BkmkUwRvkVJIm2V1QmnziGrjmy1eTz3Q==" saltValue="xn5OraSSfgtyl9geXGHCQg==" spinCount="100000" sheet="1" formatCells="0" formatColumns="0" formatRows="0" insertColumns="0" insertRows="0" insertHyperlinks="0" deleteColumns="0" deleteRows="0" sort="0" autoFilter="0" pivotTables="0"/>
  <phoneticPr fontId="6" type="noConversion"/>
  <pageMargins left="0.511811024" right="0.511811024" top="0.78740157499999996" bottom="0.78740157499999996" header="0.31496062000000002" footer="0.31496062000000002"/>
  <pageSetup paperSize="9"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32387ac-e78b-4690-a915-72ca2ef0e251">
      <UserInfo>
        <DisplayName/>
        <AccountId xsi:nil="true"/>
        <AccountType/>
      </UserInfo>
    </SharedWithUsers>
    <lcf76f155ced4ddcb4097134ff3c332f xmlns="5d9f6fee-b6ef-4fa4-8eca-ab2ea167719e">
      <Terms xmlns="http://schemas.microsoft.com/office/infopath/2007/PartnerControls"/>
    </lcf76f155ced4ddcb4097134ff3c332f>
    <TaxCatchAll xmlns="732387ac-e78b-4690-a915-72ca2ef0e2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E818A26B56FC449FC3FC4B33B773FD" ma:contentTypeVersion="16" ma:contentTypeDescription="Create a new document." ma:contentTypeScope="" ma:versionID="df4f162508ec91738c646fc934dde22c">
  <xsd:schema xmlns:xsd="http://www.w3.org/2001/XMLSchema" xmlns:xs="http://www.w3.org/2001/XMLSchema" xmlns:p="http://schemas.microsoft.com/office/2006/metadata/properties" xmlns:ns2="5d9f6fee-b6ef-4fa4-8eca-ab2ea167719e" xmlns:ns3="732387ac-e78b-4690-a915-72ca2ef0e251" targetNamespace="http://schemas.microsoft.com/office/2006/metadata/properties" ma:root="true" ma:fieldsID="654138d876e56177fb2dbeaa804090c0" ns2:_="" ns3:_="">
    <xsd:import namespace="5d9f6fee-b6ef-4fa4-8eca-ab2ea167719e"/>
    <xsd:import namespace="732387ac-e78b-4690-a915-72ca2ef0e2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9f6fee-b6ef-4fa4-8eca-ab2ea16771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5be271f-47c9-4e56-9709-cda91bb8546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387ac-e78b-4690-a915-72ca2ef0e2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12c62a7-6304-4677-961b-98b31ee99232}" ma:internalName="TaxCatchAll" ma:showField="CatchAllData" ma:web="732387ac-e78b-4690-a915-72ca2ef0e2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3CD487-4B02-4B36-BF83-23F3D0CAFBF1}">
  <ds:schemaRefs>
    <ds:schemaRef ds:uri="http://schemas.microsoft.com/sharepoint/v3/contenttype/forms"/>
  </ds:schemaRefs>
</ds:datastoreItem>
</file>

<file path=customXml/itemProps2.xml><?xml version="1.0" encoding="utf-8"?>
<ds:datastoreItem xmlns:ds="http://schemas.openxmlformats.org/officeDocument/2006/customXml" ds:itemID="{A72DE5B4-D031-4212-9547-CB6B5BD9375B}">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732387ac-e78b-4690-a915-72ca2ef0e251"/>
    <ds:schemaRef ds:uri="5d9f6fee-b6ef-4fa4-8eca-ab2ea167719e"/>
    <ds:schemaRef ds:uri="http://www.w3.org/XML/1998/namespace"/>
  </ds:schemaRefs>
</ds:datastoreItem>
</file>

<file path=customXml/itemProps3.xml><?xml version="1.0" encoding="utf-8"?>
<ds:datastoreItem xmlns:ds="http://schemas.openxmlformats.org/officeDocument/2006/customXml" ds:itemID="{D9DE1419-6D7C-44AF-8CEC-89DEAFC1D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9f6fee-b6ef-4fa4-8eca-ab2ea167719e"/>
    <ds:schemaRef ds:uri="732387ac-e78b-4690-a915-72ca2ef0e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24</vt:i4>
      </vt:variant>
    </vt:vector>
  </HeadingPairs>
  <TitlesOfParts>
    <vt:vector size="24" baseType="lpstr">
      <vt:lpstr>Names</vt:lpstr>
      <vt:lpstr>Summary | Sumário</vt:lpstr>
      <vt:lpstr>1. Highlights</vt:lpstr>
      <vt:lpstr>2. BS | BP</vt:lpstr>
      <vt:lpstr>3. IS | DRE</vt:lpstr>
      <vt:lpstr>4. Credit | Crédito</vt:lpstr>
      <vt:lpstr>5. Funding</vt:lpstr>
      <vt:lpstr>6. Fee Revenue | R. de Serviços</vt:lpstr>
      <vt:lpstr>7. Financial KPIs (Financeiros)</vt:lpstr>
      <vt:lpstr>7.1. Tier I Ratio | Basileia</vt:lpstr>
      <vt:lpstr>7.2. NIMs</vt:lpstr>
      <vt:lpstr>7.3. Efficiency | Eficiência</vt:lpstr>
      <vt:lpstr>7.4. CTS | Custo de servir</vt:lpstr>
      <vt:lpstr>7.5. ARPAC</vt:lpstr>
      <vt:lpstr>7.6. Cost of Risk</vt:lpstr>
      <vt:lpstr>1. Inter Invest</vt:lpstr>
      <vt:lpstr>2. Inter Seguros</vt:lpstr>
      <vt:lpstr>3. Inter Shop</vt:lpstr>
      <vt:lpstr>4. Digital Acou. | Conta Dig.</vt:lpstr>
      <vt:lpstr>5. Oper. KPIs | KPIs Oper.</vt:lpstr>
      <vt:lpstr>1. Market Data | Dado de Mer.</vt:lpstr>
      <vt:lpstr>2. Simulation | Simulação</vt:lpstr>
      <vt:lpstr>3. Disclaimer</vt:lpstr>
      <vt:lpstr>4. Glossary | Glossário</vt:lpstr>
    </vt:vector>
  </TitlesOfParts>
  <Manager/>
  <Company>Inter&amp;Co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Inter&amp;Co - Historical Data</dc:title>
  <dc:subject/>
  <dc:creator>Fernand Marinho Fernandes</dc:creator>
  <cp:keywords/>
  <dc:description/>
  <cp:lastModifiedBy>Fernando Marinho Fernandes</cp:lastModifiedBy>
  <cp:revision/>
  <dcterms:created xsi:type="dcterms:W3CDTF">2016-08-05T17:50:49Z</dcterms:created>
  <dcterms:modified xsi:type="dcterms:W3CDTF">2024-11-14T10:34:22Z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24d9c5-38c1-495b-ab07-d4fc08626d86_Enabled">
    <vt:lpwstr>true</vt:lpwstr>
  </property>
  <property fmtid="{D5CDD505-2E9C-101B-9397-08002B2CF9AE}" pid="3" name="MSIP_Label_5d24d9c5-38c1-495b-ab07-d4fc08626d86_SetDate">
    <vt:lpwstr>2022-02-22T04:35:44Z</vt:lpwstr>
  </property>
  <property fmtid="{D5CDD505-2E9C-101B-9397-08002B2CF9AE}" pid="4" name="MSIP_Label_5d24d9c5-38c1-495b-ab07-d4fc08626d86_Method">
    <vt:lpwstr>Privileged</vt:lpwstr>
  </property>
  <property fmtid="{D5CDD505-2E9C-101B-9397-08002B2CF9AE}" pid="5" name="MSIP_Label_5d24d9c5-38c1-495b-ab07-d4fc08626d86_Name">
    <vt:lpwstr>Público</vt:lpwstr>
  </property>
  <property fmtid="{D5CDD505-2E9C-101B-9397-08002B2CF9AE}" pid="6" name="MSIP_Label_5d24d9c5-38c1-495b-ab07-d4fc08626d86_SiteId">
    <vt:lpwstr>05e665c9-c502-4a19-98a5-a913a6f52be8</vt:lpwstr>
  </property>
  <property fmtid="{D5CDD505-2E9C-101B-9397-08002B2CF9AE}" pid="7" name="MSIP_Label_5d24d9c5-38c1-495b-ab07-d4fc08626d86_ActionId">
    <vt:lpwstr>5a590cc8-4202-46c6-9f11-08b8c9841dbb</vt:lpwstr>
  </property>
  <property fmtid="{D5CDD505-2E9C-101B-9397-08002B2CF9AE}" pid="8" name="MSIP_Label_5d24d9c5-38c1-495b-ab07-d4fc08626d86_ContentBits">
    <vt:lpwstr>0</vt:lpwstr>
  </property>
  <property fmtid="{D5CDD505-2E9C-101B-9397-08002B2CF9AE}" pid="9" name="ContentTypeId">
    <vt:lpwstr>0x0101003BE818A26B56FC449FC3FC4B33B773FD</vt:lpwstr>
  </property>
  <property fmtid="{D5CDD505-2E9C-101B-9397-08002B2CF9AE}" pid="10" name="Order">
    <vt:i4>174300</vt:i4>
  </property>
  <property fmtid="{D5CDD505-2E9C-101B-9397-08002B2CF9AE}" pid="11" name="SharedWithUsers">
    <vt:lpwstr>149;#Clara Andrade Santi;#18;#Felipe Lobo Rezende;#1109;#Pedro Henrique Leite Bontempo</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_activity">
    <vt:lpwstr>{"FileActivityType":"9","FileActivityTimeStamp":"2022-11-08T17:41:21.233Z","FileActivityUsersOnPage":[{"DisplayName":"Maria Clara Loschi Ferreira","Id":"bi001615@bancointer.com.br"},{"DisplayName":"Pedro Henrique Leite Bontempo","Id":"bi005720@bancointer.com.br"}]}</vt:lpwstr>
  </property>
  <property fmtid="{D5CDD505-2E9C-101B-9397-08002B2CF9AE}" pid="16" name="_ExtendedDescription">
    <vt:lpwstr/>
  </property>
  <property fmtid="{D5CDD505-2E9C-101B-9397-08002B2CF9AE}" pid="17" name="TriggerFlowInfo">
    <vt:lpwstr/>
  </property>
  <property fmtid="{D5CDD505-2E9C-101B-9397-08002B2CF9AE}" pid="18" name="xd_ProgID">
    <vt:lpwstr/>
  </property>
  <property fmtid="{D5CDD505-2E9C-101B-9397-08002B2CF9AE}" pid="19" name="TemplateUrl">
    <vt:lpwstr/>
  </property>
  <property fmtid="{D5CDD505-2E9C-101B-9397-08002B2CF9AE}" pid="20" name="xd_Signature">
    <vt:bool>false</vt:bool>
  </property>
  <property fmtid="{D5CDD505-2E9C-101B-9397-08002B2CF9AE}" pid="21" name="MediaServiceImageTags">
    <vt:lpwstr/>
  </property>
</Properties>
</file>