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mc:AlternateContent xmlns:mc="http://schemas.openxmlformats.org/markup-compatibility/2006">
    <mc:Choice Requires="x15">
      <x15ac:absPath xmlns:x15ac="http://schemas.microsoft.com/office/spreadsheetml/2010/11/ac" url="https://intermediumsa.sharepoint.com/sites/TimeRI855/Documentos Compartilhados/General/Inter&amp;Co IR Base/Séries Históricas/1. Website Version/2Q24/"/>
    </mc:Choice>
  </mc:AlternateContent>
  <xr:revisionPtr revIDLastSave="10746" documentId="8_{384940E5-FA30-704D-B26D-C0008B6E3CE8}" xr6:coauthVersionLast="47" xr6:coauthVersionMax="47" xr10:uidLastSave="{029A3343-BC03-8A43-AF3F-A32C54CC8C01}"/>
  <bookViews>
    <workbookView xWindow="0" yWindow="500" windowWidth="38400" windowHeight="1828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Credit | Crédito" sheetId="19" r:id="rId6"/>
    <sheet name="5. Funding" sheetId="41" r:id="rId7"/>
    <sheet name="6. Fee Revenue | R. de Serviços" sheetId="35" r:id="rId8"/>
    <sheet name="7. Financial KPIs (Financeiros)" sheetId="28" r:id="rId9"/>
    <sheet name="7.1. Tier I Ratio | Basileia" sheetId="42" r:id="rId10"/>
    <sheet name="7.2. NIMs" sheetId="36" r:id="rId11"/>
    <sheet name="7.3. Efficiency | Eficiência" sheetId="37" r:id="rId12"/>
    <sheet name="7.4. CTS | Custo de servir" sheetId="38" r:id="rId13"/>
    <sheet name="7.5. ARPAC" sheetId="39" r:id="rId14"/>
    <sheet name="7.6. Cost of Risk" sheetId="51" r:id="rId15"/>
    <sheet name="1. Inter Invest" sheetId="31" r:id="rId16"/>
    <sheet name="2. Inter Seguros" sheetId="30" r:id="rId17"/>
    <sheet name="3. Inter Shop" sheetId="29" r:id="rId18"/>
    <sheet name="4. Digital Acou. | Conta Dig." sheetId="32" r:id="rId19"/>
    <sheet name="5. Oper. KPIs | KPIs Oper." sheetId="23" r:id="rId20"/>
    <sheet name="1. Market Data | Dado de Mer." sheetId="54" r:id="rId21"/>
    <sheet name="2. Simulation | Simulação" sheetId="52" r:id="rId22"/>
    <sheet name="3. Disclaimer" sheetId="46" r:id="rId23"/>
    <sheet name="4. Glossary | Glossário" sheetId="44" r:id="rId24"/>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3" l="1"/>
  <c r="C23" i="54"/>
  <c r="D23" i="54"/>
  <c r="E23" i="54"/>
  <c r="F23" i="54"/>
  <c r="G23" i="54"/>
  <c r="H23" i="54"/>
  <c r="I23" i="54"/>
  <c r="J23" i="54"/>
  <c r="K23" i="54"/>
  <c r="L23" i="54"/>
  <c r="M23" i="54"/>
  <c r="N23" i="54"/>
  <c r="O23" i="54"/>
  <c r="P23" i="54"/>
  <c r="B27" i="54" l="1"/>
  <c r="B26" i="54"/>
  <c r="S15" i="54"/>
  <c r="S14" i="54"/>
  <c r="R15" i="54"/>
  <c r="R14" i="54"/>
  <c r="D13" i="54"/>
  <c r="E13" i="54"/>
  <c r="F13" i="54"/>
  <c r="G13" i="54"/>
  <c r="H13" i="54"/>
  <c r="I13" i="54"/>
  <c r="J13" i="54"/>
  <c r="K13" i="54"/>
  <c r="L13" i="54"/>
  <c r="M13" i="54"/>
  <c r="N13" i="54"/>
  <c r="O13" i="54"/>
  <c r="C13" i="54"/>
  <c r="S23" i="54" l="1"/>
  <c r="R23" i="54"/>
  <c r="S22" i="54"/>
  <c r="R22" i="54"/>
  <c r="S21" i="54"/>
  <c r="R21" i="54"/>
  <c r="S20" i="54"/>
  <c r="R20" i="54"/>
  <c r="S19" i="54"/>
  <c r="R19" i="54"/>
  <c r="S18" i="54"/>
  <c r="R18" i="54"/>
  <c r="S11" i="54"/>
  <c r="R11" i="54"/>
  <c r="S10" i="54"/>
  <c r="R10" i="54"/>
  <c r="S6" i="54"/>
  <c r="R6" i="54"/>
  <c r="S5" i="54"/>
  <c r="R5" i="54"/>
  <c r="U4" i="54"/>
  <c r="U5" i="54"/>
  <c r="U6" i="54"/>
  <c r="U9" i="54"/>
  <c r="U13" i="54"/>
  <c r="U18" i="54"/>
  <c r="U19" i="54"/>
  <c r="U20" i="54"/>
  <c r="U21" i="54"/>
  <c r="U22" i="54"/>
  <c r="B23" i="54" l="1"/>
  <c r="B22" i="54"/>
  <c r="B21" i="54"/>
  <c r="B20" i="54"/>
  <c r="B19" i="54"/>
  <c r="B18" i="54"/>
  <c r="B17" i="54"/>
  <c r="B15" i="54"/>
  <c r="B14" i="54"/>
  <c r="B13" i="54"/>
  <c r="B11" i="54"/>
  <c r="B10" i="54"/>
  <c r="B9" i="54"/>
  <c r="B8" i="54"/>
  <c r="B6" i="54"/>
  <c r="B5" i="54"/>
  <c r="B4" i="54"/>
  <c r="B2" i="54"/>
  <c r="S2" i="54" l="1"/>
  <c r="R2" i="54"/>
  <c r="U2" i="23"/>
  <c r="T2" i="23"/>
  <c r="U2" i="32"/>
  <c r="T2" i="32"/>
  <c r="T2" i="29"/>
  <c r="S2" i="29"/>
  <c r="U2" i="30"/>
  <c r="T2" i="30"/>
  <c r="U2" i="31"/>
  <c r="T2" i="31"/>
  <c r="X2" i="51"/>
  <c r="W2" i="51"/>
  <c r="X2" i="39"/>
  <c r="W2" i="39"/>
  <c r="X2" i="38"/>
  <c r="W2" i="38"/>
  <c r="X2" i="37"/>
  <c r="W2" i="37"/>
  <c r="X2" i="36"/>
  <c r="W2" i="36"/>
  <c r="X21" i="42"/>
  <c r="W21" i="42"/>
  <c r="X20" i="42"/>
  <c r="W20" i="42"/>
  <c r="X19" i="42"/>
  <c r="W19" i="42"/>
  <c r="X18" i="42"/>
  <c r="W18" i="42"/>
  <c r="X17" i="42"/>
  <c r="W17" i="42"/>
  <c r="X15" i="42"/>
  <c r="W15" i="42"/>
  <c r="X14" i="42"/>
  <c r="W14" i="42"/>
  <c r="X13" i="42"/>
  <c r="W13" i="42"/>
  <c r="X11" i="42"/>
  <c r="W11" i="42"/>
  <c r="X10" i="42"/>
  <c r="W10" i="42"/>
  <c r="X9" i="42"/>
  <c r="W9" i="42"/>
  <c r="X8" i="42"/>
  <c r="W8" i="42"/>
  <c r="X7" i="42"/>
  <c r="W7" i="42"/>
  <c r="X6" i="42"/>
  <c r="W6" i="42"/>
  <c r="X5" i="42"/>
  <c r="W5" i="42"/>
  <c r="X2" i="42"/>
  <c r="W2" i="42"/>
  <c r="X2" i="28"/>
  <c r="W2" i="28"/>
  <c r="X2" i="35"/>
  <c r="W2" i="35"/>
  <c r="X2" i="41"/>
  <c r="W2" i="41"/>
  <c r="X2" i="18"/>
  <c r="U2" i="19"/>
  <c r="T2" i="19"/>
  <c r="X2" i="20"/>
  <c r="W2" i="18"/>
  <c r="W2" i="20"/>
  <c r="M2" i="48"/>
  <c r="N2" i="48"/>
  <c r="P2" i="54"/>
  <c r="O2" i="54"/>
  <c r="N2" i="54"/>
  <c r="M2" i="54"/>
  <c r="L2" i="54"/>
  <c r="K2" i="54"/>
  <c r="J2" i="54"/>
  <c r="I2" i="54"/>
  <c r="H2" i="54"/>
  <c r="G2" i="54"/>
  <c r="F2" i="54"/>
  <c r="E2" i="54"/>
  <c r="D2" i="54"/>
  <c r="C2" i="54"/>
  <c r="B37" i="48" l="1"/>
  <c r="B35" i="48"/>
  <c r="U5" i="28"/>
  <c r="K21" i="48"/>
  <c r="I22" i="52"/>
  <c r="Q9" i="52"/>
  <c r="P9" i="52"/>
  <c r="O9" i="52"/>
  <c r="N9" i="52"/>
  <c r="M9" i="52"/>
  <c r="L9" i="52"/>
  <c r="K9" i="52"/>
  <c r="J9" i="52"/>
  <c r="R2" i="23"/>
  <c r="R2" i="32"/>
  <c r="Q2" i="29"/>
  <c r="R2" i="30" l="1"/>
  <c r="R2" i="31"/>
  <c r="U2" i="51"/>
  <c r="U2" i="39"/>
  <c r="U2" i="38"/>
  <c r="U2" i="37"/>
  <c r="U2" i="36"/>
  <c r="U2" i="42"/>
  <c r="T5" i="28"/>
  <c r="W5" i="28" s="1"/>
  <c r="S5" i="28"/>
  <c r="U2" i="28"/>
  <c r="U2" i="35"/>
  <c r="U2" i="41"/>
  <c r="U2" i="18"/>
  <c r="T2" i="18"/>
  <c r="S2" i="18"/>
  <c r="U2" i="20"/>
  <c r="B2" i="48"/>
  <c r="K2" i="48"/>
  <c r="R2" i="19" l="1"/>
  <c r="T2" i="39"/>
  <c r="J21" i="48"/>
  <c r="M21" i="48" s="1"/>
  <c r="B9" i="35"/>
  <c r="B7" i="35"/>
  <c r="B6" i="35"/>
  <c r="P32" i="52"/>
  <c r="C5" i="52"/>
  <c r="C3" i="52"/>
  <c r="Q2" i="23"/>
  <c r="Q2" i="32"/>
  <c r="P2" i="29"/>
  <c r="Q2" i="30"/>
  <c r="Q2" i="31"/>
  <c r="T2" i="51"/>
  <c r="U17" i="51" s="1"/>
  <c r="T2" i="38"/>
  <c r="T2" i="37"/>
  <c r="T2" i="36"/>
  <c r="T2" i="42"/>
  <c r="T2" i="28"/>
  <c r="T2" i="35"/>
  <c r="T2" i="41"/>
  <c r="Q2" i="19"/>
  <c r="T2" i="20"/>
  <c r="J2" i="48"/>
  <c r="R14" i="28"/>
  <c r="W9" i="35" l="1"/>
  <c r="W6" i="35"/>
  <c r="W7" i="35"/>
  <c r="B56" i="36" l="1"/>
  <c r="B55" i="36"/>
  <c r="B54" i="36"/>
  <c r="B53" i="36"/>
  <c r="B52" i="36"/>
  <c r="B51" i="36"/>
  <c r="B50" i="36"/>
  <c r="B49" i="36"/>
  <c r="B48" i="36"/>
  <c r="B47" i="36"/>
  <c r="B46" i="36"/>
  <c r="B45" i="36"/>
  <c r="B44" i="36"/>
  <c r="B43" i="36"/>
  <c r="B41" i="36"/>
  <c r="B40" i="36"/>
  <c r="B39" i="36"/>
  <c r="T53" i="36" s="1"/>
  <c r="B38" i="36"/>
  <c r="B37" i="36"/>
  <c r="B36" i="36"/>
  <c r="B35" i="36"/>
  <c r="B34" i="36"/>
  <c r="B33" i="36"/>
  <c r="B32" i="36"/>
  <c r="B31" i="36"/>
  <c r="B30" i="36"/>
  <c r="B102" i="19"/>
  <c r="B101" i="19"/>
  <c r="B100" i="19"/>
  <c r="I21" i="48"/>
  <c r="O32" i="52"/>
  <c r="E9" i="52"/>
  <c r="P2" i="23"/>
  <c r="T55" i="36" l="1"/>
  <c r="T50" i="36"/>
  <c r="T51" i="36"/>
  <c r="P2" i="32"/>
  <c r="O2" i="29"/>
  <c r="P2" i="30"/>
  <c r="P2" i="31"/>
  <c r="G2" i="51"/>
  <c r="S2" i="51"/>
  <c r="G2" i="39"/>
  <c r="S2" i="39"/>
  <c r="G2" i="38"/>
  <c r="S2" i="38"/>
  <c r="G2" i="37"/>
  <c r="S2" i="37"/>
  <c r="G2" i="36"/>
  <c r="S2" i="36"/>
  <c r="S2" i="42"/>
  <c r="G2" i="42"/>
  <c r="G21" i="42"/>
  <c r="G20" i="42"/>
  <c r="G19" i="42"/>
  <c r="G18" i="42"/>
  <c r="G17" i="42"/>
  <c r="G15" i="42"/>
  <c r="G14" i="42"/>
  <c r="G13" i="42"/>
  <c r="G11" i="42"/>
  <c r="G10" i="42"/>
  <c r="G9" i="42"/>
  <c r="G8" i="42"/>
  <c r="G7" i="42"/>
  <c r="G6" i="42"/>
  <c r="G5" i="42"/>
  <c r="G5" i="28"/>
  <c r="G2" i="28"/>
  <c r="S2" i="28"/>
  <c r="B31" i="35"/>
  <c r="G2" i="35"/>
  <c r="S2" i="35"/>
  <c r="G2" i="41"/>
  <c r="S2" i="41"/>
  <c r="G2" i="18"/>
  <c r="G2" i="20"/>
  <c r="F2" i="20"/>
  <c r="S2" i="20"/>
  <c r="I2" i="48"/>
  <c r="U51" i="36" l="1"/>
  <c r="W38" i="36"/>
  <c r="W34" i="36"/>
  <c r="U50" i="36"/>
  <c r="W37" i="36"/>
  <c r="W47" i="36"/>
  <c r="U55" i="36"/>
  <c r="W40" i="36"/>
  <c r="T101" i="19"/>
  <c r="T36" i="36"/>
  <c r="G16" i="51"/>
  <c r="T17" i="51"/>
  <c r="G51" i="36"/>
  <c r="G53" i="36"/>
  <c r="S51" i="36"/>
  <c r="S53" i="36"/>
  <c r="G55" i="36"/>
  <c r="S55" i="36"/>
  <c r="P2" i="19"/>
  <c r="C18" i="52"/>
  <c r="C13" i="52"/>
  <c r="W50" i="36" l="1"/>
  <c r="T15" i="51"/>
  <c r="W17" i="51"/>
  <c r="W55" i="36"/>
  <c r="W51" i="36"/>
  <c r="S36" i="36"/>
  <c r="T35" i="36" s="1"/>
  <c r="S50" i="36"/>
  <c r="G36" i="36"/>
  <c r="G50" i="36"/>
  <c r="R5" i="28"/>
  <c r="Q5" i="28"/>
  <c r="X5" i="28" s="1"/>
  <c r="E5" i="28"/>
  <c r="F5" i="28"/>
  <c r="B33" i="35"/>
  <c r="B17" i="41"/>
  <c r="B23" i="41"/>
  <c r="B25" i="41"/>
  <c r="B25" i="48"/>
  <c r="B90" i="19" l="1"/>
  <c r="B76" i="19"/>
  <c r="B9" i="30" l="1"/>
  <c r="B74" i="19" l="1"/>
  <c r="B98" i="19"/>
  <c r="H21" i="48"/>
  <c r="D75" i="19"/>
  <c r="E75" i="19"/>
  <c r="F75" i="19"/>
  <c r="G75" i="19"/>
  <c r="H75" i="19"/>
  <c r="C75" i="19"/>
  <c r="B69" i="19"/>
  <c r="B77" i="19"/>
  <c r="B75" i="19"/>
  <c r="B73" i="19"/>
  <c r="B72" i="19"/>
  <c r="B71" i="19"/>
  <c r="B70" i="19"/>
  <c r="B68" i="19"/>
  <c r="B88" i="19"/>
  <c r="B10" i="51"/>
  <c r="B9" i="51"/>
  <c r="B8" i="51"/>
  <c r="B7" i="51"/>
  <c r="B6" i="51"/>
  <c r="B5" i="51"/>
  <c r="B4" i="51"/>
  <c r="B49" i="19"/>
  <c r="B50" i="19"/>
  <c r="B51" i="19"/>
  <c r="B52" i="19"/>
  <c r="B53" i="19"/>
  <c r="B56" i="19"/>
  <c r="B57" i="19"/>
  <c r="B58" i="19"/>
  <c r="B97" i="19"/>
  <c r="B96" i="19"/>
  <c r="B95" i="19"/>
  <c r="B94" i="19"/>
  <c r="B93" i="19"/>
  <c r="B92" i="19"/>
  <c r="B89" i="19"/>
  <c r="B87" i="19"/>
  <c r="B86" i="19"/>
  <c r="B85" i="19"/>
  <c r="B84" i="19"/>
  <c r="B83" i="19"/>
  <c r="B82" i="19"/>
  <c r="B81" i="19"/>
  <c r="B80" i="19"/>
  <c r="B79" i="19"/>
  <c r="B64" i="19"/>
  <c r="B65" i="19"/>
  <c r="B61" i="19"/>
  <c r="B62" i="19"/>
  <c r="B63" i="19"/>
  <c r="B59" i="19"/>
  <c r="B60" i="19"/>
  <c r="B54" i="19"/>
  <c r="B55" i="19"/>
  <c r="T9" i="30" l="1"/>
  <c r="P83" i="19"/>
  <c r="Q83" i="19"/>
  <c r="P86" i="19"/>
  <c r="Q86" i="19"/>
  <c r="O2" i="23"/>
  <c r="O2" i="32"/>
  <c r="N2" i="29"/>
  <c r="O2" i="30"/>
  <c r="O2" i="31"/>
  <c r="R2" i="51"/>
  <c r="S17" i="51" s="1"/>
  <c r="S15" i="51" s="1"/>
  <c r="R2" i="39"/>
  <c r="R2" i="38"/>
  <c r="R2" i="37"/>
  <c r="R2" i="36"/>
  <c r="R2" i="42"/>
  <c r="R2" i="28"/>
  <c r="R2" i="35"/>
  <c r="B36" i="41"/>
  <c r="B27" i="41"/>
  <c r="B24" i="41"/>
  <c r="B22" i="41"/>
  <c r="B21" i="41"/>
  <c r="B20" i="41"/>
  <c r="B19" i="41"/>
  <c r="T18" i="41" s="1"/>
  <c r="B18" i="41"/>
  <c r="T58" i="19" l="1"/>
  <c r="R86" i="19"/>
  <c r="T64" i="19"/>
  <c r="T57" i="19"/>
  <c r="T60" i="19"/>
  <c r="T49" i="19"/>
  <c r="T62" i="19"/>
  <c r="T53" i="19"/>
  <c r="T56" i="19"/>
  <c r="T51" i="19"/>
  <c r="T52" i="19"/>
  <c r="R83" i="19"/>
  <c r="T63" i="19"/>
  <c r="T50" i="19"/>
  <c r="T61" i="19"/>
  <c r="S18" i="41"/>
  <c r="G18" i="41" s="1"/>
  <c r="R51" i="36"/>
  <c r="R53" i="36"/>
  <c r="R55" i="36"/>
  <c r="B9" i="41"/>
  <c r="B14" i="41"/>
  <c r="B13" i="41"/>
  <c r="B12" i="41"/>
  <c r="B11" i="41"/>
  <c r="B10" i="41"/>
  <c r="B15" i="41"/>
  <c r="B8" i="41"/>
  <c r="B7" i="41"/>
  <c r="B6" i="41"/>
  <c r="B5" i="41"/>
  <c r="B4" i="41"/>
  <c r="B46" i="41"/>
  <c r="T83" i="19" l="1"/>
  <c r="U11" i="41"/>
  <c r="T86" i="19"/>
  <c r="G8" i="41"/>
  <c r="W8" i="41"/>
  <c r="G5" i="41"/>
  <c r="G6" i="41"/>
  <c r="W6" i="41"/>
  <c r="G9" i="41"/>
  <c r="W9" i="41"/>
  <c r="G12" i="41"/>
  <c r="W12" i="41"/>
  <c r="G13" i="41"/>
  <c r="W13" i="41"/>
  <c r="G14" i="41"/>
  <c r="W14" i="41"/>
  <c r="G7" i="41"/>
  <c r="W7" i="41"/>
  <c r="G10" i="41"/>
  <c r="W10" i="41"/>
  <c r="R36" i="36"/>
  <c r="R50" i="36"/>
  <c r="R2" i="41"/>
  <c r="O2" i="19"/>
  <c r="R2" i="18"/>
  <c r="S11" i="41" l="1"/>
  <c r="G11" i="41" s="1"/>
  <c r="T11" i="41"/>
  <c r="T15" i="41" s="1"/>
  <c r="S35" i="36"/>
  <c r="R18" i="41"/>
  <c r="O83" i="19"/>
  <c r="O86" i="19"/>
  <c r="S15" i="41" l="1"/>
  <c r="N40" i="52" s="1"/>
  <c r="W11" i="41"/>
  <c r="U22" i="41"/>
  <c r="O40" i="52"/>
  <c r="J19" i="48"/>
  <c r="T21" i="41"/>
  <c r="I19" i="48"/>
  <c r="T22" i="41"/>
  <c r="S21" i="41"/>
  <c r="G15" i="41"/>
  <c r="G21" i="41" s="1"/>
  <c r="R11" i="41"/>
  <c r="R15" i="41" s="1"/>
  <c r="R2" i="20"/>
  <c r="H2" i="48"/>
  <c r="B28" i="37"/>
  <c r="B26" i="37"/>
  <c r="B27" i="37"/>
  <c r="W22" i="41" l="1"/>
  <c r="T20" i="41"/>
  <c r="T23" i="41" s="1"/>
  <c r="H19" i="48"/>
  <c r="M40" i="52"/>
  <c r="S22" i="41"/>
  <c r="S20" i="41" s="1"/>
  <c r="S23" i="41" s="1"/>
  <c r="R21" i="41"/>
  <c r="B13" i="48"/>
  <c r="B40" i="48" l="1"/>
  <c r="B39" i="48"/>
  <c r="B38" i="48"/>
  <c r="B36" i="48"/>
  <c r="B34" i="48"/>
  <c r="B33" i="48"/>
  <c r="B31" i="48"/>
  <c r="B30" i="48"/>
  <c r="B29" i="48"/>
  <c r="B28" i="48"/>
  <c r="B26" i="48"/>
  <c r="B24" i="48"/>
  <c r="B23" i="48"/>
  <c r="B21" i="48"/>
  <c r="B20" i="48"/>
  <c r="B19" i="48"/>
  <c r="B18" i="48"/>
  <c r="B17" i="48"/>
  <c r="B15" i="48"/>
  <c r="B14" i="48"/>
  <c r="B12" i="48"/>
  <c r="B11" i="48"/>
  <c r="B9" i="48"/>
  <c r="B8" i="48"/>
  <c r="B7" i="48"/>
  <c r="B6" i="48"/>
  <c r="B5" i="48"/>
  <c r="B4" i="48"/>
  <c r="G2" i="48"/>
  <c r="F2" i="48"/>
  <c r="E2" i="48"/>
  <c r="D2" i="48"/>
  <c r="C2" i="48"/>
  <c r="B32" i="37" l="1"/>
  <c r="B33" i="37"/>
  <c r="B34" i="37"/>
  <c r="B29" i="37"/>
  <c r="B30" i="37"/>
  <c r="B31" i="37"/>
  <c r="B25" i="37"/>
  <c r="B23" i="37"/>
  <c r="B17" i="37"/>
  <c r="B18" i="37"/>
  <c r="B19" i="37"/>
  <c r="B20" i="37"/>
  <c r="B21" i="37"/>
  <c r="B22" i="37"/>
  <c r="B16" i="37"/>
  <c r="K18" i="13" l="1"/>
  <c r="I35" i="52" l="1"/>
  <c r="D9" i="52" l="1"/>
  <c r="B13" i="38"/>
  <c r="B10" i="37"/>
  <c r="C47" i="52"/>
  <c r="V9" i="52"/>
  <c r="V32" i="52" s="1"/>
  <c r="U9" i="52"/>
  <c r="U32" i="52" s="1"/>
  <c r="T9" i="52"/>
  <c r="T32" i="52" s="1"/>
  <c r="S9" i="52"/>
  <c r="S32" i="52" s="1"/>
  <c r="S8" i="52"/>
  <c r="S31" i="52" s="1"/>
  <c r="I33" i="52"/>
  <c r="I34" i="52"/>
  <c r="I36" i="52"/>
  <c r="I37" i="52"/>
  <c r="I39" i="52"/>
  <c r="I40" i="52"/>
  <c r="I41" i="52"/>
  <c r="I42" i="52"/>
  <c r="I43" i="52"/>
  <c r="I32" i="52"/>
  <c r="I12" i="52"/>
  <c r="I14" i="52"/>
  <c r="I15" i="52"/>
  <c r="I17" i="52"/>
  <c r="I18" i="52"/>
  <c r="I20" i="52"/>
  <c r="I21" i="52"/>
  <c r="I23" i="52"/>
  <c r="I25" i="52"/>
  <c r="I26" i="52"/>
  <c r="I10" i="52"/>
  <c r="I11" i="52"/>
  <c r="I9" i="52"/>
  <c r="E24" i="52"/>
  <c r="D24" i="52"/>
  <c r="C24" i="52"/>
  <c r="C25" i="52"/>
  <c r="C26" i="52"/>
  <c r="C27" i="52"/>
  <c r="C9" i="52"/>
  <c r="C10" i="52"/>
  <c r="C11" i="52"/>
  <c r="C12" i="52"/>
  <c r="C14" i="52"/>
  <c r="C15" i="52"/>
  <c r="C16" i="52"/>
  <c r="C17" i="52"/>
  <c r="C19" i="52"/>
  <c r="J32" i="52"/>
  <c r="Q32" i="52"/>
  <c r="N32" i="52"/>
  <c r="M32" i="52"/>
  <c r="L32" i="52"/>
  <c r="K32" i="52"/>
  <c r="H10" i="13"/>
  <c r="K28" i="13"/>
  <c r="K30" i="13"/>
  <c r="K26" i="13"/>
  <c r="BI2" i="40"/>
  <c r="BI1" i="40"/>
  <c r="BG1" i="40"/>
  <c r="BG2" i="40" s="1"/>
  <c r="C21" i="48"/>
  <c r="D21" i="48"/>
  <c r="E21" i="48"/>
  <c r="F21" i="48"/>
  <c r="G21" i="48"/>
  <c r="N21" i="48" s="1"/>
  <c r="B26" i="39" l="1"/>
  <c r="B12" i="39"/>
  <c r="T26" i="39" l="1"/>
  <c r="G26" i="39"/>
  <c r="S26" i="39"/>
  <c r="R26" i="39"/>
  <c r="B20" i="51"/>
  <c r="B45" i="19"/>
  <c r="U26" i="39" l="1"/>
  <c r="W12" i="39"/>
  <c r="P89" i="19"/>
  <c r="Q89" i="19"/>
  <c r="O89" i="19"/>
  <c r="H34" i="13"/>
  <c r="B18" i="51"/>
  <c r="B17" i="51"/>
  <c r="B16" i="51"/>
  <c r="B15" i="51"/>
  <c r="B14" i="51"/>
  <c r="B13" i="51"/>
  <c r="B12" i="51"/>
  <c r="B2" i="51"/>
  <c r="B14" i="18"/>
  <c r="Q2" i="51"/>
  <c r="P2" i="51"/>
  <c r="O2" i="51"/>
  <c r="N2" i="51"/>
  <c r="M2" i="51"/>
  <c r="L2" i="51"/>
  <c r="K2" i="51"/>
  <c r="J2" i="51"/>
  <c r="I2" i="51"/>
  <c r="H2" i="51"/>
  <c r="F2" i="51"/>
  <c r="E2" i="51"/>
  <c r="D2" i="51"/>
  <c r="C2" i="51"/>
  <c r="B14" i="28"/>
  <c r="R89" i="19" l="1"/>
  <c r="T45" i="19"/>
  <c r="W26" i="39"/>
  <c r="O17" i="52"/>
  <c r="J17" i="51"/>
  <c r="K17" i="51"/>
  <c r="M17" i="52"/>
  <c r="F16" i="51"/>
  <c r="G17" i="51" s="1"/>
  <c r="G15" i="51" s="1"/>
  <c r="I17" i="51"/>
  <c r="L17" i="51"/>
  <c r="H17" i="51"/>
  <c r="D17" i="51"/>
  <c r="M17" i="51"/>
  <c r="P17" i="52" l="1"/>
  <c r="W14" i="18"/>
  <c r="T89" i="19"/>
  <c r="T17" i="52"/>
  <c r="N17" i="52"/>
  <c r="D15" i="51"/>
  <c r="E17" i="51"/>
  <c r="P17" i="51"/>
  <c r="P15" i="51" s="1"/>
  <c r="I15" i="51"/>
  <c r="C17" i="51"/>
  <c r="C15" i="51" s="1"/>
  <c r="J15" i="51"/>
  <c r="M15" i="51"/>
  <c r="N17" i="51"/>
  <c r="N15" i="51" s="1"/>
  <c r="K15" i="51"/>
  <c r="L15" i="51"/>
  <c r="H15" i="51"/>
  <c r="E16" i="51"/>
  <c r="F17" i="51" s="1"/>
  <c r="F15" i="51" s="1"/>
  <c r="O17" i="51"/>
  <c r="O15" i="51" s="1"/>
  <c r="Q17" i="51"/>
  <c r="R17" i="51"/>
  <c r="R15" i="51" s="1"/>
  <c r="Q15" i="51" l="1"/>
  <c r="X17" i="51"/>
  <c r="E15" i="51"/>
  <c r="B20" i="39"/>
  <c r="B22" i="39" l="1"/>
  <c r="B8" i="39"/>
  <c r="B8" i="38"/>
  <c r="B7" i="37"/>
  <c r="U27" i="37" l="1"/>
  <c r="G27" i="37"/>
  <c r="T27" i="37"/>
  <c r="S27" i="37"/>
  <c r="R27" i="37"/>
  <c r="B12" i="18"/>
  <c r="W8" i="38" l="1"/>
  <c r="W7" i="37"/>
  <c r="W27" i="37"/>
  <c r="B21" i="18"/>
  <c r="B25" i="18"/>
  <c r="O25" i="52" l="1"/>
  <c r="M25" i="52"/>
  <c r="B15" i="18"/>
  <c r="B6" i="18"/>
  <c r="B11" i="18"/>
  <c r="W21" i="18" l="1"/>
  <c r="P25" i="52"/>
  <c r="T25" i="52" s="1"/>
  <c r="W25" i="18"/>
  <c r="N25" i="52"/>
  <c r="B2" i="30"/>
  <c r="N2" i="23"/>
  <c r="N2" i="32"/>
  <c r="M2" i="29" l="1"/>
  <c r="N2" i="30"/>
  <c r="U9" i="30" s="1"/>
  <c r="N2" i="31"/>
  <c r="Q2" i="39" l="1"/>
  <c r="Q2" i="38"/>
  <c r="X8" i="38" s="1"/>
  <c r="Q2" i="37"/>
  <c r="X7" i="37" s="1"/>
  <c r="Q2" i="36"/>
  <c r="Q2" i="42"/>
  <c r="Q2" i="28"/>
  <c r="P2" i="28"/>
  <c r="Q2" i="35"/>
  <c r="Q2" i="41"/>
  <c r="X7" i="35" l="1"/>
  <c r="X6" i="35"/>
  <c r="X9" i="35"/>
  <c r="X47" i="36"/>
  <c r="X34" i="36"/>
  <c r="Q53" i="36"/>
  <c r="X37" i="36"/>
  <c r="Q18" i="41"/>
  <c r="X7" i="41"/>
  <c r="X13" i="41"/>
  <c r="X9" i="41"/>
  <c r="X14" i="41"/>
  <c r="X6" i="41"/>
  <c r="X12" i="41"/>
  <c r="X10" i="41"/>
  <c r="X8" i="41"/>
  <c r="N2" i="19"/>
  <c r="U101" i="19" s="1"/>
  <c r="Q2" i="18"/>
  <c r="Q2" i="20"/>
  <c r="P2" i="20"/>
  <c r="F6" i="13"/>
  <c r="H12" i="13"/>
  <c r="Q26" i="39" l="1"/>
  <c r="X26" i="39" s="1"/>
  <c r="X12" i="39"/>
  <c r="Q55" i="36"/>
  <c r="X55" i="36" s="1"/>
  <c r="X40" i="36"/>
  <c r="Q51" i="36"/>
  <c r="X51" i="36" s="1"/>
  <c r="X38" i="36"/>
  <c r="Q36" i="36"/>
  <c r="Q50" i="36"/>
  <c r="X50" i="36" s="1"/>
  <c r="X21" i="18"/>
  <c r="U62" i="19"/>
  <c r="U58" i="19"/>
  <c r="U57" i="19"/>
  <c r="U61" i="19"/>
  <c r="U52" i="19"/>
  <c r="U60" i="19"/>
  <c r="U56" i="19"/>
  <c r="U51" i="19"/>
  <c r="U53" i="19"/>
  <c r="U50" i="19"/>
  <c r="U49" i="19"/>
  <c r="Q11" i="41"/>
  <c r="B4" i="23"/>
  <c r="B4" i="29"/>
  <c r="B4" i="30"/>
  <c r="B4" i="31"/>
  <c r="B11" i="31"/>
  <c r="B10" i="31"/>
  <c r="B9" i="31"/>
  <c r="B8" i="31"/>
  <c r="B7" i="31"/>
  <c r="B6" i="31"/>
  <c r="B5" i="31"/>
  <c r="B2" i="31"/>
  <c r="B4" i="28"/>
  <c r="N83" i="19" l="1"/>
  <c r="U83" i="19" s="1"/>
  <c r="U63" i="19"/>
  <c r="Q15" i="41"/>
  <c r="G19" i="48" s="1"/>
  <c r="X11" i="41"/>
  <c r="N89" i="19"/>
  <c r="U89" i="19" s="1"/>
  <c r="U45" i="19"/>
  <c r="N86" i="19"/>
  <c r="U86" i="19" s="1"/>
  <c r="U64" i="19"/>
  <c r="L25" i="52"/>
  <c r="X25" i="18"/>
  <c r="L17" i="52"/>
  <c r="X14" i="18"/>
  <c r="L40" i="52"/>
  <c r="T7" i="31"/>
  <c r="T8" i="31"/>
  <c r="R35" i="36"/>
  <c r="U8" i="31"/>
  <c r="U7" i="31"/>
  <c r="R22" i="41"/>
  <c r="R20" i="41" s="1"/>
  <c r="R23" i="41" s="1"/>
  <c r="Q21" i="41"/>
  <c r="B10" i="30"/>
  <c r="B8" i="30"/>
  <c r="B7" i="30"/>
  <c r="B6" i="30"/>
  <c r="B5" i="30"/>
  <c r="B14" i="37"/>
  <c r="B13" i="37"/>
  <c r="B12" i="37"/>
  <c r="B11" i="37"/>
  <c r="B9" i="37"/>
  <c r="B8" i="37"/>
  <c r="B6" i="37"/>
  <c r="B5" i="37"/>
  <c r="B4" i="37"/>
  <c r="B2" i="37"/>
  <c r="B26" i="18"/>
  <c r="J15" i="48" s="1"/>
  <c r="B23" i="18"/>
  <c r="J14" i="48" s="1"/>
  <c r="B22" i="18"/>
  <c r="B20" i="18"/>
  <c r="B19" i="18"/>
  <c r="B18" i="18"/>
  <c r="B17" i="18"/>
  <c r="B10" i="18"/>
  <c r="B9" i="18"/>
  <c r="B7" i="18"/>
  <c r="B5" i="18"/>
  <c r="O11" i="52" s="1"/>
  <c r="B4" i="18"/>
  <c r="B2" i="18"/>
  <c r="B11" i="23"/>
  <c r="B10" i="23"/>
  <c r="B9" i="23"/>
  <c r="B8" i="23"/>
  <c r="B7" i="23"/>
  <c r="B6" i="23"/>
  <c r="B5" i="23"/>
  <c r="B2" i="23"/>
  <c r="B13" i="32"/>
  <c r="B12" i="32"/>
  <c r="B11" i="32"/>
  <c r="B10" i="32"/>
  <c r="B9" i="32"/>
  <c r="B7" i="32"/>
  <c r="B6" i="32"/>
  <c r="B5" i="32"/>
  <c r="B4" i="32"/>
  <c r="B2" i="32"/>
  <c r="M2" i="32"/>
  <c r="L2" i="32"/>
  <c r="K2" i="32"/>
  <c r="J2" i="32"/>
  <c r="I2" i="32"/>
  <c r="H2" i="32"/>
  <c r="G2" i="32"/>
  <c r="F2" i="32"/>
  <c r="E2" i="32"/>
  <c r="D2" i="32"/>
  <c r="C2" i="32"/>
  <c r="L2" i="29"/>
  <c r="K2" i="29"/>
  <c r="J2" i="29"/>
  <c r="I2" i="29"/>
  <c r="H2" i="29"/>
  <c r="G2" i="29"/>
  <c r="F2" i="29"/>
  <c r="E2" i="29"/>
  <c r="D2" i="29"/>
  <c r="C2" i="29"/>
  <c r="B11" i="29"/>
  <c r="B10" i="29"/>
  <c r="B9" i="29"/>
  <c r="B8" i="29"/>
  <c r="B7" i="29"/>
  <c r="B6" i="29"/>
  <c r="B5" i="29"/>
  <c r="B2" i="29"/>
  <c r="M2" i="23"/>
  <c r="L2" i="23"/>
  <c r="K2" i="23"/>
  <c r="J2" i="23"/>
  <c r="I2" i="23"/>
  <c r="H2" i="23"/>
  <c r="G2" i="23"/>
  <c r="F2" i="23"/>
  <c r="E2" i="23"/>
  <c r="D2" i="23"/>
  <c r="C2" i="23"/>
  <c r="M2" i="30"/>
  <c r="L2" i="30"/>
  <c r="K2" i="30"/>
  <c r="J2" i="30"/>
  <c r="I2" i="30"/>
  <c r="H2" i="30"/>
  <c r="G2" i="30"/>
  <c r="F2" i="30"/>
  <c r="E2" i="30"/>
  <c r="D2" i="30"/>
  <c r="C2" i="30"/>
  <c r="M2" i="31"/>
  <c r="L2" i="31"/>
  <c r="K2" i="31"/>
  <c r="J2" i="31"/>
  <c r="I2" i="31"/>
  <c r="H2" i="31"/>
  <c r="G2" i="31"/>
  <c r="F2" i="31"/>
  <c r="E2" i="31"/>
  <c r="D2" i="31"/>
  <c r="C2" i="31"/>
  <c r="B31" i="39"/>
  <c r="B30" i="39"/>
  <c r="B29" i="39"/>
  <c r="B28" i="39"/>
  <c r="B27" i="39"/>
  <c r="B25" i="39"/>
  <c r="B24" i="39"/>
  <c r="B23" i="39"/>
  <c r="B21" i="39"/>
  <c r="B19" i="39"/>
  <c r="B18" i="39"/>
  <c r="B16" i="39"/>
  <c r="B15" i="39"/>
  <c r="B14" i="39"/>
  <c r="B13" i="39"/>
  <c r="B11" i="39"/>
  <c r="B10" i="39"/>
  <c r="B9" i="39"/>
  <c r="B7" i="39"/>
  <c r="B6" i="39"/>
  <c r="B5" i="39"/>
  <c r="B4" i="39"/>
  <c r="B2" i="39"/>
  <c r="P2" i="39"/>
  <c r="O2" i="39"/>
  <c r="N2" i="39"/>
  <c r="M2" i="39"/>
  <c r="L2" i="39"/>
  <c r="K2" i="39"/>
  <c r="J2" i="39"/>
  <c r="I2" i="39"/>
  <c r="H2" i="39"/>
  <c r="F2" i="39"/>
  <c r="E2" i="39"/>
  <c r="D2" i="39"/>
  <c r="C2" i="39"/>
  <c r="P2" i="38"/>
  <c r="O2" i="38"/>
  <c r="N2" i="38"/>
  <c r="M2" i="38"/>
  <c r="L2" i="38"/>
  <c r="K2" i="38"/>
  <c r="J2" i="38"/>
  <c r="I2" i="38"/>
  <c r="H2" i="38"/>
  <c r="F2" i="38"/>
  <c r="E2" i="38"/>
  <c r="D2" i="38"/>
  <c r="C2" i="38"/>
  <c r="P2" i="37"/>
  <c r="O2" i="37"/>
  <c r="N2" i="37"/>
  <c r="M2" i="37"/>
  <c r="L2" i="37"/>
  <c r="K2" i="37"/>
  <c r="J2" i="37"/>
  <c r="I2" i="37"/>
  <c r="H2" i="37"/>
  <c r="F2" i="37"/>
  <c r="E2" i="37"/>
  <c r="D2" i="37"/>
  <c r="C2" i="37"/>
  <c r="B14" i="38"/>
  <c r="B12" i="38"/>
  <c r="B11" i="38"/>
  <c r="B10" i="38"/>
  <c r="B9" i="38"/>
  <c r="B7" i="38"/>
  <c r="B6" i="38"/>
  <c r="B5" i="38"/>
  <c r="B4" i="38"/>
  <c r="B2" i="38"/>
  <c r="B28" i="36"/>
  <c r="B27" i="36"/>
  <c r="B26" i="36"/>
  <c r="B25" i="36"/>
  <c r="B24" i="36"/>
  <c r="B23" i="36"/>
  <c r="B22" i="36"/>
  <c r="B21" i="36"/>
  <c r="B20" i="36"/>
  <c r="B19" i="36"/>
  <c r="B18" i="36"/>
  <c r="B17" i="36"/>
  <c r="B16" i="36"/>
  <c r="B14" i="36"/>
  <c r="B13" i="36"/>
  <c r="B12" i="36"/>
  <c r="T25" i="36" s="1"/>
  <c r="B11" i="36"/>
  <c r="B10" i="36"/>
  <c r="B9" i="36"/>
  <c r="B8" i="36"/>
  <c r="B7" i="36"/>
  <c r="B6" i="36"/>
  <c r="B5" i="36"/>
  <c r="B4" i="36"/>
  <c r="B2" i="36"/>
  <c r="P2" i="36"/>
  <c r="O2" i="36"/>
  <c r="N2" i="36"/>
  <c r="M2" i="36"/>
  <c r="L2" i="36"/>
  <c r="K2" i="36"/>
  <c r="J2" i="36"/>
  <c r="I2" i="36"/>
  <c r="H2" i="36"/>
  <c r="F2" i="36"/>
  <c r="E2" i="36"/>
  <c r="D2" i="36"/>
  <c r="C2" i="36"/>
  <c r="B21" i="42"/>
  <c r="B20" i="42"/>
  <c r="B19" i="42"/>
  <c r="B18" i="42"/>
  <c r="B17" i="42"/>
  <c r="B16" i="42"/>
  <c r="B15" i="42"/>
  <c r="B14" i="42"/>
  <c r="B13" i="42"/>
  <c r="B12" i="42"/>
  <c r="B11" i="42"/>
  <c r="B10" i="42"/>
  <c r="B9" i="42"/>
  <c r="B8" i="42"/>
  <c r="B7" i="42"/>
  <c r="B6" i="42"/>
  <c r="B5" i="42"/>
  <c r="B4" i="42"/>
  <c r="B2" i="42"/>
  <c r="P2" i="42"/>
  <c r="O2" i="42"/>
  <c r="N2" i="42"/>
  <c r="M2" i="42"/>
  <c r="L2" i="42"/>
  <c r="K2" i="42"/>
  <c r="J2" i="42"/>
  <c r="I2" i="42"/>
  <c r="H2" i="42"/>
  <c r="F2" i="42"/>
  <c r="E2" i="42"/>
  <c r="D2" i="42"/>
  <c r="C2" i="42"/>
  <c r="B13" i="28"/>
  <c r="B12" i="28"/>
  <c r="B11" i="28"/>
  <c r="B10" i="28"/>
  <c r="B9" i="28"/>
  <c r="B8" i="28"/>
  <c r="B7" i="28"/>
  <c r="B6" i="28"/>
  <c r="B5" i="28"/>
  <c r="B2" i="28"/>
  <c r="O2" i="28"/>
  <c r="N2" i="28"/>
  <c r="M2" i="28"/>
  <c r="L2" i="28"/>
  <c r="K2" i="28"/>
  <c r="J2" i="28"/>
  <c r="I2" i="28"/>
  <c r="H2" i="28"/>
  <c r="F2" i="28"/>
  <c r="E2" i="28"/>
  <c r="D2" i="28"/>
  <c r="C2" i="28"/>
  <c r="B32" i="35"/>
  <c r="B30" i="35"/>
  <c r="B29" i="35"/>
  <c r="B28" i="35"/>
  <c r="B27" i="35"/>
  <c r="B25" i="35"/>
  <c r="B24" i="35"/>
  <c r="B23" i="35"/>
  <c r="B22" i="35"/>
  <c r="B20" i="35"/>
  <c r="B19" i="35"/>
  <c r="B18" i="35"/>
  <c r="B17" i="35"/>
  <c r="B16" i="35"/>
  <c r="B15" i="35"/>
  <c r="B13" i="35"/>
  <c r="B12" i="35"/>
  <c r="B11" i="35"/>
  <c r="B10" i="35"/>
  <c r="B8" i="35"/>
  <c r="B5" i="35"/>
  <c r="B4" i="35"/>
  <c r="B2" i="35"/>
  <c r="P2" i="35"/>
  <c r="O2" i="35"/>
  <c r="N2" i="35"/>
  <c r="M2" i="35"/>
  <c r="L2" i="35"/>
  <c r="K2" i="35"/>
  <c r="J2" i="35"/>
  <c r="I2" i="35"/>
  <c r="H2" i="35"/>
  <c r="F2" i="35"/>
  <c r="E2" i="35"/>
  <c r="D2" i="35"/>
  <c r="C2" i="35"/>
  <c r="B44" i="41"/>
  <c r="B43" i="41"/>
  <c r="B42" i="41"/>
  <c r="B41" i="41"/>
  <c r="B40" i="41"/>
  <c r="B39" i="41"/>
  <c r="B38" i="41"/>
  <c r="T37" i="41" s="1"/>
  <c r="B37" i="41"/>
  <c r="B34" i="41"/>
  <c r="B33" i="41"/>
  <c r="B32" i="41"/>
  <c r="B31" i="41"/>
  <c r="B30" i="41"/>
  <c r="B29" i="41"/>
  <c r="B28" i="41"/>
  <c r="B2" i="41"/>
  <c r="P2" i="41"/>
  <c r="O2" i="41"/>
  <c r="N2" i="41"/>
  <c r="M2" i="41"/>
  <c r="L2" i="41"/>
  <c r="K2" i="41"/>
  <c r="J2" i="41"/>
  <c r="I2" i="41"/>
  <c r="H2" i="41"/>
  <c r="F2" i="41"/>
  <c r="E2" i="41"/>
  <c r="D2" i="41"/>
  <c r="C2" i="41"/>
  <c r="B66" i="19"/>
  <c r="B48" i="19"/>
  <c r="B47" i="19"/>
  <c r="B46" i="19"/>
  <c r="B44" i="19"/>
  <c r="B43" i="19"/>
  <c r="B42" i="19"/>
  <c r="B41" i="19"/>
  <c r="B40" i="19"/>
  <c r="B39" i="19"/>
  <c r="B38" i="19"/>
  <c r="B36" i="19"/>
  <c r="B35" i="19"/>
  <c r="B34" i="19"/>
  <c r="B33" i="19"/>
  <c r="B32" i="19"/>
  <c r="B31" i="19"/>
  <c r="B30" i="19"/>
  <c r="B28" i="19"/>
  <c r="B27" i="19"/>
  <c r="B26" i="19"/>
  <c r="B25" i="19"/>
  <c r="B23" i="19"/>
  <c r="B22" i="19"/>
  <c r="B21" i="19"/>
  <c r="B20" i="19"/>
  <c r="B19" i="19"/>
  <c r="B17" i="19"/>
  <c r="B16" i="19"/>
  <c r="B15" i="19"/>
  <c r="B14" i="19"/>
  <c r="B12" i="19"/>
  <c r="B11" i="19"/>
  <c r="B10" i="19"/>
  <c r="B9" i="19"/>
  <c r="B8" i="19"/>
  <c r="B7" i="19"/>
  <c r="B6" i="19"/>
  <c r="B5" i="19"/>
  <c r="B4" i="19"/>
  <c r="B2" i="19"/>
  <c r="L2" i="19"/>
  <c r="M2" i="19"/>
  <c r="K2" i="19"/>
  <c r="J2" i="19"/>
  <c r="I2" i="19"/>
  <c r="H2" i="19"/>
  <c r="G2" i="19"/>
  <c r="F2" i="19"/>
  <c r="E2" i="19"/>
  <c r="D2" i="19"/>
  <c r="C2" i="19"/>
  <c r="P2" i="18"/>
  <c r="O2" i="18"/>
  <c r="N2" i="18"/>
  <c r="M2" i="18"/>
  <c r="L2" i="18"/>
  <c r="K2" i="18"/>
  <c r="J2" i="18"/>
  <c r="I2" i="18"/>
  <c r="H2" i="18"/>
  <c r="F2" i="18"/>
  <c r="E2" i="18"/>
  <c r="D2" i="18"/>
  <c r="C2" i="18"/>
  <c r="B41" i="20"/>
  <c r="B40" i="20"/>
  <c r="B38" i="20"/>
  <c r="B37" i="20"/>
  <c r="B36" i="20"/>
  <c r="B35" i="20"/>
  <c r="B34" i="20"/>
  <c r="B33" i="20"/>
  <c r="B32" i="20"/>
  <c r="B31" i="20"/>
  <c r="B29" i="20"/>
  <c r="B28" i="20"/>
  <c r="B27" i="20"/>
  <c r="B26" i="20"/>
  <c r="B25" i="20"/>
  <c r="B24" i="20"/>
  <c r="B23" i="20"/>
  <c r="B22" i="20"/>
  <c r="B21" i="20"/>
  <c r="B20" i="20"/>
  <c r="B19" i="20"/>
  <c r="B17" i="20"/>
  <c r="B16" i="20"/>
  <c r="B15" i="20"/>
  <c r="B14" i="20"/>
  <c r="B13" i="20"/>
  <c r="B12" i="20"/>
  <c r="B11" i="20"/>
  <c r="B10" i="20"/>
  <c r="B9" i="20"/>
  <c r="B8" i="20"/>
  <c r="B7" i="20"/>
  <c r="B6" i="20"/>
  <c r="B5" i="20"/>
  <c r="B4" i="20"/>
  <c r="B2" i="20"/>
  <c r="O2" i="20"/>
  <c r="N2" i="20"/>
  <c r="M2" i="20"/>
  <c r="L2" i="20"/>
  <c r="K2" i="20"/>
  <c r="J2" i="20"/>
  <c r="I2" i="20"/>
  <c r="H2" i="20"/>
  <c r="E2" i="20"/>
  <c r="D2" i="20"/>
  <c r="C2" i="20"/>
  <c r="K25" i="48" l="1"/>
  <c r="K5" i="48"/>
  <c r="R13" i="32"/>
  <c r="U20" i="35"/>
  <c r="K9" i="48"/>
  <c r="O21" i="52"/>
  <c r="T28" i="37"/>
  <c r="T26" i="37" s="1"/>
  <c r="O22" i="52"/>
  <c r="K6" i="48"/>
  <c r="R11" i="23"/>
  <c r="T33" i="37"/>
  <c r="T22" i="36"/>
  <c r="T23" i="36"/>
  <c r="T25" i="39"/>
  <c r="T27" i="36"/>
  <c r="T17" i="37"/>
  <c r="U32" i="20"/>
  <c r="T10" i="23"/>
  <c r="I9" i="48"/>
  <c r="J9" i="48"/>
  <c r="I6" i="48"/>
  <c r="T7" i="23"/>
  <c r="I5" i="48"/>
  <c r="J5" i="48"/>
  <c r="T8" i="23"/>
  <c r="T9" i="23"/>
  <c r="T6" i="32"/>
  <c r="T7" i="32"/>
  <c r="T10" i="32"/>
  <c r="T11" i="32"/>
  <c r="T5" i="32"/>
  <c r="T12" i="32"/>
  <c r="I25" i="48"/>
  <c r="J25" i="48"/>
  <c r="M25" i="48" s="1"/>
  <c r="S9" i="29"/>
  <c r="T5" i="30"/>
  <c r="T32" i="37"/>
  <c r="T21" i="37"/>
  <c r="W5" i="35"/>
  <c r="X5" i="35"/>
  <c r="X12" i="35"/>
  <c r="W12" i="35"/>
  <c r="X10" i="35"/>
  <c r="W10" i="35"/>
  <c r="X11" i="35"/>
  <c r="W11" i="35"/>
  <c r="G33" i="41"/>
  <c r="W33" i="41"/>
  <c r="G29" i="41"/>
  <c r="W29" i="41"/>
  <c r="G30" i="41"/>
  <c r="W30" i="41"/>
  <c r="G31" i="41"/>
  <c r="W31" i="41"/>
  <c r="G32" i="41"/>
  <c r="W32" i="41"/>
  <c r="G37" i="20"/>
  <c r="W37" i="20"/>
  <c r="G29" i="20"/>
  <c r="G11" i="20"/>
  <c r="W11" i="20"/>
  <c r="G12" i="20"/>
  <c r="W12" i="20"/>
  <c r="G22" i="20"/>
  <c r="W22" i="20"/>
  <c r="G6" i="20"/>
  <c r="W6" i="20"/>
  <c r="G41" i="20"/>
  <c r="G20" i="20"/>
  <c r="G38" i="20"/>
  <c r="O42" i="52"/>
  <c r="G5" i="20"/>
  <c r="W5" i="20"/>
  <c r="G14" i="20"/>
  <c r="W14" i="20"/>
  <c r="G7" i="20"/>
  <c r="W7" i="20"/>
  <c r="G15" i="20"/>
  <c r="W15" i="20"/>
  <c r="G8" i="20"/>
  <c r="W8" i="20"/>
  <c r="G16" i="20"/>
  <c r="W16" i="20"/>
  <c r="G25" i="20"/>
  <c r="W25" i="20"/>
  <c r="G34" i="20"/>
  <c r="W34" i="20"/>
  <c r="G28" i="20"/>
  <c r="W28" i="20"/>
  <c r="G21" i="20"/>
  <c r="G13" i="20"/>
  <c r="W13" i="20"/>
  <c r="G33" i="20"/>
  <c r="W33" i="20"/>
  <c r="N37" i="52"/>
  <c r="G35" i="20"/>
  <c r="W35" i="20"/>
  <c r="G23" i="20"/>
  <c r="W23" i="20"/>
  <c r="G24" i="20"/>
  <c r="W24" i="20"/>
  <c r="G9" i="20"/>
  <c r="W9" i="20"/>
  <c r="G26" i="20"/>
  <c r="G10" i="20"/>
  <c r="G27" i="20"/>
  <c r="W27" i="20"/>
  <c r="G36" i="20"/>
  <c r="W36" i="20"/>
  <c r="P72" i="19"/>
  <c r="Q72" i="19"/>
  <c r="P71" i="19"/>
  <c r="Q71" i="19"/>
  <c r="P88" i="19"/>
  <c r="Q88" i="19"/>
  <c r="P82" i="19"/>
  <c r="P81" i="19" s="1"/>
  <c r="R82" i="19"/>
  <c r="Q82" i="19"/>
  <c r="Q81" i="19" s="1"/>
  <c r="P90" i="19"/>
  <c r="Q90" i="19"/>
  <c r="P76" i="19"/>
  <c r="Q76" i="19"/>
  <c r="P85" i="19"/>
  <c r="P84" i="19" s="1"/>
  <c r="Q85" i="19"/>
  <c r="Q84" i="19" s="1"/>
  <c r="P36" i="19"/>
  <c r="P87" i="19"/>
  <c r="Q87" i="19"/>
  <c r="W18" i="35"/>
  <c r="W17" i="35"/>
  <c r="W19" i="35"/>
  <c r="W16" i="35"/>
  <c r="N21" i="52"/>
  <c r="S28" i="37"/>
  <c r="S26" i="37" s="1"/>
  <c r="G28" i="37"/>
  <c r="G26" i="37" s="1"/>
  <c r="S37" i="41"/>
  <c r="G37" i="41" s="1"/>
  <c r="G25" i="39"/>
  <c r="S25" i="39"/>
  <c r="M55" i="36"/>
  <c r="M53" i="36"/>
  <c r="M51" i="36"/>
  <c r="E51" i="36"/>
  <c r="E53" i="36"/>
  <c r="K51" i="36"/>
  <c r="K53" i="36"/>
  <c r="K55" i="36"/>
  <c r="E55" i="36"/>
  <c r="S27" i="36"/>
  <c r="G27" i="36"/>
  <c r="C51" i="36"/>
  <c r="C53" i="36"/>
  <c r="C55" i="36"/>
  <c r="D51" i="36"/>
  <c r="D53" i="36"/>
  <c r="D55" i="36"/>
  <c r="H55" i="36"/>
  <c r="H53" i="36"/>
  <c r="H51" i="36"/>
  <c r="P53" i="36"/>
  <c r="P51" i="36"/>
  <c r="P55" i="36"/>
  <c r="N55" i="36"/>
  <c r="N51" i="36"/>
  <c r="N53" i="36"/>
  <c r="O53" i="36"/>
  <c r="O51" i="36"/>
  <c r="F51" i="36"/>
  <c r="O55" i="36"/>
  <c r="F55" i="36"/>
  <c r="F53" i="36"/>
  <c r="G23" i="36"/>
  <c r="S23" i="36"/>
  <c r="L51" i="36"/>
  <c r="L53" i="36"/>
  <c r="L55" i="36"/>
  <c r="I51" i="36"/>
  <c r="I55" i="36"/>
  <c r="I53" i="36"/>
  <c r="J51" i="36"/>
  <c r="J53" i="36"/>
  <c r="J55" i="36"/>
  <c r="G25" i="36"/>
  <c r="S25" i="36"/>
  <c r="X9" i="20"/>
  <c r="M37" i="52"/>
  <c r="L37" i="52"/>
  <c r="J37" i="52"/>
  <c r="X35" i="20"/>
  <c r="X18" i="35"/>
  <c r="H18" i="41"/>
  <c r="U6" i="32"/>
  <c r="H9" i="48"/>
  <c r="U5" i="23"/>
  <c r="Q17" i="37"/>
  <c r="I17" i="37"/>
  <c r="P17" i="37"/>
  <c r="H17" i="37"/>
  <c r="O17" i="37"/>
  <c r="F17" i="37"/>
  <c r="E17" i="37"/>
  <c r="D17" i="37"/>
  <c r="C17" i="37"/>
  <c r="M17" i="37"/>
  <c r="L17" i="37"/>
  <c r="K17" i="37"/>
  <c r="N17" i="37"/>
  <c r="J17" i="37"/>
  <c r="I18" i="41"/>
  <c r="H25" i="48"/>
  <c r="T5" i="29"/>
  <c r="U7" i="32"/>
  <c r="M21" i="52"/>
  <c r="L21" i="52"/>
  <c r="J21" i="52"/>
  <c r="K28" i="37"/>
  <c r="R28" i="37"/>
  <c r="R26" i="37" s="1"/>
  <c r="J28" i="37"/>
  <c r="Q28" i="37"/>
  <c r="I28" i="37"/>
  <c r="O28" i="37"/>
  <c r="C28" i="37"/>
  <c r="N28" i="37"/>
  <c r="M28" i="37"/>
  <c r="H28" i="37"/>
  <c r="F28" i="37"/>
  <c r="E28" i="37"/>
  <c r="P28" i="37"/>
  <c r="L28" i="37"/>
  <c r="D28" i="37"/>
  <c r="D20" i="48"/>
  <c r="C20" i="48"/>
  <c r="I26" i="39"/>
  <c r="X22" i="20"/>
  <c r="C27" i="37"/>
  <c r="J26" i="39"/>
  <c r="X6" i="20"/>
  <c r="X14" i="20"/>
  <c r="X23" i="20"/>
  <c r="J18" i="41"/>
  <c r="R37" i="41"/>
  <c r="Q37" i="41"/>
  <c r="K26" i="39"/>
  <c r="H5" i="48"/>
  <c r="U6" i="23"/>
  <c r="J11" i="52"/>
  <c r="M11" i="52"/>
  <c r="L11" i="52"/>
  <c r="J22" i="52"/>
  <c r="M22" i="52"/>
  <c r="L22" i="52"/>
  <c r="X5" i="20"/>
  <c r="X15" i="20"/>
  <c r="X33" i="20"/>
  <c r="K18" i="41"/>
  <c r="E13" i="41"/>
  <c r="E6" i="41"/>
  <c r="E12" i="41"/>
  <c r="E8" i="41"/>
  <c r="E7" i="41"/>
  <c r="E14" i="41"/>
  <c r="E9" i="41"/>
  <c r="E10" i="41"/>
  <c r="E5" i="41"/>
  <c r="X29" i="41"/>
  <c r="X16" i="35"/>
  <c r="C26" i="39"/>
  <c r="L26" i="39"/>
  <c r="U10" i="32"/>
  <c r="H6" i="48"/>
  <c r="U7" i="23"/>
  <c r="H14" i="48"/>
  <c r="R22" i="36"/>
  <c r="Q22" i="36"/>
  <c r="X27" i="20"/>
  <c r="X12" i="20"/>
  <c r="P18" i="41"/>
  <c r="Q27" i="36"/>
  <c r="R27" i="36"/>
  <c r="X13" i="20"/>
  <c r="X7" i="20"/>
  <c r="X24" i="20"/>
  <c r="X8" i="20"/>
  <c r="X16" i="20"/>
  <c r="X25" i="20"/>
  <c r="X34" i="20"/>
  <c r="C18" i="41"/>
  <c r="L18" i="41"/>
  <c r="X30" i="41"/>
  <c r="X17" i="35"/>
  <c r="D26" i="39"/>
  <c r="M26" i="39"/>
  <c r="U11" i="32"/>
  <c r="U8" i="23"/>
  <c r="H15" i="48"/>
  <c r="R21" i="37"/>
  <c r="E26" i="39"/>
  <c r="N26" i="39"/>
  <c r="T9" i="29"/>
  <c r="U12" i="32"/>
  <c r="U9" i="23"/>
  <c r="R33" i="37"/>
  <c r="D18" i="41"/>
  <c r="M18" i="41"/>
  <c r="X31" i="41"/>
  <c r="X36" i="20"/>
  <c r="J17" i="52"/>
  <c r="J25" i="52"/>
  <c r="E18" i="41"/>
  <c r="N18" i="41"/>
  <c r="X32" i="41"/>
  <c r="X19" i="35"/>
  <c r="R23" i="36"/>
  <c r="Q23" i="36"/>
  <c r="F26" i="39"/>
  <c r="O26" i="39"/>
  <c r="U10" i="23"/>
  <c r="X11" i="20"/>
  <c r="X28" i="20"/>
  <c r="X37" i="20"/>
  <c r="F18" i="41"/>
  <c r="O18" i="41"/>
  <c r="F14" i="41"/>
  <c r="F13" i="41"/>
  <c r="F9" i="41"/>
  <c r="F10" i="41"/>
  <c r="F7" i="41"/>
  <c r="F8" i="41"/>
  <c r="F5" i="41"/>
  <c r="F6" i="41"/>
  <c r="X33" i="41"/>
  <c r="Q25" i="36"/>
  <c r="H26" i="39"/>
  <c r="P26" i="39"/>
  <c r="R25" i="39"/>
  <c r="Q25" i="39"/>
  <c r="U5" i="32"/>
  <c r="U5" i="30"/>
  <c r="D83" i="19"/>
  <c r="D86" i="19"/>
  <c r="D89" i="19"/>
  <c r="H82" i="19"/>
  <c r="O82" i="19"/>
  <c r="O81" i="19" s="1"/>
  <c r="G82" i="19"/>
  <c r="U41" i="19"/>
  <c r="F82" i="19"/>
  <c r="K82" i="19"/>
  <c r="C82" i="19"/>
  <c r="E82" i="19"/>
  <c r="D82" i="19"/>
  <c r="M82" i="19"/>
  <c r="L82" i="19"/>
  <c r="J82" i="19"/>
  <c r="I82" i="19"/>
  <c r="C83" i="19"/>
  <c r="C86" i="19"/>
  <c r="C89" i="19"/>
  <c r="K83" i="19"/>
  <c r="K86" i="19"/>
  <c r="K89" i="19"/>
  <c r="J72" i="19"/>
  <c r="I72" i="19"/>
  <c r="K72" i="19"/>
  <c r="H72" i="19"/>
  <c r="E72" i="19"/>
  <c r="G72" i="19"/>
  <c r="F72" i="19"/>
  <c r="O72" i="19"/>
  <c r="D72" i="19"/>
  <c r="M72" i="19"/>
  <c r="L72" i="19"/>
  <c r="H83" i="19"/>
  <c r="H86" i="19"/>
  <c r="H89" i="19"/>
  <c r="K85" i="19"/>
  <c r="C85" i="19"/>
  <c r="J85" i="19"/>
  <c r="I85" i="19"/>
  <c r="N85" i="19"/>
  <c r="N84" i="19" s="1"/>
  <c r="F85" i="19"/>
  <c r="H85" i="19"/>
  <c r="D85" i="19"/>
  <c r="G85" i="19"/>
  <c r="E85" i="19"/>
  <c r="O85" i="19"/>
  <c r="O84" i="19" s="1"/>
  <c r="M85" i="19"/>
  <c r="L85" i="19"/>
  <c r="M74" i="19"/>
  <c r="E74" i="19"/>
  <c r="E73" i="19" s="1"/>
  <c r="L74" i="19"/>
  <c r="D74" i="19"/>
  <c r="D73" i="19" s="1"/>
  <c r="H74" i="19"/>
  <c r="H73" i="19" s="1"/>
  <c r="O36" i="19"/>
  <c r="G74" i="19"/>
  <c r="G73" i="19" s="1"/>
  <c r="F74" i="19"/>
  <c r="F73" i="19" s="1"/>
  <c r="N74" i="19"/>
  <c r="K74" i="19"/>
  <c r="J74" i="19"/>
  <c r="I74" i="19"/>
  <c r="M90" i="19"/>
  <c r="E90" i="19"/>
  <c r="L90" i="19"/>
  <c r="D90" i="19"/>
  <c r="K90" i="19"/>
  <c r="C90" i="19"/>
  <c r="H90" i="19"/>
  <c r="J90" i="19"/>
  <c r="I90" i="19"/>
  <c r="G90" i="19"/>
  <c r="F90" i="19"/>
  <c r="O90" i="19"/>
  <c r="N90" i="19"/>
  <c r="H76" i="19"/>
  <c r="O76" i="19"/>
  <c r="G76" i="19"/>
  <c r="N76" i="19"/>
  <c r="E76" i="19"/>
  <c r="D76" i="19"/>
  <c r="L76" i="19"/>
  <c r="M76" i="19"/>
  <c r="C76" i="19"/>
  <c r="J76" i="19"/>
  <c r="I76" i="19"/>
  <c r="F76" i="19"/>
  <c r="K76" i="19"/>
  <c r="F86" i="19"/>
  <c r="F83" i="19"/>
  <c r="F89" i="19"/>
  <c r="C77" i="19"/>
  <c r="D77" i="19"/>
  <c r="I86" i="19"/>
  <c r="I83" i="19"/>
  <c r="I89" i="19"/>
  <c r="L70" i="19"/>
  <c r="D70" i="19"/>
  <c r="O70" i="19"/>
  <c r="F70" i="19"/>
  <c r="K70" i="19"/>
  <c r="E70" i="19"/>
  <c r="M70" i="19"/>
  <c r="J70" i="19"/>
  <c r="I70" i="19"/>
  <c r="H70" i="19"/>
  <c r="G70" i="19"/>
  <c r="N87" i="19"/>
  <c r="F87" i="19"/>
  <c r="M87" i="19"/>
  <c r="E87" i="19"/>
  <c r="L87" i="19"/>
  <c r="D87" i="19"/>
  <c r="I87" i="19"/>
  <c r="K87" i="19"/>
  <c r="J87" i="19"/>
  <c r="H87" i="19"/>
  <c r="C87" i="19"/>
  <c r="O87" i="19"/>
  <c r="G87" i="19"/>
  <c r="M83" i="19"/>
  <c r="M86" i="19"/>
  <c r="M89" i="19"/>
  <c r="E86" i="19"/>
  <c r="E83" i="19"/>
  <c r="E89" i="19"/>
  <c r="L86" i="19"/>
  <c r="L83" i="19"/>
  <c r="L89" i="19"/>
  <c r="G86" i="19"/>
  <c r="G83" i="19"/>
  <c r="G89" i="19"/>
  <c r="J86" i="19"/>
  <c r="J83" i="19"/>
  <c r="J89" i="19"/>
  <c r="O71" i="19"/>
  <c r="G71" i="19"/>
  <c r="F71" i="19"/>
  <c r="L71" i="19"/>
  <c r="H71" i="19"/>
  <c r="K71" i="19"/>
  <c r="J71" i="19"/>
  <c r="E71" i="19"/>
  <c r="D71" i="19"/>
  <c r="M71" i="19"/>
  <c r="I71" i="19"/>
  <c r="I88" i="19"/>
  <c r="H88" i="19"/>
  <c r="O88" i="19"/>
  <c r="G88" i="19"/>
  <c r="L88" i="19"/>
  <c r="D88" i="19"/>
  <c r="N88" i="19"/>
  <c r="M88" i="19"/>
  <c r="J88" i="19"/>
  <c r="F88" i="19"/>
  <c r="K88" i="19"/>
  <c r="E88" i="19"/>
  <c r="C88" i="19"/>
  <c r="K27" i="37"/>
  <c r="J27" i="37"/>
  <c r="Q27" i="37"/>
  <c r="X27" i="37" s="1"/>
  <c r="I27" i="37"/>
  <c r="P27" i="37"/>
  <c r="D27" i="37"/>
  <c r="O27" i="37"/>
  <c r="N27" i="37"/>
  <c r="M27" i="37"/>
  <c r="L27" i="37"/>
  <c r="H27" i="37"/>
  <c r="F27" i="37"/>
  <c r="E27" i="37"/>
  <c r="K16" i="13"/>
  <c r="K14" i="13"/>
  <c r="K12" i="13"/>
  <c r="K10" i="13"/>
  <c r="H32" i="13"/>
  <c r="H30" i="13"/>
  <c r="H28" i="13"/>
  <c r="H26" i="13"/>
  <c r="H24" i="13"/>
  <c r="H22" i="13"/>
  <c r="H20" i="13"/>
  <c r="H18" i="13"/>
  <c r="H16" i="13"/>
  <c r="H14" i="13"/>
  <c r="E6" i="42"/>
  <c r="E7" i="42"/>
  <c r="E8" i="42"/>
  <c r="E19" i="42"/>
  <c r="E20" i="42"/>
  <c r="E21" i="42"/>
  <c r="E5" i="42"/>
  <c r="F20" i="42"/>
  <c r="F21" i="42"/>
  <c r="F19" i="42"/>
  <c r="F6" i="42"/>
  <c r="F7" i="42"/>
  <c r="F5" i="42"/>
  <c r="M5" i="48" l="1"/>
  <c r="T22" i="37"/>
  <c r="T5" i="37"/>
  <c r="M9" i="48"/>
  <c r="O20" i="52"/>
  <c r="P95" i="19"/>
  <c r="T6" i="19"/>
  <c r="U6" i="19"/>
  <c r="U33" i="19"/>
  <c r="T33" i="19"/>
  <c r="U46" i="19"/>
  <c r="T46" i="19"/>
  <c r="R88" i="19"/>
  <c r="T44" i="19"/>
  <c r="U44" i="19"/>
  <c r="X6" i="37"/>
  <c r="W6" i="37"/>
  <c r="T34" i="19"/>
  <c r="U34" i="19"/>
  <c r="W10" i="18"/>
  <c r="X10" i="18"/>
  <c r="X7" i="38"/>
  <c r="W7" i="38"/>
  <c r="T5" i="23"/>
  <c r="T31" i="19"/>
  <c r="U31" i="19"/>
  <c r="R71" i="19"/>
  <c r="T7" i="19"/>
  <c r="U7" i="19"/>
  <c r="R36" i="19"/>
  <c r="U9" i="19"/>
  <c r="T9" i="19"/>
  <c r="W19" i="18"/>
  <c r="X19" i="18"/>
  <c r="U23" i="36"/>
  <c r="X11" i="36"/>
  <c r="W11" i="36"/>
  <c r="W9" i="38"/>
  <c r="X9" i="38"/>
  <c r="P22" i="52"/>
  <c r="V22" i="52" s="1"/>
  <c r="X22" i="18"/>
  <c r="W22" i="18"/>
  <c r="T6" i="23"/>
  <c r="T41" i="19"/>
  <c r="R81" i="19"/>
  <c r="T82" i="19"/>
  <c r="T20" i="19"/>
  <c r="U20" i="19"/>
  <c r="U27" i="36"/>
  <c r="X13" i="36"/>
  <c r="W13" i="36"/>
  <c r="X18" i="18"/>
  <c r="W18" i="18"/>
  <c r="U22" i="36"/>
  <c r="W10" i="36"/>
  <c r="X10" i="36"/>
  <c r="T10" i="30"/>
  <c r="U28" i="37"/>
  <c r="W8" i="37"/>
  <c r="X8" i="37"/>
  <c r="K24" i="48"/>
  <c r="R85" i="19"/>
  <c r="U42" i="19"/>
  <c r="T42" i="19"/>
  <c r="U24" i="35"/>
  <c r="S5" i="29"/>
  <c r="R87" i="19"/>
  <c r="U43" i="19"/>
  <c r="T43" i="19"/>
  <c r="R76" i="19"/>
  <c r="T10" i="19"/>
  <c r="U10" i="19"/>
  <c r="T26" i="19"/>
  <c r="U26" i="19"/>
  <c r="R72" i="19"/>
  <c r="U8" i="19"/>
  <c r="T8" i="19"/>
  <c r="R90" i="19"/>
  <c r="T47" i="19"/>
  <c r="U47" i="19"/>
  <c r="U32" i="19"/>
  <c r="T32" i="19"/>
  <c r="U16" i="19"/>
  <c r="T16" i="19"/>
  <c r="U25" i="39"/>
  <c r="W11" i="39"/>
  <c r="X11" i="39"/>
  <c r="X13" i="37"/>
  <c r="W13" i="37"/>
  <c r="P21" i="52"/>
  <c r="V21" i="52" s="1"/>
  <c r="X20" i="18"/>
  <c r="W20" i="18"/>
  <c r="U17" i="37"/>
  <c r="U5" i="37"/>
  <c r="P20" i="52"/>
  <c r="T9" i="36"/>
  <c r="U33" i="37"/>
  <c r="U22" i="37"/>
  <c r="P96" i="19"/>
  <c r="M20" i="52"/>
  <c r="P35" i="19"/>
  <c r="P5" i="19"/>
  <c r="P15" i="19" s="1"/>
  <c r="P17" i="19" s="1"/>
  <c r="G17" i="20"/>
  <c r="S34" i="41"/>
  <c r="S40" i="41" s="1"/>
  <c r="T41" i="41" s="1"/>
  <c r="P23" i="19"/>
  <c r="I31" i="48" s="1"/>
  <c r="G28" i="41"/>
  <c r="G34" i="41" s="1"/>
  <c r="G40" i="41" s="1"/>
  <c r="P70" i="19"/>
  <c r="P94" i="19" s="1"/>
  <c r="S32" i="20"/>
  <c r="G32" i="20" s="1"/>
  <c r="L20" i="52"/>
  <c r="J20" i="52"/>
  <c r="N20" i="52"/>
  <c r="L14" i="52"/>
  <c r="K20" i="52"/>
  <c r="K14" i="52"/>
  <c r="K37" i="52"/>
  <c r="K43" i="52" s="1"/>
  <c r="P13" i="32"/>
  <c r="I24" i="48" s="1"/>
  <c r="H20" i="48"/>
  <c r="M42" i="52"/>
  <c r="K22" i="52"/>
  <c r="N22" i="52"/>
  <c r="V25" i="52"/>
  <c r="K25" i="52"/>
  <c r="K11" i="52"/>
  <c r="N11" i="52"/>
  <c r="O37" i="52"/>
  <c r="O43" i="52" s="1"/>
  <c r="P11" i="23"/>
  <c r="F20" i="48"/>
  <c r="K42" i="52"/>
  <c r="P80" i="19"/>
  <c r="V17" i="52"/>
  <c r="K17" i="52"/>
  <c r="G20" i="48"/>
  <c r="L42" i="52"/>
  <c r="E20" i="48"/>
  <c r="J42" i="52"/>
  <c r="K21" i="52"/>
  <c r="I20" i="48"/>
  <c r="N42" i="52"/>
  <c r="J6" i="48"/>
  <c r="M6" i="48" s="1"/>
  <c r="Q11" i="23"/>
  <c r="T11" i="23" s="1"/>
  <c r="Q13" i="32"/>
  <c r="J24" i="48" s="1"/>
  <c r="T34" i="41"/>
  <c r="T40" i="41" s="1"/>
  <c r="U41" i="41" s="1"/>
  <c r="T32" i="20"/>
  <c r="W32" i="20" s="1"/>
  <c r="J20" i="48"/>
  <c r="P74" i="19"/>
  <c r="Q74" i="19"/>
  <c r="Q36" i="19"/>
  <c r="Q35" i="19" s="1"/>
  <c r="R23" i="19"/>
  <c r="R74" i="19"/>
  <c r="R75" i="19"/>
  <c r="Q95" i="19"/>
  <c r="Q70" i="19"/>
  <c r="Q5" i="19"/>
  <c r="Q80" i="19"/>
  <c r="R5" i="19"/>
  <c r="R70" i="19"/>
  <c r="Q23" i="19"/>
  <c r="J31" i="48" s="1"/>
  <c r="Q96" i="19"/>
  <c r="S20" i="35"/>
  <c r="S24" i="35" s="1"/>
  <c r="T20" i="35"/>
  <c r="T24" i="35" s="1"/>
  <c r="T13" i="35"/>
  <c r="G5" i="37"/>
  <c r="C45" i="36"/>
  <c r="C44" i="36" s="1"/>
  <c r="C32" i="36"/>
  <c r="D52" i="36"/>
  <c r="H52" i="36"/>
  <c r="K52" i="36"/>
  <c r="I52" i="36"/>
  <c r="C52" i="36"/>
  <c r="J52" i="36"/>
  <c r="G17" i="37"/>
  <c r="S17" i="37"/>
  <c r="S5" i="37"/>
  <c r="G32" i="37"/>
  <c r="G21" i="37"/>
  <c r="S21" i="37"/>
  <c r="S32" i="37"/>
  <c r="G33" i="37"/>
  <c r="G22" i="37"/>
  <c r="S22" i="37"/>
  <c r="S33" i="37"/>
  <c r="O36" i="36"/>
  <c r="O50" i="36"/>
  <c r="S9" i="36"/>
  <c r="S22" i="36"/>
  <c r="I36" i="36"/>
  <c r="I50" i="36"/>
  <c r="L36" i="36"/>
  <c r="L50" i="36"/>
  <c r="F36" i="36"/>
  <c r="F50" i="36"/>
  <c r="G22" i="36"/>
  <c r="G9" i="36"/>
  <c r="N36" i="36"/>
  <c r="N50" i="36"/>
  <c r="H36" i="36"/>
  <c r="H50" i="36"/>
  <c r="D36" i="36"/>
  <c r="D50" i="36"/>
  <c r="J36" i="36"/>
  <c r="J50" i="36"/>
  <c r="C36" i="36"/>
  <c r="C35" i="36" s="1"/>
  <c r="C50" i="36"/>
  <c r="K36" i="36"/>
  <c r="K50" i="36"/>
  <c r="P36" i="36"/>
  <c r="P50" i="36"/>
  <c r="E36" i="36"/>
  <c r="E50" i="36"/>
  <c r="M36" i="36"/>
  <c r="M50" i="36"/>
  <c r="O11" i="23"/>
  <c r="R5" i="37"/>
  <c r="R34" i="41"/>
  <c r="R40" i="41" s="1"/>
  <c r="S41" i="41" s="1"/>
  <c r="R17" i="37"/>
  <c r="G18" i="35"/>
  <c r="G17" i="35"/>
  <c r="G16" i="35"/>
  <c r="G19" i="35"/>
  <c r="R32" i="20"/>
  <c r="R22" i="37"/>
  <c r="O80" i="19"/>
  <c r="R20" i="35"/>
  <c r="R24" i="35" s="1"/>
  <c r="R32" i="37"/>
  <c r="O13" i="32"/>
  <c r="H24" i="48" s="1"/>
  <c r="R9" i="36"/>
  <c r="R25" i="36"/>
  <c r="R13" i="35"/>
  <c r="O74" i="19"/>
  <c r="O35" i="19"/>
  <c r="O75" i="19" s="1"/>
  <c r="O5" i="19"/>
  <c r="O15" i="19" s="1"/>
  <c r="O17" i="19" s="1"/>
  <c r="L81" i="19"/>
  <c r="G84" i="19"/>
  <c r="G95" i="19" s="1"/>
  <c r="F97" i="19"/>
  <c r="K81" i="19"/>
  <c r="H97" i="19"/>
  <c r="G97" i="19"/>
  <c r="E97" i="19"/>
  <c r="D97" i="19"/>
  <c r="J96" i="19"/>
  <c r="K96" i="19"/>
  <c r="D96" i="19"/>
  <c r="F96" i="19"/>
  <c r="L96" i="19"/>
  <c r="G96" i="19"/>
  <c r="E96" i="19"/>
  <c r="H96" i="19"/>
  <c r="M96" i="19"/>
  <c r="I96" i="19"/>
  <c r="N71" i="19"/>
  <c r="O95" i="19" s="1"/>
  <c r="N70" i="19"/>
  <c r="O94" i="19" s="1"/>
  <c r="C69" i="19"/>
  <c r="D69" i="19"/>
  <c r="N72" i="19"/>
  <c r="O96" i="19" s="1"/>
  <c r="D84" i="19"/>
  <c r="D95" i="19" s="1"/>
  <c r="E84" i="19"/>
  <c r="E95" i="19" s="1"/>
  <c r="F84" i="19"/>
  <c r="F95" i="19" s="1"/>
  <c r="I81" i="19"/>
  <c r="H81" i="19"/>
  <c r="D81" i="19"/>
  <c r="J81" i="19"/>
  <c r="L84" i="19"/>
  <c r="M81" i="19"/>
  <c r="H84" i="19"/>
  <c r="H95" i="19" s="1"/>
  <c r="G81" i="19"/>
  <c r="M84" i="19"/>
  <c r="M95" i="19" s="1"/>
  <c r="K84" i="19"/>
  <c r="K95" i="19" s="1"/>
  <c r="E81" i="19"/>
  <c r="C81" i="19"/>
  <c r="I84" i="19"/>
  <c r="I95" i="19" s="1"/>
  <c r="C84" i="19"/>
  <c r="F81" i="19"/>
  <c r="J84" i="19"/>
  <c r="J95" i="19" s="1"/>
  <c r="E36" i="19"/>
  <c r="I36" i="19"/>
  <c r="M36" i="19"/>
  <c r="M35" i="19" s="1"/>
  <c r="M75" i="19" s="1"/>
  <c r="M73" i="19" s="1"/>
  <c r="K36" i="19"/>
  <c r="F36" i="19"/>
  <c r="J36" i="19"/>
  <c r="N36" i="19"/>
  <c r="H36" i="19"/>
  <c r="G36" i="19"/>
  <c r="L36" i="19"/>
  <c r="D11" i="41"/>
  <c r="D15" i="41" s="1"/>
  <c r="E22" i="41" s="1"/>
  <c r="I11" i="41"/>
  <c r="I15" i="41" s="1"/>
  <c r="J22" i="41" s="1"/>
  <c r="O11" i="41"/>
  <c r="F12" i="41"/>
  <c r="M11" i="41"/>
  <c r="M15" i="41" s="1"/>
  <c r="C11" i="41"/>
  <c r="C15" i="41" s="1"/>
  <c r="D22" i="41" s="1"/>
  <c r="J11" i="41"/>
  <c r="J15" i="41" s="1"/>
  <c r="K22" i="41" s="1"/>
  <c r="H11" i="41"/>
  <c r="H15" i="41" s="1"/>
  <c r="I22" i="41" s="1"/>
  <c r="L11" i="41"/>
  <c r="L15" i="41" s="1"/>
  <c r="N11" i="41"/>
  <c r="N15" i="41" s="1"/>
  <c r="D19" i="48" s="1"/>
  <c r="K11" i="41"/>
  <c r="P11" i="41"/>
  <c r="P15" i="41" s="1"/>
  <c r="J26" i="37"/>
  <c r="I26" i="37"/>
  <c r="N26" i="37"/>
  <c r="K26" i="37"/>
  <c r="C26" i="37"/>
  <c r="H26" i="37"/>
  <c r="L26" i="37"/>
  <c r="Q26" i="37"/>
  <c r="M26" i="37"/>
  <c r="O26" i="37"/>
  <c r="E26" i="37"/>
  <c r="D26" i="37"/>
  <c r="F26" i="37"/>
  <c r="P26" i="37"/>
  <c r="C5" i="48"/>
  <c r="C25" i="48"/>
  <c r="E25" i="48"/>
  <c r="D5" i="48"/>
  <c r="D25" i="48"/>
  <c r="I22" i="37"/>
  <c r="I33" i="37"/>
  <c r="E22" i="37"/>
  <c r="E33" i="37"/>
  <c r="Q21" i="37"/>
  <c r="Q32" i="37"/>
  <c r="N21" i="37"/>
  <c r="N32" i="37"/>
  <c r="C19" i="37"/>
  <c r="C30" i="37"/>
  <c r="J22" i="37"/>
  <c r="J33" i="37"/>
  <c r="N22" i="37"/>
  <c r="N33" i="37"/>
  <c r="E20" i="37"/>
  <c r="E31" i="37"/>
  <c r="O21" i="37"/>
  <c r="O32" i="37"/>
  <c r="K21" i="37"/>
  <c r="K32" i="37"/>
  <c r="K22" i="37"/>
  <c r="K33" i="37"/>
  <c r="F22" i="37"/>
  <c r="F33" i="37"/>
  <c r="J20" i="37"/>
  <c r="J31" i="37"/>
  <c r="P21" i="37"/>
  <c r="P32" i="37"/>
  <c r="C21" i="37"/>
  <c r="C32" i="37"/>
  <c r="L22" i="37"/>
  <c r="L33" i="37"/>
  <c r="O22" i="37"/>
  <c r="O33" i="37"/>
  <c r="F21" i="37"/>
  <c r="F32" i="37"/>
  <c r="L21" i="37"/>
  <c r="L32" i="37"/>
  <c r="H22" i="37"/>
  <c r="H33" i="37"/>
  <c r="H20" i="37"/>
  <c r="H31" i="37"/>
  <c r="H21" i="37"/>
  <c r="H32" i="37"/>
  <c r="D21" i="37"/>
  <c r="D32" i="37"/>
  <c r="P22" i="37"/>
  <c r="P33" i="37"/>
  <c r="K20" i="37"/>
  <c r="K31" i="37"/>
  <c r="P20" i="37"/>
  <c r="P31" i="37"/>
  <c r="I21" i="37"/>
  <c r="I32" i="37"/>
  <c r="M21" i="37"/>
  <c r="M32" i="37"/>
  <c r="C22" i="37"/>
  <c r="C33" i="37"/>
  <c r="D22" i="37"/>
  <c r="D33" i="37"/>
  <c r="L20" i="37"/>
  <c r="L31" i="37"/>
  <c r="J21" i="37"/>
  <c r="J32" i="37"/>
  <c r="Q22" i="37"/>
  <c r="Q33" i="37"/>
  <c r="M22" i="37"/>
  <c r="M33" i="37"/>
  <c r="C20" i="37"/>
  <c r="C31" i="37"/>
  <c r="Q20" i="37"/>
  <c r="Q31" i="37"/>
  <c r="E21" i="37"/>
  <c r="E32" i="37"/>
  <c r="E9" i="48"/>
  <c r="D9" i="48"/>
  <c r="C9" i="48"/>
  <c r="F15" i="48"/>
  <c r="G15" i="48"/>
  <c r="G14" i="48"/>
  <c r="J43" i="52"/>
  <c r="M43" i="52"/>
  <c r="N43" i="52"/>
  <c r="L43" i="52"/>
  <c r="Q34" i="41"/>
  <c r="N5" i="19"/>
  <c r="Q5" i="37"/>
  <c r="Q20" i="35"/>
  <c r="Q24" i="35" s="1"/>
  <c r="Q25" i="35" s="1"/>
  <c r="Q32" i="35" s="1"/>
  <c r="Q9" i="36"/>
  <c r="Q13" i="35"/>
  <c r="Q32" i="20"/>
  <c r="X32" i="20" s="1"/>
  <c r="D37" i="41"/>
  <c r="E37" i="41"/>
  <c r="F37" i="41"/>
  <c r="H37" i="41"/>
  <c r="I37" i="41"/>
  <c r="J37" i="41"/>
  <c r="K37" i="41"/>
  <c r="L37" i="41"/>
  <c r="M37" i="41"/>
  <c r="N37" i="41"/>
  <c r="O37" i="41"/>
  <c r="P37" i="41"/>
  <c r="C37" i="41"/>
  <c r="F33" i="41"/>
  <c r="E33" i="41"/>
  <c r="F32" i="41"/>
  <c r="E32" i="41"/>
  <c r="F31" i="41"/>
  <c r="E31" i="41"/>
  <c r="F30" i="41"/>
  <c r="E30" i="41"/>
  <c r="F29" i="41"/>
  <c r="E29" i="41"/>
  <c r="M24" i="48" l="1"/>
  <c r="T20" i="52"/>
  <c r="T8" i="36"/>
  <c r="T22" i="52"/>
  <c r="V20" i="52"/>
  <c r="W41" i="41"/>
  <c r="U90" i="19"/>
  <c r="T90" i="19"/>
  <c r="T76" i="19"/>
  <c r="U76" i="19"/>
  <c r="U26" i="37"/>
  <c r="X28" i="37"/>
  <c r="W28" i="37"/>
  <c r="W23" i="36"/>
  <c r="X23" i="36"/>
  <c r="T71" i="19"/>
  <c r="U71" i="19"/>
  <c r="U70" i="19"/>
  <c r="T70" i="19"/>
  <c r="K31" i="48"/>
  <c r="M31" i="48" s="1"/>
  <c r="T23" i="19"/>
  <c r="X22" i="37"/>
  <c r="W22" i="37"/>
  <c r="R84" i="19"/>
  <c r="U85" i="19"/>
  <c r="T85" i="19"/>
  <c r="X27" i="36"/>
  <c r="W27" i="36"/>
  <c r="T5" i="19"/>
  <c r="U5" i="19"/>
  <c r="Q75" i="19"/>
  <c r="T75" i="19" s="1"/>
  <c r="T35" i="19"/>
  <c r="X33" i="37"/>
  <c r="W33" i="37"/>
  <c r="U72" i="19"/>
  <c r="T72" i="19"/>
  <c r="U87" i="19"/>
  <c r="T87" i="19"/>
  <c r="T13" i="32"/>
  <c r="T74" i="19"/>
  <c r="U74" i="19"/>
  <c r="W25" i="39"/>
  <c r="X25" i="39"/>
  <c r="X20" i="35"/>
  <c r="X22" i="36"/>
  <c r="W22" i="36"/>
  <c r="X5" i="37"/>
  <c r="W5" i="37"/>
  <c r="W20" i="35"/>
  <c r="T36" i="19"/>
  <c r="U36" i="19"/>
  <c r="T21" i="52"/>
  <c r="R96" i="19"/>
  <c r="X17" i="37"/>
  <c r="W17" i="37"/>
  <c r="W24" i="35"/>
  <c r="X24" i="35"/>
  <c r="T81" i="19"/>
  <c r="T88" i="19"/>
  <c r="U88" i="19"/>
  <c r="Q94" i="19"/>
  <c r="F19" i="48"/>
  <c r="K40" i="52"/>
  <c r="T39" i="41"/>
  <c r="T42" i="41" s="1"/>
  <c r="Q15" i="19"/>
  <c r="Q17" i="19" s="1"/>
  <c r="R73" i="19"/>
  <c r="R15" i="19"/>
  <c r="R94" i="19"/>
  <c r="O41" i="52"/>
  <c r="D49" i="36"/>
  <c r="H49" i="36"/>
  <c r="N22" i="41"/>
  <c r="C19" i="48"/>
  <c r="M22" i="41"/>
  <c r="K49" i="36"/>
  <c r="J49" i="36"/>
  <c r="C49" i="36"/>
  <c r="C48" i="36" s="1"/>
  <c r="M35" i="36"/>
  <c r="I49" i="36"/>
  <c r="J35" i="36"/>
  <c r="K35" i="36"/>
  <c r="L35" i="36"/>
  <c r="P35" i="36"/>
  <c r="Q35" i="36"/>
  <c r="H35" i="36"/>
  <c r="I35" i="36"/>
  <c r="N35" i="36"/>
  <c r="O35" i="36"/>
  <c r="S39" i="41"/>
  <c r="S42" i="41" s="1"/>
  <c r="D35" i="36"/>
  <c r="E35" i="36"/>
  <c r="S8" i="36"/>
  <c r="C31" i="36"/>
  <c r="F35" i="36"/>
  <c r="G35" i="36"/>
  <c r="L80" i="19"/>
  <c r="G80" i="19"/>
  <c r="M80" i="19"/>
  <c r="K80" i="19"/>
  <c r="R8" i="36"/>
  <c r="O73" i="19"/>
  <c r="I80" i="19"/>
  <c r="F80" i="19"/>
  <c r="C80" i="19"/>
  <c r="J80" i="19"/>
  <c r="E80" i="19"/>
  <c r="D80" i="19"/>
  <c r="D93" i="19" s="1"/>
  <c r="H80" i="19"/>
  <c r="F94" i="19"/>
  <c r="I94" i="19"/>
  <c r="K94" i="19"/>
  <c r="M94" i="19"/>
  <c r="L94" i="19"/>
  <c r="J94" i="19"/>
  <c r="D94" i="19"/>
  <c r="H94" i="19"/>
  <c r="L95" i="19"/>
  <c r="E94" i="19"/>
  <c r="N95" i="19"/>
  <c r="N96" i="19"/>
  <c r="G94" i="19"/>
  <c r="N15" i="19"/>
  <c r="N17" i="19" s="1"/>
  <c r="Q22" i="41"/>
  <c r="O22" i="41"/>
  <c r="M21" i="41"/>
  <c r="P21" i="41"/>
  <c r="L21" i="41"/>
  <c r="H21" i="41"/>
  <c r="I21" i="41"/>
  <c r="J21" i="41"/>
  <c r="J20" i="41" s="1"/>
  <c r="J23" i="41" s="1"/>
  <c r="N21" i="41"/>
  <c r="C22" i="41"/>
  <c r="C21" i="41"/>
  <c r="O15" i="41"/>
  <c r="F11" i="41"/>
  <c r="K15" i="41"/>
  <c r="L22" i="41" s="1"/>
  <c r="E11" i="41"/>
  <c r="D21" i="41"/>
  <c r="D20" i="41" s="1"/>
  <c r="D23" i="41" s="1"/>
  <c r="D25" i="41" s="1"/>
  <c r="Q40" i="41"/>
  <c r="R41" i="41" s="1"/>
  <c r="R39" i="41" s="1"/>
  <c r="R42" i="41" s="1"/>
  <c r="N41" i="52"/>
  <c r="Q28" i="35"/>
  <c r="F28" i="41"/>
  <c r="E28" i="41"/>
  <c r="E34" i="41" s="1"/>
  <c r="E40" i="41" s="1"/>
  <c r="C34" i="41"/>
  <c r="C41" i="41" s="1"/>
  <c r="I34" i="41"/>
  <c r="I40" i="41" s="1"/>
  <c r="J41" i="41" s="1"/>
  <c r="J34" i="41"/>
  <c r="J40" i="41" s="1"/>
  <c r="K41" i="41" s="1"/>
  <c r="C30" i="35"/>
  <c r="F17" i="35"/>
  <c r="J20" i="35"/>
  <c r="D20" i="35"/>
  <c r="E16" i="35"/>
  <c r="N20" i="35"/>
  <c r="O20" i="35"/>
  <c r="F16" i="35"/>
  <c r="C20" i="35"/>
  <c r="K20" i="35"/>
  <c r="H20" i="35"/>
  <c r="P20" i="35"/>
  <c r="G20" i="35" s="1"/>
  <c r="E18" i="35"/>
  <c r="F18" i="35"/>
  <c r="I20" i="35"/>
  <c r="L20" i="35"/>
  <c r="E17" i="35"/>
  <c r="D34" i="41"/>
  <c r="D40" i="41" s="1"/>
  <c r="O34" i="41"/>
  <c r="N34" i="41"/>
  <c r="H34" i="41"/>
  <c r="H40" i="41" s="1"/>
  <c r="P34" i="41"/>
  <c r="M34" i="41"/>
  <c r="K34" i="41"/>
  <c r="L34" i="41"/>
  <c r="M20" i="35"/>
  <c r="T94" i="19" l="1"/>
  <c r="Q20" i="41"/>
  <c r="Q23" i="41" s="1"/>
  <c r="X22" i="41"/>
  <c r="R17" i="19"/>
  <c r="T15" i="19"/>
  <c r="U15" i="19"/>
  <c r="T96" i="19"/>
  <c r="U96" i="19"/>
  <c r="T84" i="19"/>
  <c r="U84" i="19"/>
  <c r="R95" i="19"/>
  <c r="R80" i="19"/>
  <c r="Q73" i="19"/>
  <c r="T73" i="19" s="1"/>
  <c r="W26" i="37"/>
  <c r="X26" i="37"/>
  <c r="E19" i="48"/>
  <c r="J40" i="52"/>
  <c r="J41" i="52" s="1"/>
  <c r="H48" i="36"/>
  <c r="K48" i="36"/>
  <c r="I48" i="36"/>
  <c r="M20" i="41"/>
  <c r="M23" i="41" s="1"/>
  <c r="D48" i="36"/>
  <c r="J48" i="36"/>
  <c r="C56" i="36"/>
  <c r="C41" i="36"/>
  <c r="P22" i="41"/>
  <c r="P20" i="41" s="1"/>
  <c r="P23" i="41" s="1"/>
  <c r="K41" i="52"/>
  <c r="L20" i="41"/>
  <c r="L23" i="41" s="1"/>
  <c r="C20" i="41"/>
  <c r="C23" i="41" s="1"/>
  <c r="C25" i="41" s="1"/>
  <c r="N20" i="41"/>
  <c r="N23" i="41" s="1"/>
  <c r="K21" i="41"/>
  <c r="K20" i="41" s="1"/>
  <c r="K23" i="41" s="1"/>
  <c r="E15" i="41"/>
  <c r="F22" i="41" s="1"/>
  <c r="O21" i="41"/>
  <c r="O20" i="41" s="1"/>
  <c r="O23" i="41" s="1"/>
  <c r="F15" i="41"/>
  <c r="I20" i="41"/>
  <c r="I23" i="41" s="1"/>
  <c r="N40" i="41"/>
  <c r="O41" i="41" s="1"/>
  <c r="O40" i="41"/>
  <c r="P41" i="41" s="1"/>
  <c r="L41" i="52"/>
  <c r="P40" i="41"/>
  <c r="Q41" i="41" s="1"/>
  <c r="C40" i="41"/>
  <c r="D41" i="41" s="1"/>
  <c r="D39" i="41" s="1"/>
  <c r="D42" i="41" s="1"/>
  <c r="D44" i="41" s="1"/>
  <c r="H24" i="35"/>
  <c r="H25" i="35" s="1"/>
  <c r="J24" i="35"/>
  <c r="J25" i="35" s="1"/>
  <c r="L24" i="35"/>
  <c r="L25" i="35" s="1"/>
  <c r="O24" i="35"/>
  <c r="N24" i="35"/>
  <c r="C24" i="35"/>
  <c r="C25" i="35" s="1"/>
  <c r="I24" i="35"/>
  <c r="P24" i="35"/>
  <c r="F34" i="41"/>
  <c r="F40" i="41" s="1"/>
  <c r="G41" i="41" s="1"/>
  <c r="G39" i="41" s="1"/>
  <c r="G42" i="41" s="1"/>
  <c r="G44" i="41" s="1"/>
  <c r="K24" i="35"/>
  <c r="K25" i="35" s="1"/>
  <c r="M24" i="35"/>
  <c r="D24" i="35"/>
  <c r="J39" i="41"/>
  <c r="J42" i="41" s="1"/>
  <c r="F20" i="35"/>
  <c r="E20" i="35"/>
  <c r="K40" i="41"/>
  <c r="H41" i="41"/>
  <c r="H39" i="41" s="1"/>
  <c r="H42" i="41" s="1"/>
  <c r="E41" i="41"/>
  <c r="E39" i="41" s="1"/>
  <c r="E42" i="41" s="1"/>
  <c r="E44" i="41" s="1"/>
  <c r="F41" i="41"/>
  <c r="M40" i="41"/>
  <c r="I41" i="41"/>
  <c r="I39" i="41" s="1"/>
  <c r="I42" i="41" s="1"/>
  <c r="L40" i="41"/>
  <c r="T80" i="19" l="1"/>
  <c r="U95" i="19"/>
  <c r="T95" i="19"/>
  <c r="R97" i="19"/>
  <c r="T17" i="19"/>
  <c r="U17" i="19"/>
  <c r="Q39" i="41"/>
  <c r="Q42" i="41" s="1"/>
  <c r="X41" i="41"/>
  <c r="H22" i="41"/>
  <c r="H20" i="41" s="1"/>
  <c r="H23" i="41" s="1"/>
  <c r="G22" i="41"/>
  <c r="G20" i="41" s="1"/>
  <c r="G23" i="41" s="1"/>
  <c r="G25" i="41" s="1"/>
  <c r="P25" i="35"/>
  <c r="G24" i="35"/>
  <c r="E21" i="41"/>
  <c r="F21" i="41"/>
  <c r="F20" i="41" s="1"/>
  <c r="F23" i="41" s="1"/>
  <c r="F25" i="41" s="1"/>
  <c r="P39" i="41"/>
  <c r="P42" i="41" s="1"/>
  <c r="O39" i="41"/>
  <c r="O42" i="41" s="1"/>
  <c r="M41" i="52"/>
  <c r="F39" i="41"/>
  <c r="F42" i="41" s="1"/>
  <c r="C39" i="41"/>
  <c r="C42" i="41" s="1"/>
  <c r="C44" i="41" s="1"/>
  <c r="C28" i="35"/>
  <c r="C32" i="35"/>
  <c r="C29" i="35" s="1"/>
  <c r="J28" i="35"/>
  <c r="K32" i="35"/>
  <c r="H32" i="35"/>
  <c r="K28" i="35"/>
  <c r="L32" i="35"/>
  <c r="J32" i="35"/>
  <c r="H28" i="35"/>
  <c r="L28" i="35"/>
  <c r="E24" i="35"/>
  <c r="F24" i="35"/>
  <c r="N41" i="41"/>
  <c r="N39" i="41" s="1"/>
  <c r="N42" i="41" s="1"/>
  <c r="L41" i="41"/>
  <c r="L39" i="41" s="1"/>
  <c r="L42" i="41" s="1"/>
  <c r="K39" i="41"/>
  <c r="K42" i="41" s="1"/>
  <c r="M41" i="41"/>
  <c r="M39" i="41" s="1"/>
  <c r="M42" i="41" s="1"/>
  <c r="P32" i="35" l="1"/>
  <c r="P28" i="35"/>
  <c r="E20" i="41"/>
  <c r="E23" i="41" s="1"/>
  <c r="E25" i="41" s="1"/>
  <c r="C33" i="35"/>
  <c r="L13" i="32"/>
  <c r="K13" i="32"/>
  <c r="D13" i="32"/>
  <c r="H13" i="32"/>
  <c r="C13" i="32"/>
  <c r="J13" i="32"/>
  <c r="I13" i="32"/>
  <c r="G13" i="32"/>
  <c r="F13" i="32"/>
  <c r="E13" i="32"/>
  <c r="D13" i="35"/>
  <c r="I13" i="35"/>
  <c r="L13" i="35"/>
  <c r="P13" i="35"/>
  <c r="C13" i="35"/>
  <c r="D24" i="48" l="1"/>
  <c r="E24" i="48"/>
  <c r="C24" i="48"/>
  <c r="C5" i="31" l="1"/>
  <c r="P30" i="39" l="1"/>
  <c r="O30" i="39"/>
  <c r="N30" i="39"/>
  <c r="M30" i="39"/>
  <c r="L30" i="39"/>
  <c r="K30" i="39"/>
  <c r="J30" i="39"/>
  <c r="I30" i="39"/>
  <c r="F30" i="39"/>
  <c r="D25" i="39"/>
  <c r="E25" i="39"/>
  <c r="H25" i="39"/>
  <c r="I25" i="39"/>
  <c r="J25" i="39"/>
  <c r="L25" i="39"/>
  <c r="M25" i="39"/>
  <c r="N25" i="39"/>
  <c r="P25" i="39"/>
  <c r="C25" i="39"/>
  <c r="P15" i="39"/>
  <c r="O15" i="39"/>
  <c r="N15" i="39"/>
  <c r="M15" i="39"/>
  <c r="L15" i="39"/>
  <c r="K15" i="39"/>
  <c r="J15" i="39"/>
  <c r="I15" i="39"/>
  <c r="F15" i="39"/>
  <c r="F13" i="38"/>
  <c r="I13" i="38"/>
  <c r="J13" i="38"/>
  <c r="K13" i="38"/>
  <c r="L13" i="38"/>
  <c r="M13" i="38"/>
  <c r="N13" i="38"/>
  <c r="O13" i="38"/>
  <c r="P13" i="38"/>
  <c r="H15" i="39" l="1"/>
  <c r="E15" i="39"/>
  <c r="C13" i="39"/>
  <c r="C15" i="39"/>
  <c r="D15" i="39" s="1"/>
  <c r="E30" i="39"/>
  <c r="H30" i="39"/>
  <c r="C11" i="38"/>
  <c r="C13" i="38"/>
  <c r="D13" i="38" s="1"/>
  <c r="C28" i="39"/>
  <c r="C30" i="39"/>
  <c r="D30" i="39" s="1"/>
  <c r="H13" i="38"/>
  <c r="E13" i="38"/>
  <c r="C20" i="39"/>
  <c r="C19" i="39" s="1"/>
  <c r="K28" i="39"/>
  <c r="M28" i="39"/>
  <c r="O28" i="39"/>
  <c r="D28" i="39"/>
  <c r="J28" i="39"/>
  <c r="L28" i="39"/>
  <c r="L13" i="39"/>
  <c r="I28" i="39"/>
  <c r="E28" i="39"/>
  <c r="N28" i="39"/>
  <c r="H28" i="39"/>
  <c r="L11" i="38"/>
  <c r="J11" i="38"/>
  <c r="I11" i="38"/>
  <c r="C6" i="39"/>
  <c r="C5" i="39" s="1"/>
  <c r="M11" i="38"/>
  <c r="D11" i="38"/>
  <c r="D13" i="39"/>
  <c r="N13" i="39"/>
  <c r="O11" i="38"/>
  <c r="N11" i="38"/>
  <c r="E11" i="38"/>
  <c r="K11" i="38"/>
  <c r="E13" i="39"/>
  <c r="M13" i="39"/>
  <c r="J13" i="39"/>
  <c r="I13" i="39"/>
  <c r="H11" i="38"/>
  <c r="K13" i="39"/>
  <c r="O13" i="39"/>
  <c r="H13" i="39"/>
  <c r="C16" i="39" l="1"/>
  <c r="C31" i="39"/>
  <c r="I23" i="36" l="1"/>
  <c r="J23" i="36"/>
  <c r="K23" i="36"/>
  <c r="L23" i="36"/>
  <c r="M23" i="36"/>
  <c r="N23" i="36"/>
  <c r="O23" i="36"/>
  <c r="P23" i="36"/>
  <c r="I25" i="36"/>
  <c r="J25" i="36"/>
  <c r="K25" i="36"/>
  <c r="L25" i="36"/>
  <c r="M25" i="36"/>
  <c r="N25" i="36"/>
  <c r="O25" i="36"/>
  <c r="P25" i="36"/>
  <c r="I27" i="36"/>
  <c r="J27" i="36"/>
  <c r="K27" i="36"/>
  <c r="L27" i="36"/>
  <c r="M27" i="36"/>
  <c r="N27" i="36"/>
  <c r="O27" i="36"/>
  <c r="P27" i="36"/>
  <c r="J22" i="36"/>
  <c r="K22" i="36"/>
  <c r="M22" i="36"/>
  <c r="N22" i="36"/>
  <c r="O22" i="36"/>
  <c r="P22" i="36"/>
  <c r="I22" i="36"/>
  <c r="H22" i="36"/>
  <c r="H23" i="36"/>
  <c r="H25" i="36"/>
  <c r="H27" i="36"/>
  <c r="E23" i="36"/>
  <c r="F23" i="36"/>
  <c r="E25" i="36"/>
  <c r="F25" i="36"/>
  <c r="E27" i="36"/>
  <c r="F27" i="36"/>
  <c r="F22" i="36"/>
  <c r="E22" i="36"/>
  <c r="D22" i="36"/>
  <c r="D23" i="36"/>
  <c r="D25" i="36"/>
  <c r="D27" i="36"/>
  <c r="C27" i="36"/>
  <c r="C23" i="36"/>
  <c r="C25" i="36"/>
  <c r="C22" i="36"/>
  <c r="L9" i="36" l="1"/>
  <c r="C24" i="36"/>
  <c r="C21" i="36" s="1"/>
  <c r="C20" i="36" s="1"/>
  <c r="K24" i="36"/>
  <c r="K21" i="36" s="1"/>
  <c r="J24" i="36"/>
  <c r="J21" i="36" s="1"/>
  <c r="I24" i="36"/>
  <c r="I21" i="36" s="1"/>
  <c r="L22" i="36"/>
  <c r="H24" i="36"/>
  <c r="H21" i="36" s="1"/>
  <c r="D24" i="36"/>
  <c r="D21" i="36" s="1"/>
  <c r="P5" i="37"/>
  <c r="C5" i="37"/>
  <c r="D5" i="37"/>
  <c r="J9" i="36"/>
  <c r="K9" i="36"/>
  <c r="N9" i="36"/>
  <c r="H9" i="36"/>
  <c r="D9" i="36"/>
  <c r="I9" i="36"/>
  <c r="P9" i="36"/>
  <c r="Q8" i="36" s="1"/>
  <c r="O9" i="36"/>
  <c r="M9" i="36"/>
  <c r="E9" i="36"/>
  <c r="F9" i="36"/>
  <c r="G8" i="36" s="1"/>
  <c r="C9" i="36"/>
  <c r="L8" i="36" l="1"/>
  <c r="D20" i="36"/>
  <c r="H20" i="36"/>
  <c r="J20" i="36"/>
  <c r="I20" i="36"/>
  <c r="K20" i="36"/>
  <c r="C8" i="36"/>
  <c r="M8" i="36"/>
  <c r="K8" i="36"/>
  <c r="F8" i="36"/>
  <c r="I8" i="36"/>
  <c r="E8" i="36"/>
  <c r="O8" i="36"/>
  <c r="J8" i="36"/>
  <c r="D8" i="36"/>
  <c r="H8" i="36"/>
  <c r="N8" i="36"/>
  <c r="P8" i="36"/>
  <c r="F41" i="20" l="1"/>
  <c r="E41" i="20"/>
  <c r="F38" i="20"/>
  <c r="E38" i="20"/>
  <c r="F37" i="20"/>
  <c r="E37" i="20"/>
  <c r="F36" i="20"/>
  <c r="E36" i="20"/>
  <c r="F35" i="20"/>
  <c r="E35" i="20"/>
  <c r="F34" i="20"/>
  <c r="E34" i="20"/>
  <c r="F33" i="20"/>
  <c r="E33" i="20"/>
  <c r="F29" i="20"/>
  <c r="E29" i="20"/>
  <c r="F28" i="20"/>
  <c r="E28" i="20"/>
  <c r="F27" i="20"/>
  <c r="E27" i="20"/>
  <c r="F26" i="20"/>
  <c r="E26" i="20"/>
  <c r="F25" i="20"/>
  <c r="E25" i="20"/>
  <c r="F24" i="20"/>
  <c r="E24" i="20"/>
  <c r="F23" i="20"/>
  <c r="E23" i="20"/>
  <c r="F22" i="20"/>
  <c r="E22" i="20"/>
  <c r="F21" i="20"/>
  <c r="E21" i="20"/>
  <c r="F20" i="20"/>
  <c r="E20" i="20"/>
  <c r="F17" i="20"/>
  <c r="E17" i="20"/>
  <c r="F16" i="20"/>
  <c r="E16" i="20"/>
  <c r="F15" i="20"/>
  <c r="E15" i="20"/>
  <c r="F14" i="20"/>
  <c r="E14" i="20"/>
  <c r="F13" i="20"/>
  <c r="E13" i="20"/>
  <c r="F12" i="20"/>
  <c r="E12" i="20"/>
  <c r="F11" i="20"/>
  <c r="E11" i="20"/>
  <c r="F10" i="20"/>
  <c r="E10" i="20"/>
  <c r="F9" i="20"/>
  <c r="E9" i="20"/>
  <c r="F8" i="20"/>
  <c r="E8" i="20"/>
  <c r="F7" i="20"/>
  <c r="E7" i="20"/>
  <c r="F6" i="20"/>
  <c r="E6" i="20"/>
  <c r="F5" i="20"/>
  <c r="E5" i="20"/>
  <c r="E32" i="20" l="1"/>
  <c r="F32" i="20"/>
  <c r="L32" i="20"/>
  <c r="M32" i="20"/>
  <c r="C32" i="20"/>
  <c r="N32" i="20"/>
  <c r="D32" i="20"/>
  <c r="K32" i="20"/>
  <c r="O32" i="20"/>
  <c r="H32" i="20"/>
  <c r="P32" i="20"/>
  <c r="I32" i="20"/>
  <c r="J32" i="20"/>
  <c r="D36" i="19" l="1"/>
  <c r="C36" i="19"/>
  <c r="E5" i="19" l="1"/>
  <c r="M5" i="19"/>
  <c r="G5" i="19"/>
  <c r="F5" i="19"/>
  <c r="C5" i="19"/>
  <c r="K5" i="19"/>
  <c r="H5" i="19"/>
  <c r="J5" i="19"/>
  <c r="D5" i="19"/>
  <c r="L5" i="19"/>
  <c r="I5" i="19"/>
  <c r="M15" i="19" l="1"/>
  <c r="C12" i="19"/>
  <c r="C15" i="19"/>
  <c r="L15" i="19"/>
  <c r="H15" i="19"/>
  <c r="G15" i="19"/>
  <c r="K15" i="19"/>
  <c r="F15" i="19"/>
  <c r="I15" i="19"/>
  <c r="D12" i="19"/>
  <c r="D15" i="19"/>
  <c r="E15" i="19"/>
  <c r="J15" i="19"/>
  <c r="I17" i="19" l="1"/>
  <c r="H17" i="19"/>
  <c r="F17" i="19"/>
  <c r="K17" i="19"/>
  <c r="D17" i="19"/>
  <c r="G17" i="19"/>
  <c r="J17" i="19"/>
  <c r="L17" i="19"/>
  <c r="E17" i="19"/>
  <c r="C17" i="19"/>
  <c r="M17" i="19"/>
  <c r="N5" i="37" l="1"/>
  <c r="M5" i="37"/>
  <c r="J5" i="37"/>
  <c r="L5" i="37"/>
  <c r="F5" i="37"/>
  <c r="H5" i="37"/>
  <c r="I5" i="37"/>
  <c r="K5" i="37"/>
  <c r="E5" i="37"/>
  <c r="K25" i="39" l="1"/>
  <c r="N13" i="35"/>
  <c r="J13" i="35"/>
  <c r="M13" i="35"/>
  <c r="O25" i="39"/>
  <c r="H13" i="35" l="1"/>
  <c r="O5" i="37"/>
  <c r="C9" i="37"/>
  <c r="C29" i="37" s="1"/>
  <c r="C34" i="37" s="1"/>
  <c r="C6" i="36"/>
  <c r="C19" i="36"/>
  <c r="C14" i="37" l="1"/>
  <c r="C18" i="37"/>
  <c r="C23" i="37" s="1"/>
  <c r="C5" i="36"/>
  <c r="C18" i="36"/>
  <c r="C14" i="36" l="1"/>
  <c r="C17" i="36"/>
  <c r="C28" i="36" s="1"/>
  <c r="F25" i="39" l="1"/>
  <c r="F44" i="41" l="1"/>
  <c r="E13" i="35" l="1"/>
  <c r="K13" i="35"/>
  <c r="O13" i="35" l="1"/>
  <c r="F13" i="35"/>
  <c r="N82" i="19" l="1"/>
  <c r="N81" i="19" l="1"/>
  <c r="U82" i="19"/>
  <c r="N94" i="19"/>
  <c r="U94" i="19" s="1"/>
  <c r="N80" i="19" l="1"/>
  <c r="U80" i="19" s="1"/>
  <c r="U81" i="19"/>
  <c r="G9" i="48"/>
  <c r="N9" i="48" s="1"/>
  <c r="G6" i="48" l="1"/>
  <c r="N6" i="48" s="1"/>
  <c r="N11" i="23" l="1"/>
  <c r="U11" i="23" s="1"/>
  <c r="G25" i="48" l="1"/>
  <c r="N25" i="48" s="1"/>
  <c r="I35" i="19"/>
  <c r="I75" i="19" s="1"/>
  <c r="I73" i="19" s="1"/>
  <c r="J35" i="19"/>
  <c r="J75" i="19" s="1"/>
  <c r="J73" i="19" s="1"/>
  <c r="M13" i="32"/>
  <c r="H11" i="23"/>
  <c r="K35" i="19"/>
  <c r="K75" i="19" s="1"/>
  <c r="K73" i="19" s="1"/>
  <c r="C11" i="23"/>
  <c r="F11" i="23"/>
  <c r="E11" i="23"/>
  <c r="G11" i="23"/>
  <c r="D11" i="23"/>
  <c r="L35" i="19"/>
  <c r="L75" i="19" s="1"/>
  <c r="L73" i="19" s="1"/>
  <c r="L97" i="19" l="1"/>
  <c r="M97" i="19"/>
  <c r="K97" i="19"/>
  <c r="J97" i="19"/>
  <c r="I97" i="19"/>
  <c r="F5" i="48"/>
  <c r="E5" i="48"/>
  <c r="F25" i="48"/>
  <c r="F9" i="48"/>
  <c r="F6" i="48"/>
  <c r="F24" i="48"/>
  <c r="L11" i="23"/>
  <c r="E6" i="48"/>
  <c r="D6" i="48"/>
  <c r="K11" i="23"/>
  <c r="M11" i="23"/>
  <c r="N13" i="32"/>
  <c r="U13" i="32" s="1"/>
  <c r="I11" i="23"/>
  <c r="J11" i="23"/>
  <c r="C6" i="48"/>
  <c r="G24" i="48" l="1"/>
  <c r="N24" i="48" s="1"/>
  <c r="G5" i="48"/>
  <c r="N5" i="48" s="1"/>
  <c r="U10" i="30" l="1"/>
  <c r="U59" i="19" l="1"/>
  <c r="T59" i="19"/>
  <c r="U65" i="19"/>
  <c r="T65" i="19"/>
  <c r="U55" i="19"/>
  <c r="T55" i="19"/>
  <c r="W26" i="20"/>
  <c r="X26" i="20"/>
  <c r="U13" i="35"/>
  <c r="W8" i="35"/>
  <c r="X8" i="35"/>
  <c r="U15" i="51" l="1"/>
  <c r="X16" i="51"/>
  <c r="W16" i="51"/>
  <c r="U15" i="41"/>
  <c r="U21" i="41" s="1"/>
  <c r="X5" i="41"/>
  <c r="W5" i="41"/>
  <c r="X21" i="20"/>
  <c r="W21" i="20"/>
  <c r="U34" i="41"/>
  <c r="X28" i="41"/>
  <c r="W28" i="41"/>
  <c r="X13" i="35"/>
  <c r="W13" i="35"/>
  <c r="K19" i="48"/>
  <c r="P40" i="52"/>
  <c r="U54" i="19" l="1"/>
  <c r="T54" i="19"/>
  <c r="X8" i="39"/>
  <c r="W8" i="39"/>
  <c r="X15" i="41"/>
  <c r="W15" i="41"/>
  <c r="W6" i="18"/>
  <c r="X6" i="18"/>
  <c r="W10" i="20"/>
  <c r="X10" i="20"/>
  <c r="X22" i="39"/>
  <c r="W22" i="39"/>
  <c r="U20" i="41"/>
  <c r="X21" i="41"/>
  <c r="W21" i="41"/>
  <c r="X12" i="36"/>
  <c r="W12" i="36"/>
  <c r="X39" i="36"/>
  <c r="W39" i="36"/>
  <c r="U40" i="41"/>
  <c r="W34" i="41"/>
  <c r="X34" i="41"/>
  <c r="X15" i="51"/>
  <c r="W15" i="51"/>
  <c r="T40" i="52"/>
  <c r="E19" i="52"/>
  <c r="D19" i="52" s="1"/>
  <c r="V40" i="52"/>
  <c r="M19" i="48"/>
  <c r="N19" i="48"/>
  <c r="U25" i="36"/>
  <c r="U9" i="36"/>
  <c r="U53" i="36"/>
  <c r="U36" i="36"/>
  <c r="U8" i="36" l="1"/>
  <c r="X9" i="36"/>
  <c r="W9" i="36"/>
  <c r="X20" i="41"/>
  <c r="W20" i="41"/>
  <c r="U39" i="41"/>
  <c r="X40" i="41"/>
  <c r="W40" i="41"/>
  <c r="X53" i="36"/>
  <c r="W53" i="36"/>
  <c r="W25" i="36"/>
  <c r="X25" i="36"/>
  <c r="W20" i="20"/>
  <c r="X20" i="20"/>
  <c r="U35" i="36"/>
  <c r="W36" i="36"/>
  <c r="X36" i="36"/>
  <c r="X24" i="39" l="1"/>
  <c r="W24" i="39"/>
  <c r="W12" i="37"/>
  <c r="X12" i="37"/>
  <c r="X39" i="41"/>
  <c r="W39" i="41"/>
  <c r="W11" i="18"/>
  <c r="X11" i="18"/>
  <c r="X23" i="39"/>
  <c r="X9" i="39"/>
  <c r="X35" i="36"/>
  <c r="W35" i="36"/>
  <c r="X10" i="39"/>
  <c r="W10" i="39"/>
  <c r="X29" i="20"/>
  <c r="W29" i="20"/>
  <c r="W38" i="20"/>
  <c r="X38" i="20"/>
  <c r="X9" i="18"/>
  <c r="X8" i="36"/>
  <c r="W8" i="36"/>
  <c r="P14" i="52"/>
  <c r="V14" i="52" s="1"/>
  <c r="P42" i="52"/>
  <c r="K20" i="48"/>
  <c r="U21" i="37"/>
  <c r="U32" i="37"/>
  <c r="P37" i="52" l="1"/>
  <c r="W17" i="20"/>
  <c r="X17" i="20"/>
  <c r="X32" i="37"/>
  <c r="W32" i="37"/>
  <c r="W41" i="20"/>
  <c r="X41" i="20"/>
  <c r="X21" i="37"/>
  <c r="W21" i="37"/>
  <c r="U25" i="35"/>
  <c r="U32" i="35" s="1"/>
  <c r="X23" i="35"/>
  <c r="X11" i="37"/>
  <c r="N20" i="48"/>
  <c r="M20" i="48"/>
  <c r="V42" i="52"/>
  <c r="T42" i="52"/>
  <c r="V37" i="52"/>
  <c r="P43" i="52"/>
  <c r="T37" i="52"/>
  <c r="U31" i="37"/>
  <c r="U20" i="37"/>
  <c r="X32" i="35" l="1"/>
  <c r="X20" i="37"/>
  <c r="X31" i="37"/>
  <c r="X25" i="35"/>
  <c r="U28" i="35"/>
  <c r="P41" i="52"/>
  <c r="V43" i="52"/>
  <c r="T43" i="52"/>
  <c r="X28" i="35" l="1"/>
  <c r="T41" i="52"/>
  <c r="V41" i="52"/>
  <c r="W23" i="39" l="1"/>
  <c r="W9" i="39"/>
  <c r="O14" i="52" l="1"/>
  <c r="W9" i="18"/>
  <c r="W11" i="37"/>
  <c r="E13" i="52"/>
  <c r="D13" i="52" s="1"/>
  <c r="Q14" i="52" s="1"/>
  <c r="T14" i="52"/>
  <c r="U18" i="41" l="1"/>
  <c r="W19" i="41"/>
  <c r="X19" i="41"/>
  <c r="T48" i="19"/>
  <c r="U48" i="19"/>
  <c r="T25" i="35"/>
  <c r="W25" i="35" s="1"/>
  <c r="W23" i="35"/>
  <c r="P11" i="52"/>
  <c r="T11" i="52" s="1"/>
  <c r="X5" i="18"/>
  <c r="W5" i="18"/>
  <c r="X27" i="39"/>
  <c r="W27" i="39"/>
  <c r="U37" i="41"/>
  <c r="X38" i="41"/>
  <c r="W38" i="41"/>
  <c r="S14" i="52"/>
  <c r="U14" i="52"/>
  <c r="T31" i="37"/>
  <c r="W31" i="37" s="1"/>
  <c r="T20" i="37"/>
  <c r="W20" i="37" s="1"/>
  <c r="T32" i="35" l="1"/>
  <c r="W32" i="35" s="1"/>
  <c r="V11" i="52"/>
  <c r="U42" i="41"/>
  <c r="W37" i="41"/>
  <c r="X37" i="41"/>
  <c r="T28" i="35"/>
  <c r="W28" i="35" s="1"/>
  <c r="U23" i="41"/>
  <c r="W18" i="41"/>
  <c r="X18" i="41"/>
  <c r="S13" i="35"/>
  <c r="G13" i="35" s="1"/>
  <c r="X23" i="41" l="1"/>
  <c r="W23" i="41"/>
  <c r="E11" i="52"/>
  <c r="D11" i="52" s="1"/>
  <c r="X42" i="41"/>
  <c r="W42" i="41"/>
  <c r="N14" i="52" l="1"/>
  <c r="G20" i="37"/>
  <c r="G31" i="37"/>
  <c r="S25" i="35" l="1"/>
  <c r="S31" i="37" l="1"/>
  <c r="S20" i="37"/>
  <c r="S28" i="35"/>
  <c r="S32" i="35"/>
  <c r="M14" i="52" l="1"/>
  <c r="R31" i="37" l="1"/>
  <c r="R20" i="37"/>
  <c r="G23" i="35"/>
  <c r="R25" i="35"/>
  <c r="P75" i="19"/>
  <c r="P73" i="19" s="1"/>
  <c r="Q97" i="19" s="1"/>
  <c r="T97" i="19" s="1"/>
  <c r="P97" i="19" l="1"/>
  <c r="R28" i="35"/>
  <c r="R32" i="35"/>
  <c r="G25" i="35"/>
  <c r="G28" i="35" l="1"/>
  <c r="G32" i="35"/>
  <c r="N35" i="19" l="1"/>
  <c r="N75" i="19" l="1"/>
  <c r="U35" i="19"/>
  <c r="N73" i="19" l="1"/>
  <c r="N97" i="19" s="1"/>
  <c r="U97" i="19" s="1"/>
  <c r="U75" i="19"/>
  <c r="J14" i="52"/>
  <c r="U73" i="19" l="1"/>
  <c r="O97" i="19"/>
  <c r="D25" i="35"/>
  <c r="N25" i="35"/>
  <c r="O25" i="35"/>
  <c r="D32" i="35" l="1"/>
  <c r="D28" i="35"/>
  <c r="M25" i="35"/>
  <c r="F23" i="35"/>
  <c r="F25" i="35" s="1"/>
  <c r="N32" i="35"/>
  <c r="N28" i="35"/>
  <c r="M31" i="37"/>
  <c r="M20" i="37"/>
  <c r="F31" i="37"/>
  <c r="F20" i="37"/>
  <c r="N20" i="37"/>
  <c r="N31" i="37"/>
  <c r="O28" i="35"/>
  <c r="O32" i="35"/>
  <c r="O31" i="37"/>
  <c r="O20" i="37"/>
  <c r="I31" i="37"/>
  <c r="I20" i="37"/>
  <c r="D20" i="37"/>
  <c r="D31" i="37"/>
  <c r="E23" i="35"/>
  <c r="E25" i="35" s="1"/>
  <c r="I25" i="35"/>
  <c r="I28" i="35" l="1"/>
  <c r="I32" i="35"/>
  <c r="E28" i="35"/>
  <c r="E32" i="35"/>
  <c r="F32" i="35"/>
  <c r="F28" i="35"/>
  <c r="M32" i="35"/>
  <c r="M28" i="35"/>
  <c r="U20" i="39" l="1"/>
  <c r="U6" i="39"/>
  <c r="U5" i="39" s="1"/>
  <c r="P10" i="52"/>
  <c r="P12" i="52" s="1"/>
  <c r="K12" i="48" l="1"/>
  <c r="U30" i="35"/>
  <c r="U32" i="36"/>
  <c r="U45" i="36"/>
  <c r="U19" i="39"/>
  <c r="U6" i="36"/>
  <c r="U19" i="36"/>
  <c r="P15" i="52"/>
  <c r="U30" i="37"/>
  <c r="U19" i="37"/>
  <c r="U9" i="37"/>
  <c r="U29" i="35" l="1"/>
  <c r="U31" i="36"/>
  <c r="U44" i="36"/>
  <c r="U29" i="37"/>
  <c r="U18" i="37"/>
  <c r="U14" i="37"/>
  <c r="P18" i="52"/>
  <c r="E27" i="52"/>
  <c r="U5" i="36"/>
  <c r="U18" i="36"/>
  <c r="U23" i="37" l="1"/>
  <c r="U41" i="36"/>
  <c r="U34" i="37"/>
  <c r="U33" i="35"/>
  <c r="P23" i="52"/>
  <c r="U14" i="36"/>
  <c r="U17" i="36"/>
  <c r="K39" i="48"/>
  <c r="E15" i="52"/>
  <c r="D15" i="52" s="1"/>
  <c r="K34" i="48" l="1"/>
  <c r="K35" i="48"/>
  <c r="P26" i="52"/>
  <c r="E25" i="52" l="1"/>
  <c r="E26" i="52"/>
  <c r="R77" i="19" l="1"/>
  <c r="R12" i="19"/>
  <c r="R69" i="19" l="1"/>
  <c r="K18" i="48"/>
  <c r="R102" i="19"/>
  <c r="U25" i="41" l="1"/>
  <c r="U44" i="41"/>
  <c r="K13" i="48"/>
  <c r="E16" i="52"/>
  <c r="D16" i="52" s="1"/>
  <c r="K29" i="48" l="1"/>
  <c r="R5" i="31"/>
  <c r="K38" i="48"/>
  <c r="P35" i="52" l="1"/>
  <c r="K26" i="48"/>
  <c r="K30" i="48"/>
  <c r="U52" i="36" l="1"/>
  <c r="U24" i="36"/>
  <c r="T24" i="36"/>
  <c r="T21" i="36" s="1"/>
  <c r="T52" i="36"/>
  <c r="T49" i="36" s="1"/>
  <c r="U21" i="36" l="1"/>
  <c r="W24" i="36"/>
  <c r="W54" i="36"/>
  <c r="W26" i="36"/>
  <c r="U49" i="36"/>
  <c r="W52" i="36"/>
  <c r="U20" i="36"/>
  <c r="O34" i="52"/>
  <c r="U28" i="36" l="1"/>
  <c r="K36" i="48" s="1"/>
  <c r="W49" i="36"/>
  <c r="U48" i="36"/>
  <c r="P34" i="52"/>
  <c r="P36" i="52" s="1"/>
  <c r="Q36" i="52" s="1"/>
  <c r="W21" i="36"/>
  <c r="O36" i="52"/>
  <c r="E12" i="52"/>
  <c r="D12" i="52" s="1"/>
  <c r="Q22" i="52" s="1"/>
  <c r="T34" i="52" l="1"/>
  <c r="E18" i="52"/>
  <c r="D18" i="52" s="1"/>
  <c r="Q34" i="52" s="1"/>
  <c r="Q37" i="52" s="1"/>
  <c r="U56" i="36"/>
  <c r="T36" i="52"/>
  <c r="S36" i="52"/>
  <c r="S22" i="52"/>
  <c r="U22" i="52"/>
  <c r="Q12" i="52" l="1"/>
  <c r="Q40" i="52"/>
  <c r="Q35" i="52"/>
  <c r="S34" i="52"/>
  <c r="K37" i="48"/>
  <c r="S40" i="52"/>
  <c r="Q11" i="52"/>
  <c r="Q10" i="52" s="1"/>
  <c r="U40" i="52"/>
  <c r="U37" i="52"/>
  <c r="S37" i="52"/>
  <c r="Q43" i="52"/>
  <c r="Q15" i="52"/>
  <c r="D27" i="52" l="1"/>
  <c r="Q21" i="52"/>
  <c r="U11" i="52"/>
  <c r="S11" i="52"/>
  <c r="S43" i="52"/>
  <c r="U43" i="52"/>
  <c r="T40" i="19"/>
  <c r="S21" i="52" l="1"/>
  <c r="U21" i="52"/>
  <c r="Q20" i="52"/>
  <c r="T39" i="19" l="1"/>
  <c r="U20" i="52"/>
  <c r="S20" i="52"/>
  <c r="O10" i="52" l="1"/>
  <c r="W4" i="18"/>
  <c r="T6" i="39"/>
  <c r="W6" i="39" s="1"/>
  <c r="W7" i="39"/>
  <c r="T20" i="39"/>
  <c r="W21" i="39"/>
  <c r="J12" i="48"/>
  <c r="M12" i="48" s="1"/>
  <c r="T5" i="39"/>
  <c r="W5" i="39" s="1"/>
  <c r="O12" i="52"/>
  <c r="T10" i="52"/>
  <c r="S10" i="52"/>
  <c r="W10" i="37"/>
  <c r="W7" i="36"/>
  <c r="W7" i="18"/>
  <c r="T66" i="19"/>
  <c r="T11" i="19"/>
  <c r="T19" i="39" l="1"/>
  <c r="W19" i="39" s="1"/>
  <c r="W20" i="39"/>
  <c r="T45" i="36"/>
  <c r="W46" i="36"/>
  <c r="T30" i="35"/>
  <c r="W31" i="35"/>
  <c r="T32" i="36"/>
  <c r="W33" i="36"/>
  <c r="T19" i="36"/>
  <c r="W19" i="36" s="1"/>
  <c r="T6" i="36"/>
  <c r="W6" i="36" s="1"/>
  <c r="O15" i="52"/>
  <c r="T12" i="52"/>
  <c r="S12" i="52"/>
  <c r="T30" i="37"/>
  <c r="W30" i="37" s="1"/>
  <c r="T19" i="37"/>
  <c r="W19" i="37" s="1"/>
  <c r="T9" i="37"/>
  <c r="W9" i="37" s="1"/>
  <c r="W14" i="39"/>
  <c r="W12" i="38"/>
  <c r="W29" i="39"/>
  <c r="Q77" i="19"/>
  <c r="T77" i="19" s="1"/>
  <c r="Q12" i="19"/>
  <c r="T12" i="19" s="1"/>
  <c r="T21" i="19"/>
  <c r="T27" i="19"/>
  <c r="T29" i="35" l="1"/>
  <c r="W30" i="35"/>
  <c r="J40" i="48"/>
  <c r="W13" i="28"/>
  <c r="T25" i="41"/>
  <c r="W24" i="41"/>
  <c r="T44" i="41"/>
  <c r="W44" i="41" s="1"/>
  <c r="W43" i="41"/>
  <c r="T31" i="36"/>
  <c r="W32" i="36"/>
  <c r="J29" i="48"/>
  <c r="M29" i="48" s="1"/>
  <c r="T22" i="19"/>
  <c r="T44" i="36"/>
  <c r="W44" i="36" s="1"/>
  <c r="W45" i="36"/>
  <c r="Q5" i="31"/>
  <c r="T6" i="31"/>
  <c r="T29" i="37"/>
  <c r="T18" i="37"/>
  <c r="T14" i="37"/>
  <c r="O18" i="52"/>
  <c r="T15" i="52"/>
  <c r="S15" i="52"/>
  <c r="T5" i="36"/>
  <c r="W5" i="36" s="1"/>
  <c r="T18" i="36"/>
  <c r="W18" i="36" s="1"/>
  <c r="R98" i="19"/>
  <c r="Q69" i="19"/>
  <c r="U30" i="39"/>
  <c r="U28" i="39"/>
  <c r="W8" i="51"/>
  <c r="U13" i="38"/>
  <c r="U11" i="38"/>
  <c r="Q102" i="19"/>
  <c r="T102" i="19" s="1"/>
  <c r="J18" i="48"/>
  <c r="M18" i="48" s="1"/>
  <c r="U15" i="39"/>
  <c r="U13" i="39"/>
  <c r="W12" i="28"/>
  <c r="T6" i="38"/>
  <c r="T5" i="38" s="1"/>
  <c r="U6" i="38" l="1"/>
  <c r="W10" i="38"/>
  <c r="J38" i="48"/>
  <c r="M38" i="48" s="1"/>
  <c r="W25" i="41"/>
  <c r="J26" i="48"/>
  <c r="M26" i="48" s="1"/>
  <c r="T5" i="31"/>
  <c r="J30" i="48"/>
  <c r="M30" i="48" s="1"/>
  <c r="T28" i="19"/>
  <c r="U16" i="39"/>
  <c r="U31" i="39"/>
  <c r="J39" i="48"/>
  <c r="M39" i="48" s="1"/>
  <c r="W14" i="37"/>
  <c r="R93" i="19"/>
  <c r="T69" i="19"/>
  <c r="T23" i="37"/>
  <c r="W23" i="37" s="1"/>
  <c r="W18" i="37"/>
  <c r="T34" i="37"/>
  <c r="W34" i="37" s="1"/>
  <c r="W29" i="37"/>
  <c r="T41" i="36"/>
  <c r="W31" i="36"/>
  <c r="T33" i="35"/>
  <c r="W33" i="35" s="1"/>
  <c r="W29" i="35"/>
  <c r="T17" i="36"/>
  <c r="W17" i="36" s="1"/>
  <c r="T14" i="36"/>
  <c r="O23" i="52"/>
  <c r="T18" i="52"/>
  <c r="O35" i="52"/>
  <c r="U9" i="51"/>
  <c r="J13" i="48" l="1"/>
  <c r="M13" i="48" s="1"/>
  <c r="W12" i="18"/>
  <c r="J35" i="48"/>
  <c r="M35" i="48" s="1"/>
  <c r="W41" i="36"/>
  <c r="J34" i="48"/>
  <c r="M34" i="48" s="1"/>
  <c r="W14" i="36"/>
  <c r="U7" i="51"/>
  <c r="K7" i="48"/>
  <c r="U5" i="38"/>
  <c r="W6" i="38"/>
  <c r="O26" i="52"/>
  <c r="T26" i="52" s="1"/>
  <c r="T23" i="52"/>
  <c r="H12" i="19"/>
  <c r="H77" i="19"/>
  <c r="T35" i="52"/>
  <c r="S35" i="52"/>
  <c r="W5" i="38" l="1"/>
  <c r="U14" i="38"/>
  <c r="H69" i="19"/>
  <c r="K8" i="48" l="1"/>
  <c r="K15" i="48" l="1"/>
  <c r="N15" i="48" s="1"/>
  <c r="W26" i="18"/>
  <c r="X26" i="18"/>
  <c r="W15" i="18"/>
  <c r="K14" i="48"/>
  <c r="N14" i="48" s="1"/>
  <c r="W23" i="18"/>
  <c r="X23" i="18"/>
  <c r="M15" i="48"/>
  <c r="W8" i="28"/>
  <c r="M14" i="48" l="1"/>
  <c r="K40" i="48"/>
  <c r="M40" i="48" s="1"/>
  <c r="W11" i="28" l="1"/>
  <c r="W10" i="28"/>
  <c r="G14" i="39" l="1"/>
  <c r="T15" i="39"/>
  <c r="W15" i="39" s="1"/>
  <c r="T13" i="39"/>
  <c r="T11" i="38"/>
  <c r="G12" i="38"/>
  <c r="T13" i="38"/>
  <c r="W13" i="38" s="1"/>
  <c r="G29" i="39"/>
  <c r="T30" i="39"/>
  <c r="W30" i="39" s="1"/>
  <c r="T28" i="39"/>
  <c r="W9" i="28"/>
  <c r="T14" i="38" l="1"/>
  <c r="W11" i="38"/>
  <c r="T16" i="39"/>
  <c r="W13" i="39"/>
  <c r="T31" i="39"/>
  <c r="W31" i="39" s="1"/>
  <c r="W28" i="39"/>
  <c r="G6" i="39"/>
  <c r="G5" i="39" s="1"/>
  <c r="G20" i="39"/>
  <c r="G19" i="39" s="1"/>
  <c r="S25" i="41"/>
  <c r="I38" i="48" s="1"/>
  <c r="S44" i="41"/>
  <c r="J8" i="48" l="1"/>
  <c r="M8" i="48" s="1"/>
  <c r="W14" i="38"/>
  <c r="J7" i="48"/>
  <c r="M7" i="48" s="1"/>
  <c r="W16" i="39"/>
  <c r="G32" i="36"/>
  <c r="G31" i="36" s="1"/>
  <c r="G41" i="36" s="1"/>
  <c r="G45" i="36"/>
  <c r="G44" i="36" s="1"/>
  <c r="G30" i="35"/>
  <c r="G29" i="35" s="1"/>
  <c r="G33" i="35" s="1"/>
  <c r="G6" i="36" l="1"/>
  <c r="G19" i="36"/>
  <c r="G19" i="37"/>
  <c r="G30" i="37"/>
  <c r="G9" i="37"/>
  <c r="U11" i="19"/>
  <c r="G14" i="37" l="1"/>
  <c r="G8" i="28" s="1"/>
  <c r="G18" i="37"/>
  <c r="G23" i="37" s="1"/>
  <c r="G29" i="37"/>
  <c r="G34" i="37" s="1"/>
  <c r="G18" i="36"/>
  <c r="G5" i="36"/>
  <c r="P12" i="19"/>
  <c r="P77" i="19"/>
  <c r="M12" i="19"/>
  <c r="M77" i="19"/>
  <c r="K77" i="19"/>
  <c r="K12" i="19"/>
  <c r="J12" i="19"/>
  <c r="J77" i="19"/>
  <c r="I12" i="19"/>
  <c r="I102" i="19" s="1"/>
  <c r="I77" i="19"/>
  <c r="G77" i="19"/>
  <c r="G12" i="19"/>
  <c r="L77" i="19"/>
  <c r="L12" i="19"/>
  <c r="O77" i="19"/>
  <c r="O12" i="19"/>
  <c r="F12" i="19"/>
  <c r="F77" i="19"/>
  <c r="N12" i="19"/>
  <c r="U12" i="19" s="1"/>
  <c r="N77" i="19"/>
  <c r="U77" i="19" s="1"/>
  <c r="E12" i="19"/>
  <c r="E77" i="19"/>
  <c r="G17" i="36" l="1"/>
  <c r="G14" i="36"/>
  <c r="O102" i="19"/>
  <c r="H18" i="48"/>
  <c r="K98" i="19"/>
  <c r="J69" i="19"/>
  <c r="E69" i="19"/>
  <c r="F98" i="19"/>
  <c r="E98" i="19"/>
  <c r="O69" i="19"/>
  <c r="P98" i="19"/>
  <c r="J102" i="19"/>
  <c r="C18" i="48"/>
  <c r="E18" i="48"/>
  <c r="L102" i="19"/>
  <c r="K102" i="19"/>
  <c r="D18" i="48"/>
  <c r="L69" i="19"/>
  <c r="M98" i="19"/>
  <c r="L98" i="19"/>
  <c r="K69" i="19"/>
  <c r="O98" i="19"/>
  <c r="N69" i="19"/>
  <c r="U69" i="19" s="1"/>
  <c r="N98" i="19"/>
  <c r="U98" i="19" s="1"/>
  <c r="M69" i="19"/>
  <c r="G18" i="48"/>
  <c r="N18" i="48" s="1"/>
  <c r="N102" i="19"/>
  <c r="U102" i="19" s="1"/>
  <c r="H98" i="19"/>
  <c r="G69" i="19"/>
  <c r="H93" i="19" s="1"/>
  <c r="F18" i="48"/>
  <c r="M102" i="19"/>
  <c r="G98" i="19"/>
  <c r="F69" i="19"/>
  <c r="I69" i="19"/>
  <c r="J98" i="19"/>
  <c r="I98" i="19"/>
  <c r="Q98" i="19"/>
  <c r="T98" i="19" s="1"/>
  <c r="P69" i="19"/>
  <c r="Q93" i="19" s="1"/>
  <c r="T93" i="19" s="1"/>
  <c r="P102" i="19"/>
  <c r="I18" i="48"/>
  <c r="G93" i="19" l="1"/>
  <c r="N93" i="19"/>
  <c r="U93" i="19" s="1"/>
  <c r="K93" i="19"/>
  <c r="O93" i="19"/>
  <c r="M93" i="19"/>
  <c r="P93" i="19"/>
  <c r="J93" i="19"/>
  <c r="I93" i="19"/>
  <c r="E93" i="19"/>
  <c r="F93" i="19"/>
  <c r="L93" i="19"/>
  <c r="I30" i="48"/>
  <c r="T9" i="51" l="1"/>
  <c r="G8" i="51"/>
  <c r="N35" i="52"/>
  <c r="T7" i="51" l="1"/>
  <c r="W7" i="51" s="1"/>
  <c r="W9" i="51"/>
  <c r="R25" i="41" l="1"/>
  <c r="H38" i="48" s="1"/>
  <c r="R44" i="41"/>
  <c r="H40" i="48" l="1"/>
  <c r="D20" i="39" l="1"/>
  <c r="D19" i="39" s="1"/>
  <c r="D31" i="39" s="1"/>
  <c r="D6" i="39"/>
  <c r="D5" i="39" s="1"/>
  <c r="D16" i="39" s="1"/>
  <c r="D32" i="36" l="1"/>
  <c r="D31" i="36" s="1"/>
  <c r="D41" i="36" s="1"/>
  <c r="D30" i="35"/>
  <c r="D29" i="35" s="1"/>
  <c r="D33" i="35" s="1"/>
  <c r="D45" i="36"/>
  <c r="D44" i="36" s="1"/>
  <c r="D56" i="36" s="1"/>
  <c r="D6" i="36" l="1"/>
  <c r="D19" i="36"/>
  <c r="D30" i="37"/>
  <c r="D19" i="37"/>
  <c r="D9" i="37"/>
  <c r="M10" i="52" l="1"/>
  <c r="M12" i="52" s="1"/>
  <c r="M15" i="52" s="1"/>
  <c r="M18" i="52" s="1"/>
  <c r="M23" i="52" s="1"/>
  <c r="M26" i="52" s="1"/>
  <c r="R6" i="39"/>
  <c r="R20" i="39"/>
  <c r="R19" i="39" s="1"/>
  <c r="D14" i="37"/>
  <c r="D29" i="37"/>
  <c r="D34" i="37" s="1"/>
  <c r="D18" i="37"/>
  <c r="D23" i="37" s="1"/>
  <c r="D18" i="36"/>
  <c r="D5" i="36"/>
  <c r="E20" i="39" l="1"/>
  <c r="E19" i="39" s="1"/>
  <c r="E31" i="39" s="1"/>
  <c r="E6" i="39"/>
  <c r="E5" i="39" s="1"/>
  <c r="E16" i="39" s="1"/>
  <c r="U40" i="19"/>
  <c r="F20" i="39"/>
  <c r="F19" i="39" s="1"/>
  <c r="F6" i="39"/>
  <c r="F5" i="39" s="1"/>
  <c r="H12" i="48"/>
  <c r="R5" i="39"/>
  <c r="D17" i="36"/>
  <c r="D28" i="36" s="1"/>
  <c r="D14" i="36"/>
  <c r="P6" i="39" l="1"/>
  <c r="K10" i="52"/>
  <c r="K12" i="52" s="1"/>
  <c r="K15" i="52" s="1"/>
  <c r="K18" i="52" s="1"/>
  <c r="K23" i="52" s="1"/>
  <c r="K26" i="52" s="1"/>
  <c r="P20" i="39"/>
  <c r="P19" i="39" s="1"/>
  <c r="J20" i="39"/>
  <c r="J19" i="39" s="1"/>
  <c r="J31" i="39" s="1"/>
  <c r="J6" i="39"/>
  <c r="J5" i="39" s="1"/>
  <c r="J16" i="39" s="1"/>
  <c r="U39" i="19"/>
  <c r="L20" i="39"/>
  <c r="L19" i="39" s="1"/>
  <c r="L31" i="39" s="1"/>
  <c r="L6" i="39"/>
  <c r="L5" i="39" s="1"/>
  <c r="L16" i="39" s="1"/>
  <c r="M20" i="39"/>
  <c r="M19" i="39" s="1"/>
  <c r="M31" i="39" s="1"/>
  <c r="M6" i="39"/>
  <c r="O20" i="39"/>
  <c r="O19" i="39" s="1"/>
  <c r="O31" i="39" s="1"/>
  <c r="J10" i="52"/>
  <c r="J12" i="52" s="1"/>
  <c r="J15" i="52" s="1"/>
  <c r="J18" i="52" s="1"/>
  <c r="J23" i="52" s="1"/>
  <c r="J26" i="52" s="1"/>
  <c r="O6" i="39"/>
  <c r="F32" i="36"/>
  <c r="F31" i="36" s="1"/>
  <c r="F41" i="36" s="1"/>
  <c r="F45" i="36"/>
  <c r="F44" i="36" s="1"/>
  <c r="F30" i="35"/>
  <c r="F29" i="35" s="1"/>
  <c r="F33" i="35" s="1"/>
  <c r="N20" i="39"/>
  <c r="N19" i="39" s="1"/>
  <c r="N31" i="39" s="1"/>
  <c r="N6" i="39"/>
  <c r="K6" i="39"/>
  <c r="K5" i="39" s="1"/>
  <c r="K16" i="39" s="1"/>
  <c r="K20" i="39"/>
  <c r="K19" i="39" s="1"/>
  <c r="K31" i="39" s="1"/>
  <c r="I20" i="39"/>
  <c r="I19" i="39" s="1"/>
  <c r="I31" i="39" s="1"/>
  <c r="I6" i="39"/>
  <c r="I5" i="39" s="1"/>
  <c r="I16" i="39" s="1"/>
  <c r="Q6" i="39" l="1"/>
  <c r="X6" i="39" s="1"/>
  <c r="X7" i="39"/>
  <c r="Q20" i="39"/>
  <c r="X21" i="39"/>
  <c r="L10" i="52"/>
  <c r="L12" i="52" s="1"/>
  <c r="X4" i="18"/>
  <c r="X10" i="37"/>
  <c r="U66" i="19"/>
  <c r="X7" i="36"/>
  <c r="X7" i="18"/>
  <c r="S6" i="39"/>
  <c r="S20" i="39"/>
  <c r="S19" i="39" s="1"/>
  <c r="N10" i="52"/>
  <c r="N12" i="52" s="1"/>
  <c r="N15" i="52" s="1"/>
  <c r="N18" i="52" s="1"/>
  <c r="N23" i="52" s="1"/>
  <c r="N26" i="52" s="1"/>
  <c r="F30" i="37"/>
  <c r="F19" i="37"/>
  <c r="F9" i="37"/>
  <c r="F6" i="36"/>
  <c r="F19" i="36"/>
  <c r="M5" i="39"/>
  <c r="M16" i="39" s="1"/>
  <c r="C7" i="48" s="1"/>
  <c r="C12" i="48"/>
  <c r="R30" i="35"/>
  <c r="R29" i="35" s="1"/>
  <c r="R33" i="35" s="1"/>
  <c r="R45" i="36"/>
  <c r="R44" i="36" s="1"/>
  <c r="R32" i="36"/>
  <c r="R31" i="36" s="1"/>
  <c r="R41" i="36" s="1"/>
  <c r="H35" i="48" s="1"/>
  <c r="D12" i="48"/>
  <c r="N5" i="39"/>
  <c r="N16" i="39" s="1"/>
  <c r="D7" i="48" s="1"/>
  <c r="G12" i="48"/>
  <c r="N12" i="48" s="1"/>
  <c r="Q5" i="39"/>
  <c r="X5" i="39" s="1"/>
  <c r="E12" i="48"/>
  <c r="O5" i="39"/>
  <c r="O16" i="39" s="1"/>
  <c r="E7" i="48" s="1"/>
  <c r="P5" i="39"/>
  <c r="F12" i="48"/>
  <c r="H13" i="48"/>
  <c r="Q32" i="36" l="1"/>
  <c r="X33" i="36"/>
  <c r="Q30" i="35"/>
  <c r="X31" i="35"/>
  <c r="Q19" i="39"/>
  <c r="X19" i="39" s="1"/>
  <c r="X20" i="39"/>
  <c r="U10" i="52"/>
  <c r="V10" i="52"/>
  <c r="Q45" i="36"/>
  <c r="X46" i="36"/>
  <c r="R6" i="36"/>
  <c r="R19" i="36"/>
  <c r="S30" i="35"/>
  <c r="S29" i="35" s="1"/>
  <c r="S33" i="35" s="1"/>
  <c r="S32" i="36"/>
  <c r="S31" i="36" s="1"/>
  <c r="S41" i="36" s="1"/>
  <c r="I35" i="48" s="1"/>
  <c r="S45" i="36"/>
  <c r="S44" i="36" s="1"/>
  <c r="F5" i="36"/>
  <c r="F18" i="36"/>
  <c r="R30" i="37"/>
  <c r="R19" i="37"/>
  <c r="R9" i="37"/>
  <c r="Q19" i="36"/>
  <c r="X19" i="36" s="1"/>
  <c r="Q6" i="36"/>
  <c r="X6" i="36" s="1"/>
  <c r="L15" i="52"/>
  <c r="V12" i="52"/>
  <c r="U12" i="52"/>
  <c r="F14" i="37"/>
  <c r="F29" i="37"/>
  <c r="F34" i="37" s="1"/>
  <c r="F18" i="37"/>
  <c r="F23" i="37" s="1"/>
  <c r="Q19" i="37"/>
  <c r="X19" i="37" s="1"/>
  <c r="Q30" i="37"/>
  <c r="X30" i="37" s="1"/>
  <c r="Q9" i="37"/>
  <c r="X9" i="37" s="1"/>
  <c r="S5" i="39"/>
  <c r="I12" i="48"/>
  <c r="Q29" i="35" l="1"/>
  <c r="X30" i="35"/>
  <c r="Q44" i="36"/>
  <c r="X44" i="36" s="1"/>
  <c r="X45" i="36"/>
  <c r="Q31" i="36"/>
  <c r="X32" i="36"/>
  <c r="R29" i="37"/>
  <c r="R34" i="37" s="1"/>
  <c r="R14" i="37"/>
  <c r="H39" i="48" s="1"/>
  <c r="R18" i="37"/>
  <c r="R23" i="37" s="1"/>
  <c r="S19" i="37"/>
  <c r="S30" i="37"/>
  <c r="S9" i="37"/>
  <c r="F17" i="36"/>
  <c r="F14" i="36"/>
  <c r="Q18" i="37"/>
  <c r="Q14" i="37"/>
  <c r="Q29" i="37"/>
  <c r="L18" i="52"/>
  <c r="V15" i="52"/>
  <c r="U15" i="52"/>
  <c r="Q5" i="36"/>
  <c r="X5" i="36" s="1"/>
  <c r="Q18" i="36"/>
  <c r="X18" i="36" s="1"/>
  <c r="S6" i="36"/>
  <c r="S19" i="36"/>
  <c r="R5" i="36"/>
  <c r="R18" i="36"/>
  <c r="S52" i="36"/>
  <c r="S49" i="36" s="1"/>
  <c r="S24" i="36"/>
  <c r="S21" i="36" s="1"/>
  <c r="R24" i="36"/>
  <c r="R21" i="36" s="1"/>
  <c r="R52" i="36"/>
  <c r="R49" i="36" s="1"/>
  <c r="G39" i="48" l="1"/>
  <c r="N39" i="48" s="1"/>
  <c r="X14" i="37"/>
  <c r="Q23" i="37"/>
  <c r="X23" i="37" s="1"/>
  <c r="X18" i="37"/>
  <c r="Q41" i="36"/>
  <c r="X31" i="36"/>
  <c r="Q34" i="37"/>
  <c r="X34" i="37" s="1"/>
  <c r="X29" i="37"/>
  <c r="Q33" i="35"/>
  <c r="X33" i="35" s="1"/>
  <c r="X29" i="35"/>
  <c r="R17" i="36"/>
  <c r="R14" i="36"/>
  <c r="H34" i="48" s="1"/>
  <c r="L23" i="52"/>
  <c r="V18" i="52"/>
  <c r="S18" i="37"/>
  <c r="S23" i="37" s="1"/>
  <c r="S29" i="37"/>
  <c r="S34" i="37" s="1"/>
  <c r="S14" i="37"/>
  <c r="I39" i="48" s="1"/>
  <c r="S18" i="36"/>
  <c r="S5" i="36"/>
  <c r="Q17" i="36"/>
  <c r="X17" i="36" s="1"/>
  <c r="Q14" i="36"/>
  <c r="G52" i="36"/>
  <c r="G49" i="36" s="1"/>
  <c r="G24" i="36"/>
  <c r="G21" i="36" s="1"/>
  <c r="M34" i="52"/>
  <c r="M36" i="52" s="1"/>
  <c r="S20" i="36"/>
  <c r="N34" i="52"/>
  <c r="N36" i="52" s="1"/>
  <c r="T20" i="36"/>
  <c r="S48" i="36"/>
  <c r="S56" i="36" s="1"/>
  <c r="I37" i="48" s="1"/>
  <c r="T48" i="36"/>
  <c r="W6" i="28"/>
  <c r="G34" i="48" l="1"/>
  <c r="N34" i="48" s="1"/>
  <c r="X14" i="36"/>
  <c r="T56" i="36"/>
  <c r="W48" i="36"/>
  <c r="G35" i="48"/>
  <c r="N35" i="48" s="1"/>
  <c r="X41" i="36"/>
  <c r="T28" i="36"/>
  <c r="W20" i="36"/>
  <c r="L26" i="52"/>
  <c r="V26" i="52" s="1"/>
  <c r="V23" i="52"/>
  <c r="S17" i="36"/>
  <c r="S28" i="36" s="1"/>
  <c r="I36" i="48" s="1"/>
  <c r="S14" i="36"/>
  <c r="I34" i="48" s="1"/>
  <c r="W7" i="28"/>
  <c r="J36" i="48" l="1"/>
  <c r="M36" i="48" s="1"/>
  <c r="W28" i="36"/>
  <c r="J37" i="48"/>
  <c r="M37" i="48" s="1"/>
  <c r="W56" i="36"/>
  <c r="H31" i="48"/>
  <c r="I13" i="48" l="1"/>
  <c r="H30" i="48"/>
  <c r="H29" i="48"/>
  <c r="O5" i="31" l="1"/>
  <c r="H26" i="48" s="1"/>
  <c r="Q25" i="41" l="1"/>
  <c r="X24" i="41"/>
  <c r="Q44" i="41"/>
  <c r="X44" i="41" s="1"/>
  <c r="X43" i="41"/>
  <c r="M25" i="41"/>
  <c r="C38" i="48" s="1"/>
  <c r="M44" i="41"/>
  <c r="M35" i="52"/>
  <c r="S9" i="51"/>
  <c r="S7" i="51" s="1"/>
  <c r="G13" i="48" l="1"/>
  <c r="N13" i="48" s="1"/>
  <c r="X12" i="18"/>
  <c r="G38" i="48"/>
  <c r="N38" i="48" s="1"/>
  <c r="X25" i="41"/>
  <c r="S15" i="39"/>
  <c r="S13" i="39"/>
  <c r="S16" i="39" s="1"/>
  <c r="I7" i="48" s="1"/>
  <c r="S30" i="39"/>
  <c r="S28" i="39"/>
  <c r="S31" i="39" s="1"/>
  <c r="S13" i="38"/>
  <c r="S11" i="38"/>
  <c r="X15" i="18" l="1"/>
  <c r="Q52" i="36" l="1"/>
  <c r="X54" i="36"/>
  <c r="Q24" i="36"/>
  <c r="X26" i="36"/>
  <c r="U21" i="19"/>
  <c r="Q21" i="36" l="1"/>
  <c r="X24" i="36"/>
  <c r="Q49" i="36"/>
  <c r="X52" i="36"/>
  <c r="E52" i="36"/>
  <c r="E49" i="36" s="1"/>
  <c r="E48" i="36" s="1"/>
  <c r="E24" i="36"/>
  <c r="E21" i="36" s="1"/>
  <c r="E20" i="36" s="1"/>
  <c r="X49" i="36" l="1"/>
  <c r="R48" i="36"/>
  <c r="R56" i="36" s="1"/>
  <c r="H37" i="48" s="1"/>
  <c r="X21" i="36"/>
  <c r="L34" i="52"/>
  <c r="R20" i="36"/>
  <c r="R28" i="36" s="1"/>
  <c r="H36" i="48" s="1"/>
  <c r="L36" i="52" l="1"/>
  <c r="U34" i="52"/>
  <c r="V36" i="52" l="1"/>
  <c r="U36" i="52"/>
  <c r="M30" i="35"/>
  <c r="M29" i="35" s="1"/>
  <c r="M33" i="35" s="1"/>
  <c r="M32" i="36"/>
  <c r="M31" i="36" s="1"/>
  <c r="M41" i="36" s="1"/>
  <c r="C35" i="48" s="1"/>
  <c r="M45" i="36"/>
  <c r="M44" i="36" s="1"/>
  <c r="J32" i="36"/>
  <c r="J31" i="36" s="1"/>
  <c r="J41" i="36" s="1"/>
  <c r="J45" i="36"/>
  <c r="J44" i="36" s="1"/>
  <c r="J56" i="36" s="1"/>
  <c r="J30" i="35"/>
  <c r="J29" i="35" s="1"/>
  <c r="J33" i="35" s="1"/>
  <c r="N30" i="35"/>
  <c r="N29" i="35" s="1"/>
  <c r="N33" i="35" s="1"/>
  <c r="N32" i="36"/>
  <c r="N31" i="36" s="1"/>
  <c r="N41" i="36" s="1"/>
  <c r="D35" i="48" s="1"/>
  <c r="N45" i="36"/>
  <c r="N44" i="36" s="1"/>
  <c r="P45" i="36"/>
  <c r="P44" i="36" s="1"/>
  <c r="P30" i="35"/>
  <c r="P29" i="35" s="1"/>
  <c r="P33" i="35" s="1"/>
  <c r="P32" i="36"/>
  <c r="P31" i="36" s="1"/>
  <c r="P41" i="36" s="1"/>
  <c r="F35" i="48" s="1"/>
  <c r="E30" i="35"/>
  <c r="E29" i="35" s="1"/>
  <c r="E33" i="35" s="1"/>
  <c r="E32" i="36"/>
  <c r="E31" i="36" s="1"/>
  <c r="E41" i="36" s="1"/>
  <c r="E45" i="36"/>
  <c r="E44" i="36" s="1"/>
  <c r="E56" i="36" s="1"/>
  <c r="I32" i="36"/>
  <c r="I31" i="36" s="1"/>
  <c r="I41" i="36" s="1"/>
  <c r="I30" i="35"/>
  <c r="I29" i="35" s="1"/>
  <c r="I33" i="35" s="1"/>
  <c r="I45" i="36"/>
  <c r="I44" i="36" s="1"/>
  <c r="I56" i="36" s="1"/>
  <c r="K32" i="36"/>
  <c r="K31" i="36" s="1"/>
  <c r="K41" i="36" s="1"/>
  <c r="K45" i="36"/>
  <c r="K44" i="36" s="1"/>
  <c r="K56" i="36" s="1"/>
  <c r="K30" i="35"/>
  <c r="K29" i="35" s="1"/>
  <c r="K33" i="35" s="1"/>
  <c r="L32" i="36"/>
  <c r="L31" i="36" s="1"/>
  <c r="L41" i="36" s="1"/>
  <c r="L30" i="35"/>
  <c r="L29" i="35" s="1"/>
  <c r="L33" i="35" s="1"/>
  <c r="L45" i="36"/>
  <c r="L44" i="36" s="1"/>
  <c r="F13" i="48"/>
  <c r="L6" i="36" l="1"/>
  <c r="L19" i="36"/>
  <c r="K19" i="37"/>
  <c r="K30" i="37"/>
  <c r="K9" i="37"/>
  <c r="I19" i="36"/>
  <c r="I6" i="36"/>
  <c r="I19" i="37"/>
  <c r="I30" i="37"/>
  <c r="I9" i="37"/>
  <c r="M6" i="36"/>
  <c r="M19" i="36"/>
  <c r="L30" i="37"/>
  <c r="L9" i="37"/>
  <c r="L19" i="37"/>
  <c r="J6" i="36"/>
  <c r="J19" i="36"/>
  <c r="N19" i="36"/>
  <c r="N6" i="36"/>
  <c r="K19" i="36"/>
  <c r="K6" i="36"/>
  <c r="P9" i="37"/>
  <c r="P19" i="37"/>
  <c r="P30" i="37"/>
  <c r="P6" i="36"/>
  <c r="P19" i="36"/>
  <c r="J9" i="37"/>
  <c r="J30" i="37"/>
  <c r="J19" i="37"/>
  <c r="E9" i="37"/>
  <c r="E19" i="37"/>
  <c r="E30" i="37"/>
  <c r="N30" i="37"/>
  <c r="N19" i="37"/>
  <c r="N9" i="37"/>
  <c r="M19" i="37"/>
  <c r="M30" i="37"/>
  <c r="M9" i="37"/>
  <c r="E19" i="36"/>
  <c r="E6" i="36"/>
  <c r="F14" i="48"/>
  <c r="U27" i="19"/>
  <c r="E18" i="36" l="1"/>
  <c r="E5" i="36"/>
  <c r="I18" i="36"/>
  <c r="I5" i="36"/>
  <c r="M18" i="37"/>
  <c r="M23" i="37" s="1"/>
  <c r="M29" i="37"/>
  <c r="M34" i="37" s="1"/>
  <c r="M14" i="37"/>
  <c r="C39" i="48" s="1"/>
  <c r="E29" i="37"/>
  <c r="E34" i="37" s="1"/>
  <c r="E14" i="37"/>
  <c r="E18" i="37"/>
  <c r="E23" i="37" s="1"/>
  <c r="L29" i="37"/>
  <c r="L34" i="37" s="1"/>
  <c r="L14" i="37"/>
  <c r="L18" i="37"/>
  <c r="L23" i="37" s="1"/>
  <c r="K5" i="36"/>
  <c r="K18" i="36"/>
  <c r="K18" i="37"/>
  <c r="K23" i="37" s="1"/>
  <c r="K29" i="37"/>
  <c r="K34" i="37" s="1"/>
  <c r="K14" i="37"/>
  <c r="P14" i="37"/>
  <c r="F39" i="48" s="1"/>
  <c r="P29" i="37"/>
  <c r="P34" i="37" s="1"/>
  <c r="P18" i="37"/>
  <c r="P23" i="37" s="1"/>
  <c r="N29" i="37"/>
  <c r="N34" i="37" s="1"/>
  <c r="N14" i="37"/>
  <c r="D39" i="48" s="1"/>
  <c r="N18" i="37"/>
  <c r="N23" i="37" s="1"/>
  <c r="J14" i="37"/>
  <c r="J29" i="37"/>
  <c r="J34" i="37" s="1"/>
  <c r="J18" i="37"/>
  <c r="J23" i="37" s="1"/>
  <c r="N5" i="36"/>
  <c r="N18" i="36"/>
  <c r="M18" i="36"/>
  <c r="M5" i="36"/>
  <c r="I18" i="37"/>
  <c r="I23" i="37" s="1"/>
  <c r="I29" i="37"/>
  <c r="I34" i="37" s="1"/>
  <c r="I14" i="37"/>
  <c r="J18" i="36"/>
  <c r="J5" i="36"/>
  <c r="P18" i="36"/>
  <c r="P5" i="36"/>
  <c r="L5" i="36"/>
  <c r="L18" i="36"/>
  <c r="I14" i="48"/>
  <c r="N5" i="31" l="1"/>
  <c r="U6" i="31"/>
  <c r="G30" i="48"/>
  <c r="N30" i="48" s="1"/>
  <c r="U28" i="19"/>
  <c r="G29" i="48"/>
  <c r="N29" i="48" s="1"/>
  <c r="U22" i="19"/>
  <c r="J14" i="36"/>
  <c r="J17" i="36"/>
  <c r="J28" i="36" s="1"/>
  <c r="L14" i="36"/>
  <c r="L17" i="36"/>
  <c r="M14" i="36"/>
  <c r="C34" i="48" s="1"/>
  <c r="M17" i="36"/>
  <c r="P17" i="36"/>
  <c r="P14" i="36"/>
  <c r="F34" i="48" s="1"/>
  <c r="K14" i="36"/>
  <c r="K17" i="36"/>
  <c r="K28" i="36" s="1"/>
  <c r="N17" i="36"/>
  <c r="N14" i="36"/>
  <c r="D34" i="48" s="1"/>
  <c r="I17" i="36"/>
  <c r="I28" i="36" s="1"/>
  <c r="I14" i="36"/>
  <c r="E17" i="36"/>
  <c r="E28" i="36" s="1"/>
  <c r="E14" i="36"/>
  <c r="X8" i="51"/>
  <c r="X12" i="38"/>
  <c r="X14" i="39"/>
  <c r="X29" i="39"/>
  <c r="X8" i="28"/>
  <c r="I15" i="48"/>
  <c r="G26" i="48" l="1"/>
  <c r="N26" i="48" s="1"/>
  <c r="U5" i="31"/>
  <c r="R30" i="39"/>
  <c r="R28" i="39"/>
  <c r="R31" i="39" s="1"/>
  <c r="R13" i="38"/>
  <c r="R11" i="38"/>
  <c r="R13" i="39"/>
  <c r="R16" i="39" s="1"/>
  <c r="H7" i="48" s="1"/>
  <c r="R15" i="39"/>
  <c r="L35" i="52"/>
  <c r="R9" i="51"/>
  <c r="R7" i="51" s="1"/>
  <c r="V35" i="52" l="1"/>
  <c r="U35" i="52"/>
  <c r="H6" i="38" l="1"/>
  <c r="H5" i="38" s="1"/>
  <c r="H14" i="38" s="1"/>
  <c r="I6" i="38"/>
  <c r="I5" i="38" s="1"/>
  <c r="I14" i="38" s="1"/>
  <c r="J6" i="38"/>
  <c r="J5" i="38" s="1"/>
  <c r="J14" i="38" s="1"/>
  <c r="K6" i="38"/>
  <c r="K5" i="38" s="1"/>
  <c r="K14" i="38" s="1"/>
  <c r="L6" i="38"/>
  <c r="L5" i="38" s="1"/>
  <c r="L14" i="38" s="1"/>
  <c r="M6" i="38"/>
  <c r="M5" i="38" s="1"/>
  <c r="M14" i="38" s="1"/>
  <c r="C8" i="48" s="1"/>
  <c r="N6" i="38"/>
  <c r="N5" i="38" s="1"/>
  <c r="N14" i="38" s="1"/>
  <c r="D8" i="48" s="1"/>
  <c r="O6" i="38"/>
  <c r="O5" i="38" s="1"/>
  <c r="O14" i="38" s="1"/>
  <c r="E8" i="48" s="1"/>
  <c r="I40" i="48"/>
  <c r="I29" i="48"/>
  <c r="I25" i="41" l="1"/>
  <c r="I44" i="41"/>
  <c r="O52" i="36"/>
  <c r="O49" i="36" s="1"/>
  <c r="O24" i="36"/>
  <c r="O21" i="36" s="1"/>
  <c r="K25" i="41"/>
  <c r="K44" i="41"/>
  <c r="L44" i="41"/>
  <c r="L25" i="41"/>
  <c r="O25" i="41"/>
  <c r="E38" i="48" s="1"/>
  <c r="O44" i="41"/>
  <c r="T5" i="51"/>
  <c r="T10" i="51" s="1"/>
  <c r="T14" i="28" s="1"/>
  <c r="T13" i="51"/>
  <c r="T18" i="51" s="1"/>
  <c r="P13" i="51"/>
  <c r="P18" i="51" s="1"/>
  <c r="D5" i="51"/>
  <c r="H13" i="51"/>
  <c r="H18" i="51" s="1"/>
  <c r="K13" i="51"/>
  <c r="K18" i="51" s="1"/>
  <c r="K5" i="51"/>
  <c r="C13" i="51"/>
  <c r="C18" i="51" s="1"/>
  <c r="R13" i="51"/>
  <c r="R18" i="51" s="1"/>
  <c r="G13" i="51"/>
  <c r="G18" i="51" s="1"/>
  <c r="M13" i="51"/>
  <c r="M18" i="51" s="1"/>
  <c r="I5" i="51"/>
  <c r="F5" i="51"/>
  <c r="E5" i="51"/>
  <c r="L5" i="51"/>
  <c r="P5" i="51"/>
  <c r="D13" i="51"/>
  <c r="D18" i="51" s="1"/>
  <c r="H5" i="51"/>
  <c r="G5" i="51"/>
  <c r="C5" i="51"/>
  <c r="R5" i="51"/>
  <c r="J5" i="51"/>
  <c r="F13" i="51"/>
  <c r="F18" i="51" s="1"/>
  <c r="J13" i="51"/>
  <c r="J18" i="51" s="1"/>
  <c r="Q13" i="51"/>
  <c r="Q18" i="51" s="1"/>
  <c r="N5" i="51"/>
  <c r="M5" i="51"/>
  <c r="I13" i="51"/>
  <c r="I18" i="51" s="1"/>
  <c r="L13" i="51"/>
  <c r="L18" i="51" s="1"/>
  <c r="N13" i="51"/>
  <c r="N18" i="51" s="1"/>
  <c r="E13" i="51"/>
  <c r="E18" i="51" s="1"/>
  <c r="Q5" i="51"/>
  <c r="S13" i="51"/>
  <c r="S18" i="51" s="1"/>
  <c r="S5" i="51"/>
  <c r="S10" i="51" s="1"/>
  <c r="S14" i="28" s="1"/>
  <c r="O5" i="51"/>
  <c r="O13" i="51"/>
  <c r="O18" i="51" s="1"/>
  <c r="H44" i="41"/>
  <c r="H25" i="41"/>
  <c r="N25" i="41"/>
  <c r="D38" i="48" s="1"/>
  <c r="N44" i="41"/>
  <c r="L24" i="36"/>
  <c r="L21" i="36" s="1"/>
  <c r="L20" i="36" s="1"/>
  <c r="L28" i="36" s="1"/>
  <c r="L52" i="36"/>
  <c r="L49" i="36" s="1"/>
  <c r="L48" i="36" s="1"/>
  <c r="L56" i="36" s="1"/>
  <c r="M24" i="36"/>
  <c r="M21" i="36" s="1"/>
  <c r="M52" i="36"/>
  <c r="M49" i="36" s="1"/>
  <c r="J44" i="41"/>
  <c r="J25" i="41"/>
  <c r="N52" i="36"/>
  <c r="N49" i="36" s="1"/>
  <c r="N24" i="36"/>
  <c r="N21" i="36" s="1"/>
  <c r="P44" i="41"/>
  <c r="P25" i="41"/>
  <c r="F38" i="48" s="1"/>
  <c r="C31" i="48"/>
  <c r="D31" i="48"/>
  <c r="F40" i="48"/>
  <c r="E30" i="48"/>
  <c r="F29" i="48"/>
  <c r="F6" i="38"/>
  <c r="F5" i="38" s="1"/>
  <c r="D6" i="38"/>
  <c r="D5" i="38" s="1"/>
  <c r="D14" i="38" s="1"/>
  <c r="C6" i="38"/>
  <c r="C5" i="38" s="1"/>
  <c r="C14" i="38" s="1"/>
  <c r="D29" i="48"/>
  <c r="D30" i="48"/>
  <c r="E29" i="48"/>
  <c r="F30" i="48"/>
  <c r="M5" i="31"/>
  <c r="F26" i="48" s="1"/>
  <c r="X12" i="28"/>
  <c r="E6" i="38"/>
  <c r="E5" i="38" s="1"/>
  <c r="E14" i="38" s="1"/>
  <c r="T8" i="29" l="1"/>
  <c r="S8" i="29"/>
  <c r="T7" i="29"/>
  <c r="S7" i="29"/>
  <c r="U5" i="51"/>
  <c r="W6" i="51"/>
  <c r="X6" i="51"/>
  <c r="U6" i="30"/>
  <c r="T6" i="30"/>
  <c r="S6" i="29"/>
  <c r="T6" i="29"/>
  <c r="G31" i="48"/>
  <c r="N31" i="48" s="1"/>
  <c r="U23" i="19"/>
  <c r="U13" i="51"/>
  <c r="X14" i="51"/>
  <c r="W14" i="51"/>
  <c r="T8" i="30"/>
  <c r="U8" i="30"/>
  <c r="S10" i="29"/>
  <c r="S11" i="29"/>
  <c r="U11" i="31"/>
  <c r="T11" i="31"/>
  <c r="T10" i="31"/>
  <c r="U10" i="31"/>
  <c r="T7" i="30"/>
  <c r="U7" i="30"/>
  <c r="G40" i="48"/>
  <c r="N40" i="48" s="1"/>
  <c r="X13" i="28"/>
  <c r="U9" i="31"/>
  <c r="T9" i="31"/>
  <c r="H6" i="39"/>
  <c r="H5" i="39" s="1"/>
  <c r="H16" i="39" s="1"/>
  <c r="H20" i="39"/>
  <c r="H19" i="39" s="1"/>
  <c r="H31" i="39" s="1"/>
  <c r="O30" i="35"/>
  <c r="O29" i="35" s="1"/>
  <c r="O33" i="35" s="1"/>
  <c r="O32" i="36"/>
  <c r="O31" i="36" s="1"/>
  <c r="O41" i="36" s="1"/>
  <c r="E35" i="48" s="1"/>
  <c r="O45" i="36"/>
  <c r="O44" i="36" s="1"/>
  <c r="N48" i="36"/>
  <c r="N56" i="36" s="1"/>
  <c r="D37" i="48" s="1"/>
  <c r="N20" i="36"/>
  <c r="N28" i="36" s="1"/>
  <c r="D36" i="48" s="1"/>
  <c r="I5" i="31"/>
  <c r="H5" i="31"/>
  <c r="O9" i="51"/>
  <c r="F5" i="31"/>
  <c r="G5" i="31"/>
  <c r="G30" i="39"/>
  <c r="F28" i="39"/>
  <c r="F31" i="39" s="1"/>
  <c r="G28" i="39"/>
  <c r="G31" i="39" s="1"/>
  <c r="O20" i="36"/>
  <c r="J34" i="52"/>
  <c r="J36" i="52" s="1"/>
  <c r="P6" i="38"/>
  <c r="P5" i="38" s="1"/>
  <c r="F52" i="36"/>
  <c r="F49" i="36" s="1"/>
  <c r="F24" i="36"/>
  <c r="F21" i="36" s="1"/>
  <c r="J5" i="31"/>
  <c r="C26" i="48" s="1"/>
  <c r="K5" i="31"/>
  <c r="D26" i="48" s="1"/>
  <c r="M48" i="36"/>
  <c r="M56" i="36" s="1"/>
  <c r="C37" i="48" s="1"/>
  <c r="G13" i="38"/>
  <c r="F11" i="38"/>
  <c r="F14" i="38" s="1"/>
  <c r="G11" i="38"/>
  <c r="O48" i="36"/>
  <c r="P52" i="36"/>
  <c r="P49" i="36" s="1"/>
  <c r="P24" i="36"/>
  <c r="P21" i="36" s="1"/>
  <c r="M20" i="36"/>
  <c r="M28" i="36" s="1"/>
  <c r="C36" i="48" s="1"/>
  <c r="G15" i="39"/>
  <c r="F13" i="39"/>
  <c r="F16" i="39" s="1"/>
  <c r="G13" i="39"/>
  <c r="G16" i="39" s="1"/>
  <c r="E5" i="31"/>
  <c r="P5" i="31"/>
  <c r="I26" i="48" s="1"/>
  <c r="S6" i="38"/>
  <c r="S5" i="38" s="1"/>
  <c r="S14" i="38" s="1"/>
  <c r="I8" i="48" s="1"/>
  <c r="F31" i="48"/>
  <c r="E31" i="48"/>
  <c r="T10" i="29"/>
  <c r="T11" i="29"/>
  <c r="G9" i="51"/>
  <c r="G7" i="51" s="1"/>
  <c r="G10" i="51" s="1"/>
  <c r="G14" i="28" s="1"/>
  <c r="E13" i="48"/>
  <c r="K9" i="51"/>
  <c r="D13" i="48"/>
  <c r="C13" i="48"/>
  <c r="C29" i="48"/>
  <c r="C30" i="48"/>
  <c r="I9" i="51"/>
  <c r="U18" i="51" l="1"/>
  <c r="W13" i="51"/>
  <c r="X13" i="51"/>
  <c r="U10" i="51"/>
  <c r="X5" i="51"/>
  <c r="W5" i="51"/>
  <c r="O56" i="36"/>
  <c r="E37" i="48" s="1"/>
  <c r="H30" i="35"/>
  <c r="H29" i="35" s="1"/>
  <c r="H33" i="35" s="1"/>
  <c r="H32" i="36"/>
  <c r="H31" i="36" s="1"/>
  <c r="H41" i="36" s="1"/>
  <c r="H45" i="36"/>
  <c r="H44" i="36" s="1"/>
  <c r="H56" i="36" s="1"/>
  <c r="O19" i="37"/>
  <c r="O30" i="37"/>
  <c r="O9" i="37"/>
  <c r="O19" i="36"/>
  <c r="O6" i="36"/>
  <c r="X7" i="28"/>
  <c r="K34" i="52"/>
  <c r="P20" i="36"/>
  <c r="P28" i="36" s="1"/>
  <c r="F36" i="48" s="1"/>
  <c r="Q20" i="36"/>
  <c r="K7" i="51"/>
  <c r="K10" i="51" s="1"/>
  <c r="K14" i="28" s="1"/>
  <c r="L9" i="51"/>
  <c r="P48" i="36"/>
  <c r="P56" i="36" s="1"/>
  <c r="F37" i="48" s="1"/>
  <c r="Q48" i="36"/>
  <c r="O7" i="51"/>
  <c r="O10" i="51" s="1"/>
  <c r="O14" i="28" s="1"/>
  <c r="J35" i="52"/>
  <c r="P9" i="51"/>
  <c r="P7" i="51" s="1"/>
  <c r="P10" i="51" s="1"/>
  <c r="P14" i="28" s="1"/>
  <c r="D5" i="31"/>
  <c r="M9" i="51"/>
  <c r="Q11" i="38"/>
  <c r="X11" i="38" s="1"/>
  <c r="P11" i="38"/>
  <c r="P14" i="38" s="1"/>
  <c r="F8" i="48" s="1"/>
  <c r="Q13" i="38"/>
  <c r="X13" i="38" s="1"/>
  <c r="P28" i="39"/>
  <c r="P31" i="39" s="1"/>
  <c r="Q28" i="39"/>
  <c r="Q30" i="39"/>
  <c r="X30" i="39" s="1"/>
  <c r="H9" i="51"/>
  <c r="H7" i="51" s="1"/>
  <c r="H10" i="51" s="1"/>
  <c r="H14" i="28" s="1"/>
  <c r="E9" i="51"/>
  <c r="D9" i="51"/>
  <c r="D7" i="51" s="1"/>
  <c r="D10" i="51" s="1"/>
  <c r="D14" i="28" s="1"/>
  <c r="C9" i="51"/>
  <c r="C7" i="51" s="1"/>
  <c r="C10" i="51" s="1"/>
  <c r="C14" i="28" s="1"/>
  <c r="F20" i="36"/>
  <c r="F28" i="36" s="1"/>
  <c r="G20" i="36"/>
  <c r="G28" i="36" s="1"/>
  <c r="Q15" i="39"/>
  <c r="X15" i="39" s="1"/>
  <c r="Q13" i="39"/>
  <c r="P13" i="39"/>
  <c r="P16" i="39" s="1"/>
  <c r="F7" i="48" s="1"/>
  <c r="I7" i="51"/>
  <c r="I10" i="51" s="1"/>
  <c r="I14" i="28" s="1"/>
  <c r="J9" i="51"/>
  <c r="J7" i="51" s="1"/>
  <c r="J10" i="51" s="1"/>
  <c r="J14" i="28" s="1"/>
  <c r="X11" i="28"/>
  <c r="L5" i="31"/>
  <c r="E26" i="48" s="1"/>
  <c r="F48" i="36"/>
  <c r="F56" i="36" s="1"/>
  <c r="G48" i="36"/>
  <c r="G56" i="36" s="1"/>
  <c r="K35" i="52"/>
  <c r="Q9" i="51"/>
  <c r="X10" i="28"/>
  <c r="E14" i="48"/>
  <c r="C14" i="48"/>
  <c r="D14" i="48"/>
  <c r="Q16" i="39" l="1"/>
  <c r="X13" i="39"/>
  <c r="Q28" i="36"/>
  <c r="X20" i="36"/>
  <c r="W10" i="51"/>
  <c r="E14" i="52"/>
  <c r="D14" i="52" s="1"/>
  <c r="Q17" i="52" s="1"/>
  <c r="U14" i="28"/>
  <c r="Q56" i="36"/>
  <c r="X48" i="36"/>
  <c r="Q31" i="39"/>
  <c r="X31" i="39" s="1"/>
  <c r="X28" i="39"/>
  <c r="Q7" i="51"/>
  <c r="X9" i="51"/>
  <c r="X18" i="51"/>
  <c r="W18" i="51"/>
  <c r="X6" i="28"/>
  <c r="H19" i="36"/>
  <c r="H6" i="36"/>
  <c r="H19" i="37"/>
  <c r="H30" i="37"/>
  <c r="H9" i="37"/>
  <c r="O5" i="36"/>
  <c r="O18" i="36"/>
  <c r="O14" i="37"/>
  <c r="E39" i="48" s="1"/>
  <c r="O29" i="37"/>
  <c r="O34" i="37" s="1"/>
  <c r="O18" i="37"/>
  <c r="O23" i="37" s="1"/>
  <c r="L7" i="51"/>
  <c r="L10" i="51" s="1"/>
  <c r="L14" i="28" s="1"/>
  <c r="M7" i="51"/>
  <c r="M10" i="51" s="1"/>
  <c r="M14" i="28" s="1"/>
  <c r="N9" i="51"/>
  <c r="N7" i="51" s="1"/>
  <c r="N10" i="51" s="1"/>
  <c r="N14" i="28" s="1"/>
  <c r="F9" i="51"/>
  <c r="F7" i="51" s="1"/>
  <c r="F10" i="51" s="1"/>
  <c r="F14" i="28" s="1"/>
  <c r="E7" i="51"/>
  <c r="E10" i="51" s="1"/>
  <c r="E14" i="28" s="1"/>
  <c r="K36" i="52"/>
  <c r="V34" i="52"/>
  <c r="U17" i="52" l="1"/>
  <c r="Q18" i="52"/>
  <c r="S17" i="52"/>
  <c r="W14" i="28"/>
  <c r="Q10" i="51"/>
  <c r="X7" i="51"/>
  <c r="G36" i="48"/>
  <c r="N36" i="48" s="1"/>
  <c r="X28" i="36"/>
  <c r="G37" i="48"/>
  <c r="N37" i="48" s="1"/>
  <c r="X56" i="36"/>
  <c r="G7" i="48"/>
  <c r="N7" i="48" s="1"/>
  <c r="X16" i="39"/>
  <c r="O17" i="36"/>
  <c r="O28" i="36" s="1"/>
  <c r="E36" i="48" s="1"/>
  <c r="O14" i="36"/>
  <c r="E34" i="48" s="1"/>
  <c r="H14" i="37"/>
  <c r="H18" i="37"/>
  <c r="H23" i="37" s="1"/>
  <c r="H29" i="37"/>
  <c r="H34" i="37" s="1"/>
  <c r="H5" i="36"/>
  <c r="H18" i="36"/>
  <c r="D15" i="48"/>
  <c r="C15" i="48"/>
  <c r="Q14" i="28" l="1"/>
  <c r="X14" i="28" s="1"/>
  <c r="X10" i="51"/>
  <c r="Q23" i="52"/>
  <c r="U18" i="52"/>
  <c r="S18" i="52"/>
  <c r="H17" i="36"/>
  <c r="H28" i="36" s="1"/>
  <c r="H14" i="36"/>
  <c r="E15" i="48"/>
  <c r="S23" i="52" l="1"/>
  <c r="Q25" i="52"/>
  <c r="U23" i="52"/>
  <c r="D40" i="48"/>
  <c r="C40" i="48"/>
  <c r="Q26" i="52" l="1"/>
  <c r="U25" i="52"/>
  <c r="S25" i="52"/>
  <c r="E40" i="48"/>
  <c r="Q42" i="52" l="1"/>
  <c r="D25" i="52" s="1"/>
  <c r="U26" i="52"/>
  <c r="D26" i="52"/>
  <c r="S26" i="52"/>
  <c r="U42" i="52" l="1"/>
  <c r="S42" i="52"/>
  <c r="Q41" i="52"/>
  <c r="X10" i="38"/>
  <c r="R6" i="38"/>
  <c r="R5" i="38" s="1"/>
  <c r="R14" i="38" s="1"/>
  <c r="H8" i="48" s="1"/>
  <c r="X9" i="28"/>
  <c r="U41" i="52" l="1"/>
  <c r="S41" i="52"/>
  <c r="Q6" i="38"/>
  <c r="G10" i="38"/>
  <c r="G6" i="38" s="1"/>
  <c r="G5" i="38" s="1"/>
  <c r="G14" i="38" s="1"/>
  <c r="G9" i="28" s="1"/>
  <c r="Q5" i="38" l="1"/>
  <c r="X6" i="38"/>
  <c r="Q14" i="38" l="1"/>
  <c r="X5" i="38"/>
  <c r="G8" i="48" l="1"/>
  <c r="N8" i="48" s="1"/>
  <c r="X14" i="38"/>
</calcChain>
</file>

<file path=xl/sharedStrings.xml><?xml version="1.0" encoding="utf-8"?>
<sst xmlns="http://schemas.openxmlformats.org/spreadsheetml/2006/main" count="1359" uniqueCount="895">
  <si>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</si>
  <si>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</si>
  <si>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</si>
  <si>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</si>
  <si>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</si>
  <si>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</si>
  <si>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</si>
  <si>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</si>
  <si>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</si>
  <si>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</si>
  <si>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</si>
  <si>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</si>
  <si>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</si>
  <si>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</si>
  <si>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</si>
  <si>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Carteira de Crédito (IFRS, R$ Mil)</t>
  </si>
  <si>
    <t>Funding (IFRS, R$ Thousands)</t>
  </si>
  <si>
    <t>Funding (IFRS, R$ Mil)</t>
  </si>
  <si>
    <t>Fee Revenues (IFRS, R$ Thousands)</t>
  </si>
  <si>
    <t>Receitas de serviços e comissões (IFRS, R$ Mil)</t>
  </si>
  <si>
    <t>Financials KPIs</t>
  </si>
  <si>
    <t>KPIs Financeiros</t>
  </si>
  <si>
    <t>Tier I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</si>
  <si>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</si>
  <si>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</si>
  <si>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</si>
  <si>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</si>
  <si>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</si>
  <si>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</si>
  <si>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</si>
  <si>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</si>
  <si>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</si>
  <si>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</si>
  <si>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</si>
  <si>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</si>
  <si>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</si>
  <si>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</si>
  <si>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</si>
  <si>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</si>
  <si>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</si>
  <si>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</si>
  <si>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</si>
  <si>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</si>
  <si>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</si>
  <si>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</si>
  <si>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</si>
  <si>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</si>
  <si>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</si>
  <si>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</si>
  <si>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Efeitos Gerenciais dos KPIs nas Demonstrações Financeiras do 1T24</t>
  </si>
  <si>
    <t>Português</t>
  </si>
  <si>
    <t>4Q19</t>
  </si>
  <si>
    <t>4T19</t>
  </si>
  <si>
    <t>Operational Data</t>
  </si>
  <si>
    <t>Dados Operacionais</t>
  </si>
  <si>
    <t>Balance Sheet</t>
  </si>
  <si>
    <t>Balanço Patrimonial</t>
  </si>
  <si>
    <t>Assets</t>
  </si>
  <si>
    <t>Ativos</t>
  </si>
  <si>
    <t>Interest income</t>
  </si>
  <si>
    <t>Receita de juros</t>
  </si>
  <si>
    <t>Loan portfolio</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</si>
  <si>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</si>
  <si>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</si>
  <si>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</si>
  <si>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</si>
  <si>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</si>
  <si>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</si>
  <si>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</si>
  <si>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</si>
  <si>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</si>
  <si>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</si>
  <si>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</si>
  <si>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</si>
  <si>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</si>
  <si>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</si>
  <si>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</si>
  <si>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</si>
  <si>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</si>
  <si>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</si>
  <si>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</si>
  <si>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</si>
  <si>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</si>
  <si>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</si>
  <si>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</si>
  <si>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</si>
  <si>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</si>
  <si>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</si>
  <si>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</si>
  <si>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</si>
  <si>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</si>
  <si>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</si>
  <si>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</si>
  <si>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</si>
  <si>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</si>
  <si>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</si>
  <si>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</si>
  <si>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</si>
  <si>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Tier 1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</si>
  <si>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</si>
  <si>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</si>
  <si>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</si>
  <si>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</si>
  <si>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</si>
  <si>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</si>
  <si>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</si>
  <si>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</si>
  <si>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</si>
  <si>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</si>
  <si>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</si>
  <si>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</si>
  <si>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</si>
  <si>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</si>
  <si>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</si>
  <si>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</si>
  <si>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</si>
  <si>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</si>
  <si>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</si>
  <si>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</si>
  <si>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</si>
  <si>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</si>
  <si>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</si>
  <si>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</si>
  <si>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</si>
  <si>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</si>
  <si>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1Q21</t>
  </si>
  <si>
    <t>1T21</t>
  </si>
  <si>
    <t xml:space="preserve">Credit </t>
  </si>
  <si>
    <t>Crédito</t>
  </si>
  <si>
    <t>Amounts due from financial institutions</t>
  </si>
  <si>
    <t>Empréstimos e adiantamento a instituições financeiras</t>
  </si>
  <si>
    <t>Income from securities and derivatives</t>
  </si>
  <si>
    <t>Resultado de títulos e valores mobiliários e derivativos</t>
  </si>
  <si>
    <t>Real estate</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</si>
  <si>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</si>
  <si>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</si>
  <si>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</si>
  <si>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</si>
  <si>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</si>
  <si>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</si>
  <si>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</si>
  <si>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</si>
  <si>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</si>
  <si>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</si>
  <si>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</si>
  <si>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</si>
  <si>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</si>
  <si>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</si>
  <si>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</si>
  <si>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</si>
  <si>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</si>
  <si>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</si>
  <si>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</si>
  <si>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</si>
  <si>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</si>
  <si>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</si>
  <si>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</si>
  <si>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</si>
  <si>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</si>
  <si>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</si>
  <si>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</si>
  <si>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</si>
  <si>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</si>
  <si>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</si>
  <si>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</si>
  <si>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</si>
  <si>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</si>
  <si>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</si>
  <si>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2Q21</t>
  </si>
  <si>
    <t>2T21</t>
  </si>
  <si>
    <t>Funding</t>
  </si>
  <si>
    <t>Compulsory deposits at Central Bank of Brazil</t>
  </si>
  <si>
    <t>Depósitos compulsórios Banco Central do Brasil</t>
  </si>
  <si>
    <t>Net interest income</t>
  </si>
  <si>
    <t>Resultado líquido de juros</t>
  </si>
  <si>
    <t>Personal</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</si>
  <si>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</si>
  <si>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</si>
  <si>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</si>
  <si>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</si>
  <si>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</si>
  <si>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</si>
  <si>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</si>
  <si>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</si>
  <si>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</si>
  <si>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</si>
  <si>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</si>
  <si>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</si>
  <si>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</si>
  <si>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</si>
  <si>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</si>
  <si>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</si>
  <si>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</si>
  <si>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</si>
  <si>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</si>
  <si>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</si>
  <si>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</si>
  <si>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</si>
  <si>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</si>
  <si>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</si>
  <si>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</si>
  <si>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</si>
  <si>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</si>
  <si>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</si>
  <si>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</si>
  <si>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</si>
  <si>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</si>
  <si>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</si>
  <si>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</si>
  <si>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</si>
  <si>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3Q21</t>
  </si>
  <si>
    <t>3T21</t>
  </si>
  <si>
    <t>Fee Revenue</t>
  </si>
  <si>
    <t>Receita Líquida</t>
  </si>
  <si>
    <t>Securities</t>
  </si>
  <si>
    <t>Títulos e valores mobiliários</t>
  </si>
  <si>
    <t>SME</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</si>
  <si>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</si>
  <si>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</si>
  <si>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</si>
  <si>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</si>
  <si>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</si>
  <si>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</si>
  <si>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</si>
  <si>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</si>
  <si>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</si>
  <si>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</si>
  <si>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</si>
  <si>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</si>
  <si>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</si>
  <si>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</si>
  <si>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</si>
  <si>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</si>
  <si>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</si>
  <si>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</si>
  <si>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</si>
  <si>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</si>
  <si>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</si>
  <si>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t>
  </si>
  <si>
    <t>Inter Asset AuM</t>
  </si>
  <si>
    <t>Active Clients (mm)</t>
  </si>
  <si>
    <t>Clientes Ativos (mm)</t>
  </si>
  <si>
    <t>NIM (%) 2.0 - IEP only</t>
  </si>
  <si>
    <t>NIM 2.0 - carteira remunerada</t>
  </si>
  <si>
    <t>4Q21</t>
  </si>
  <si>
    <t>4T21</t>
  </si>
  <si>
    <t>Financial KPIs</t>
  </si>
  <si>
    <t>Derivative financial assets</t>
  </si>
  <si>
    <t>Instrumentos financeiros derivativos</t>
  </si>
  <si>
    <t>Expenses from services and commissions</t>
  </si>
  <si>
    <t>Despesas de serviços e comissões</t>
  </si>
  <si>
    <t>Credit cards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</si>
  <si>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</si>
  <si>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</si>
  <si>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</si>
  <si>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</si>
  <si>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</si>
  <si>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</si>
  <si>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</si>
  <si>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</si>
  <si>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</si>
  <si>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</si>
  <si>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</si>
  <si>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</si>
  <si>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</si>
  <si>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</si>
  <si>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</si>
  <si>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</si>
  <si>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</si>
  <si>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</si>
  <si>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</si>
  <si>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</si>
  <si>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</si>
  <si>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</si>
  <si>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</si>
  <si>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</si>
  <si>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</si>
  <si>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</si>
  <si>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</si>
  <si>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</si>
  <si>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</si>
  <si>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</si>
  <si>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</si>
  <si>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</si>
  <si>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</si>
  <si>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</si>
  <si>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</si>
  <si>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</si>
  <si>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</si>
  <si>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</si>
  <si>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</si>
  <si>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</si>
  <si>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</si>
  <si>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</si>
  <si>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</si>
  <si>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</si>
  <si>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</si>
  <si>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</si>
  <si>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</si>
  <si>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</si>
  <si>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</si>
  <si>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</si>
  <si>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</si>
  <si>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</si>
  <si>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</si>
  <si>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</si>
  <si>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</si>
  <si>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</si>
  <si>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</si>
  <si>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</si>
  <si>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</si>
  <si>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2Q22</t>
  </si>
  <si>
    <t>2T22</t>
  </si>
  <si>
    <t>NIMs</t>
  </si>
  <si>
    <t>Non-current assets held for sale</t>
  </si>
  <si>
    <t>Ativos não circulantes mantidos para venda</t>
  </si>
  <si>
    <t>Prepayment of receivables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</si>
  <si>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</si>
  <si>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</si>
  <si>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</si>
  <si>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</si>
  <si>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</si>
  <si>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</si>
  <si>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</si>
  <si>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</si>
  <si>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</si>
  <si>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</si>
  <si>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</si>
  <si>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</si>
  <si>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</si>
  <si>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</si>
  <si>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</si>
  <si>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</si>
  <si>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</si>
  <si>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</si>
  <si>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</si>
  <si>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</si>
  <si>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TPV Débito</t>
  </si>
  <si>
    <t>Headcount</t>
  </si>
  <si>
    <t>Número de funcionários</t>
  </si>
  <si>
    <t>Inter Invest net fee revenues</t>
  </si>
  <si>
    <t xml:space="preserve">Receita líquida de serviços e comissões Inter Invest </t>
  </si>
  <si>
    <t>3Q22</t>
  </si>
  <si>
    <t>3T22</t>
  </si>
  <si>
    <t>Índice de Eficiência</t>
  </si>
  <si>
    <t>Equity accounted investees</t>
  </si>
  <si>
    <t>Investimentos</t>
  </si>
  <si>
    <t>Other revenues</t>
  </si>
  <si>
    <t>Outras receitas</t>
  </si>
  <si>
    <t>Gross loan portfolio</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</si>
  <si>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</si>
  <si>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</si>
  <si>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</si>
  <si>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</si>
  <si>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</si>
  <si>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</si>
  <si>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</si>
  <si>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</si>
  <si>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</si>
  <si>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</si>
  <si>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Credit TPV</t>
  </si>
  <si>
    <t>TPV Crédito</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</si>
  <si>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</si>
  <si>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</si>
  <si>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</si>
  <si>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</si>
  <si>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</si>
  <si>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</si>
  <si>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4Q22</t>
  </si>
  <si>
    <t>4T22</t>
  </si>
  <si>
    <t>Cost-to-Serve</t>
  </si>
  <si>
    <t>Custo de Servir</t>
  </si>
  <si>
    <t>Property and equipment</t>
  </si>
  <si>
    <t>Imobilizado</t>
  </si>
  <si>
    <t>Total net revenues</t>
  </si>
  <si>
    <t>Receitas líquidas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</si>
  <si>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</si>
  <si>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</si>
  <si>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</si>
  <si>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</si>
  <si>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</si>
  <si>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</si>
  <si>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</si>
  <si>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</si>
  <si>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</si>
  <si>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</si>
  <si>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</si>
  <si>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</si>
  <si>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</si>
  <si>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</si>
  <si>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</si>
  <si>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TPV</t>
  </si>
  <si>
    <t>TPV PIX</t>
  </si>
  <si>
    <t>1Q23</t>
  </si>
  <si>
    <t>1T23</t>
  </si>
  <si>
    <t>ARPAC</t>
  </si>
  <si>
    <t>Intangible assets</t>
  </si>
  <si>
    <t>Intangível</t>
  </si>
  <si>
    <t>Other income</t>
  </si>
  <si>
    <t>Outros rendimentos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</si>
  <si>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</si>
  <si>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</si>
  <si>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</si>
  <si>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</si>
  <si>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</si>
  <si>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</si>
  <si>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</si>
  <si>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</si>
  <si>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Cards + PIX TPV</t>
  </si>
  <si>
    <t>Cartões + PIX TPV</t>
  </si>
  <si>
    <t>Gross Revenue (R$ mm)</t>
  </si>
  <si>
    <t>Receita Bruta (R$ mm)</t>
  </si>
  <si>
    <t>IEP growth (%, QoQ)</t>
  </si>
  <si>
    <t>Crescimento dos ativos rentáveis (QoQ, %)</t>
  </si>
  <si>
    <t>2Q23</t>
  </si>
  <si>
    <t>2T23</t>
  </si>
  <si>
    <t>Inter Invest</t>
  </si>
  <si>
    <t>Deferred tax assets</t>
  </si>
  <si>
    <t>Ativos fiscal diferido</t>
  </si>
  <si>
    <t>(-) Provision for expected loss</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</si>
  <si>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</si>
  <si>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</si>
  <si>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</si>
  <si>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</si>
  <si>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</si>
  <si>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</si>
  <si>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</si>
  <si>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 Cost-to-serve (R$)</t>
  </si>
  <si>
    <t>(=) Custo de servir (R$)</t>
  </si>
  <si>
    <t>Tax expenses</t>
  </si>
  <si>
    <t>Despesas tributárias</t>
  </si>
  <si>
    <t>Net Revenues (R$ mm)</t>
  </si>
  <si>
    <t>Receita Líquida (R$ mm)</t>
  </si>
  <si>
    <t>Funding growth (%, QoQ)</t>
  </si>
  <si>
    <t>Crescimento do funding (QoQ, %)</t>
  </si>
  <si>
    <t>3Q23</t>
  </si>
  <si>
    <t>3T23</t>
  </si>
  <si>
    <t>Inter Seguros</t>
  </si>
  <si>
    <t>Other assets</t>
  </si>
  <si>
    <t>Outros ativos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</si>
  <si>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</si>
  <si>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</si>
  <si>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</si>
  <si>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</si>
  <si>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</si>
  <si>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</si>
  <si>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</si>
  <si>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 (=) Efficiency ratio (%)</t>
  </si>
  <si>
    <t>(=) Índice de eficiência (%)</t>
  </si>
  <si>
    <t>Pre Tax Net Income (R$ mm)</t>
  </si>
  <si>
    <t>Lucro Líquido antes de Impostos (R$ mm)</t>
  </si>
  <si>
    <t>KPI Outputs</t>
  </si>
  <si>
    <t>KPIs Output</t>
  </si>
  <si>
    <t>4Q23</t>
  </si>
  <si>
    <t>4T23</t>
  </si>
  <si>
    <t>Inter Shop</t>
  </si>
  <si>
    <t>Total assets</t>
  </si>
  <si>
    <t>Total de ativos</t>
  </si>
  <si>
    <t>NPL &gt; 90 days</t>
  </si>
  <si>
    <t>NPL &gt; 90 dias</t>
  </si>
  <si>
    <t>Total funding in the previous period</t>
  </si>
  <si>
    <t>Funding total no período anterior</t>
  </si>
  <si>
    <t>Margin on capital requirements</t>
  </si>
  <si>
    <t>Margem sobre os requerimentos de capital</t>
  </si>
  <si>
    <t>Fee income ratio (%)</t>
  </si>
  <si>
    <t>Percentual de receitas líquida de serviços (%)</t>
  </si>
  <si>
    <t>(=) Gross ARPAC (R$)</t>
  </si>
  <si>
    <t>(=) ARPAC bruto (R$)</t>
  </si>
  <si>
    <t>Net Income (R$ mm)</t>
  </si>
  <si>
    <t>Lucro Líquido (R$ mm)</t>
  </si>
  <si>
    <t>ROEA (%)</t>
  </si>
  <si>
    <t>1Q24</t>
  </si>
  <si>
    <t>1T24</t>
  </si>
  <si>
    <t>Digital Account</t>
  </si>
  <si>
    <t>Conta Digital</t>
  </si>
  <si>
    <t>Liabilities</t>
  </si>
  <si>
    <t>Passivo</t>
  </si>
  <si>
    <t xml:space="preserve">Despesas tributárias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</si>
  <si>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</si>
  <si>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</si>
  <si>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</si>
  <si>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</si>
  <si>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</si>
  <si>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</si>
  <si>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</si>
  <si>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</si>
  <si>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</si>
  <si>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</si>
  <si>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2Q24</t>
  </si>
  <si>
    <t>2T24</t>
  </si>
  <si>
    <t xml:space="preserve">Liabilities with financial and similar institutions </t>
  </si>
  <si>
    <t>Passivos com instituições financeiras</t>
  </si>
  <si>
    <t>NPL &gt; 90 days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</si>
  <si>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</si>
  <si>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</si>
  <si>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</si>
  <si>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</si>
  <si>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</si>
  <si>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</si>
  <si>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</si>
  <si>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</si>
  <si>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</si>
  <si>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</si>
  <si>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</si>
  <si>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</si>
  <si>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</si>
  <si>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</si>
  <si>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</si>
  <si>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</si>
  <si>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</si>
  <si>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</si>
  <si>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</si>
  <si>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 Custo de funding % do CDI</t>
  </si>
  <si>
    <t>Foreign exchange</t>
  </si>
  <si>
    <t>Receitas com câmbio</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</si>
  <si>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</si>
  <si>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</si>
  <si>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</si>
  <si>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</si>
  <si>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</si>
  <si>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</si>
  <si>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</si>
  <si>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</si>
  <si>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</si>
  <si>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</si>
  <si>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</si>
  <si>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</si>
  <si>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</si>
  <si>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</si>
  <si>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</si>
  <si>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</si>
  <si>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</si>
  <si>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</si>
  <si>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</si>
  <si>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</si>
  <si>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</si>
  <si>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</si>
  <si>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</si>
  <si>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</si>
  <si>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</si>
  <si>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</si>
  <si>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</si>
  <si>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</si>
  <si>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</si>
  <si>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</si>
  <si>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</si>
  <si>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</si>
  <si>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</si>
  <si>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</si>
  <si>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</si>
  <si>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</si>
  <si>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</si>
  <si>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</si>
  <si>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</si>
  <si>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</si>
  <si>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</si>
  <si>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</si>
  <si>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</si>
  <si>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</si>
  <si>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</si>
  <si>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</si>
  <si>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</si>
  <si>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</si>
  <si>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</si>
  <si>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</si>
  <si>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</si>
  <si>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</si>
  <si>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</si>
  <si>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</si>
  <si>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</si>
  <si>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</si>
  <si>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</si>
  <si>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</si>
  <si>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</si>
  <si>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</si>
  <si>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</si>
  <si>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</si>
  <si>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</si>
  <si>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</si>
  <si>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</si>
  <si>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</si>
  <si>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</si>
  <si>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</si>
  <si>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</si>
  <si>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</si>
  <si>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</si>
  <si>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</si>
  <si>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</si>
  <si>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</si>
  <si>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</si>
  <si>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</si>
  <si>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</si>
  <si>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</si>
  <si>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</si>
  <si>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</si>
  <si>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</si>
  <si>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</si>
  <si>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</si>
  <si>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</si>
  <si>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</si>
  <si>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</si>
  <si>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</si>
  <si>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</si>
  <si>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</si>
  <si>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Provisions</t>
  </si>
  <si>
    <t>Provisões</t>
  </si>
  <si>
    <t>Net result of losses</t>
  </si>
  <si>
    <t>Resultado líquido de perdas</t>
  </si>
  <si>
    <t>Revolving + overdue</t>
  </si>
  <si>
    <t>Rotativo + créditos Vencidos</t>
  </si>
  <si>
    <t>Net loans and advances to customers excluding non int. CC Receivables</t>
  </si>
  <si>
    <t> (=) Personnel efficiency ratio (%)</t>
  </si>
  <si>
    <t>(=) Índice de eficiência de pessoal (%)</t>
  </si>
  <si>
    <t>GMV Inter Shop (R$ mm)</t>
  </si>
  <si>
    <t>Receita líquida de juros</t>
  </si>
  <si>
    <t>Deferred tax liabilities</t>
  </si>
  <si>
    <t>Passivos fiscais diferidos</t>
  </si>
  <si>
    <t>Total de receitas</t>
  </si>
  <si>
    <t>Revolving (1 to 30 days)</t>
  </si>
  <si>
    <t>Rotativo (1 a 30 dias)</t>
  </si>
  <si>
    <t>Net fee revenues</t>
  </si>
  <si>
    <t>Receitas líquida de serviços</t>
  </si>
  <si>
    <t>AUC  (R$ bn)</t>
  </si>
  <si>
    <t>AUC (R$ bi)</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</si>
  <si>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</si>
  <si>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</si>
  <si>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</si>
  <si>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</si>
  <si>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</si>
  <si>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</si>
  <si>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</si>
  <si>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</si>
  <si>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</si>
  <si>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</si>
  <si>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</si>
  <si>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</si>
  <si>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</si>
  <si>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</si>
  <si>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</si>
  <si>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</si>
  <si>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</si>
  <si>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</si>
  <si>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</si>
  <si>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</si>
  <si>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</si>
  <si>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Transactor</t>
  </si>
  <si>
    <t>À vista</t>
  </si>
  <si>
    <t>Financial instituicions deposits</t>
  </si>
  <si>
    <t xml:space="preserve">Receitas líquida de serviços </t>
  </si>
  <si>
    <t>(=) NIM 2.0 - IEP (%)</t>
  </si>
  <si>
    <t>(=) NIM 2.0 - apenas carteira remunerada (%)</t>
  </si>
  <si>
    <t>Equity attributable to owners of the Company</t>
  </si>
  <si>
    <t>Patrimônio líquido dos acionistas controladores</t>
  </si>
  <si>
    <t>Total credit card loan portfolio</t>
  </si>
  <si>
    <t>Carteira de cartão de crédito total</t>
  </si>
  <si>
    <t>Saving</t>
  </si>
  <si>
    <t>(÷) Total net revenues</t>
  </si>
  <si>
    <t>(÷) Receira líquidas totais</t>
  </si>
  <si>
    <t>(=) Net ARPAC (R$)</t>
  </si>
  <si>
    <t>(=) ARPAC líquido (R$)</t>
  </si>
  <si>
    <t>NPL 15- 90 dias</t>
  </si>
  <si>
    <t>Share capital</t>
  </si>
  <si>
    <t>Capital social</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</si>
  <si>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</si>
  <si>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</si>
  <si>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</si>
  <si>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</si>
  <si>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</si>
  <si>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</si>
  <si>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</si>
  <si>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</si>
  <si>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</si>
  <si>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</si>
  <si>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</si>
  <si>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</si>
  <si>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</si>
  <si>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</si>
  <si>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</si>
  <si>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</si>
  <si>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</si>
  <si>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</si>
  <si>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</si>
  <si>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</si>
  <si>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Treasury shares</t>
  </si>
  <si>
    <t>Ações em tesouraria</t>
  </si>
  <si>
    <t>Real Estate</t>
  </si>
  <si>
    <t>Cost of funding - excluding other interest bearing liabilities</t>
  </si>
  <si>
    <t>Custo de funding - excludindo outros passivos que geram despesas de juros</t>
  </si>
  <si>
    <t>NIM 1.0 (%)</t>
  </si>
  <si>
    <t>Non-controlling interest</t>
  </si>
  <si>
    <t>Participações de acionistas não controladores</t>
  </si>
  <si>
    <t>(=) All-in cost of funding % of CDI</t>
  </si>
  <si>
    <t>(=) Fee income ratio (%)</t>
  </si>
  <si>
    <t>(=) Receitas líquida de serviços (%)</t>
  </si>
  <si>
    <t>(=) Risk-Adjusted NIM 1.0 - IEP + non-interest credit card receivables (%)</t>
  </si>
  <si>
    <t>(=) Risk-Adjusted NIM 1.0 - carteira remunerada + recebíveis CC que não geram juros (%)</t>
  </si>
  <si>
    <t> (=) Administrative efficiency ratio (%)</t>
  </si>
  <si>
    <t>(=) Índice de eficiência administrativo (%)</t>
  </si>
  <si>
    <t>NIM 2.0 - IEP Only (%)</t>
  </si>
  <si>
    <t>NIM 2.0 - Carteira remunerada</t>
  </si>
  <si>
    <t>Other expenses</t>
  </si>
  <si>
    <t>Outras despesas</t>
  </si>
  <si>
    <t>Total equity</t>
  </si>
  <si>
    <t>Total do patrimônio líquido</t>
  </si>
  <si>
    <t>(=) All-in cost of funding (%)</t>
  </si>
  <si>
    <t>Risk Adjusted NIM 2.0 - IEP</t>
  </si>
  <si>
    <t>NIM 2.0 Ajustado pela Provisão - apenas carteira remunerada</t>
  </si>
  <si>
    <t>All-in Cost of Funding (% of CDI)</t>
  </si>
  <si>
    <t>Custo de Funding (% do CDI)</t>
  </si>
  <si>
    <t>Liabilities + equity</t>
  </si>
  <si>
    <t>Passivos + patrimônio líquido</t>
  </si>
  <si>
    <t>Credit Cards</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</si>
  <si>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</si>
  <si>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</si>
  <si>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</si>
  <si>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</si>
  <si>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</si>
  <si>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</si>
  <si>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</si>
  <si>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</si>
  <si>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</si>
  <si>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</si>
  <si>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</si>
  <si>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Tarifas bancárias e operações de crédito</t>
  </si>
  <si>
    <t>Banking and credit operations</t>
  </si>
  <si>
    <t>Lucro / (prejuízo) do período</t>
  </si>
  <si>
    <t>Income from cash and cash equivalents in foreign currency</t>
  </si>
  <si>
    <t>Rendas e disponibilidades em moeda estrangeira</t>
  </si>
  <si>
    <t>Tarifas de comissão e coretagem</t>
  </si>
  <si>
    <t>Commission and brokerage fees</t>
  </si>
  <si>
    <t xml:space="preserve">Others </t>
  </si>
  <si>
    <t>Managerial Balance Sheet (R$ Billions)</t>
  </si>
  <si>
    <t>Balanço Patrimonial Gerencial (R$ bilhões)</t>
  </si>
  <si>
    <t>Interest earning portfolio (IEP)</t>
  </si>
  <si>
    <t>Ativos rentáveis</t>
  </si>
  <si>
    <t>Antecipação de recebíveis</t>
  </si>
  <si>
    <t>Total de passivos</t>
  </si>
  <si>
    <t>Financial institutions deposits</t>
  </si>
  <si>
    <t>Variação</t>
  </si>
  <si>
    <t>Savings</t>
  </si>
  <si>
    <t>Δ QoQS</t>
  </si>
  <si>
    <t>Δ QoQ Actual</t>
  </si>
  <si>
    <t>Δ QoQ Realizado</t>
  </si>
  <si>
    <t>Income from securities</t>
  </si>
  <si>
    <t>Resultado de títulos e valores mobiliários</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</si>
  <si>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</si>
  <si>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</si>
  <si>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</si>
  <si>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</si>
  <si>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</si>
  <si>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</si>
  <si>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</si>
  <si>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</si>
  <si>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</si>
  <si>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</si>
  <si>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</si>
  <si>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</si>
  <si>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</si>
  <si>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</si>
  <si>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</si>
  <si>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</si>
  <si>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</si>
  <si>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</si>
  <si>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</si>
  <si>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</si>
  <si>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</si>
  <si>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</si>
  <si>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</si>
  <si>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</si>
  <si>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</si>
  <si>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</si>
  <si>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</si>
  <si>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</si>
  <si>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</si>
  <si>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</si>
  <si>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</si>
  <si>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</si>
  <si>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</si>
  <si>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</si>
  <si>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</si>
  <si>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</si>
  <si>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</si>
  <si>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Implied rates</t>
  </si>
  <si>
    <t>Taxa implícita</t>
  </si>
  <si>
    <t>All-in rate (%)</t>
  </si>
  <si>
    <t>Taxa de juros consolidada (%)</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</si>
  <si>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</si>
  <si>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</si>
  <si>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</si>
  <si>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</si>
  <si>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</si>
  <si>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</si>
  <si>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</si>
  <si>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</si>
  <si>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</si>
  <si>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</si>
  <si>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</si>
  <si>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</si>
  <si>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</si>
  <si>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</si>
  <si>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</si>
  <si>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</si>
  <si>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</si>
  <si>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</si>
  <si>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</si>
  <si>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</si>
  <si>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</si>
  <si>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</si>
  <si>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</si>
  <si>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</si>
  <si>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</si>
  <si>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</si>
  <si>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</si>
  <si>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</si>
  <si>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</si>
  <si>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</si>
  <si>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</si>
  <si>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1.</t>
  </si>
  <si>
    <t>2.</t>
  </si>
  <si>
    <t>3.</t>
  </si>
  <si>
    <t>4.</t>
  </si>
  <si>
    <t>5.</t>
  </si>
  <si>
    <t>6.</t>
  </si>
  <si>
    <t>7.</t>
  </si>
  <si>
    <t>7.1.</t>
  </si>
  <si>
    <t>7.2.</t>
  </si>
  <si>
    <t>7.3.</t>
  </si>
  <si>
    <t>7.4.</t>
  </si>
  <si>
    <t>7.5.</t>
  </si>
  <si>
    <t>7.6.</t>
  </si>
  <si>
    <t>QoQ Variation</t>
  </si>
  <si>
    <t>YoY Variation</t>
  </si>
  <si>
    <t>-</t>
  </si>
  <si>
    <t>7,147,341
Margin on the Tier I Required Reference Equity 5,719,735 6</t>
  </si>
  <si>
    <t xml:space="preserve"> </t>
  </si>
  <si>
    <t>Debit TPV 1</t>
  </si>
  <si>
    <t>Empréstimos e adiantamentos a clientes, excl. recebiveis de CC que não geram juros</t>
  </si>
  <si>
    <t>2Q24 Historical Data</t>
  </si>
  <si>
    <t>Séries Históricas 2T24</t>
  </si>
  <si>
    <t>Managerial KPIs Effects in 2Q24 Financial Statements</t>
  </si>
  <si>
    <t>Destaques do Trimestre | 2T24</t>
  </si>
  <si>
    <t>Highlights of the Quarter | 2Q24</t>
  </si>
  <si>
    <t>2Q24 Actual</t>
  </si>
  <si>
    <t>2T24 Realizado</t>
  </si>
  <si>
    <t>Instructions for Use:
1. Read the disclaimer bellow before using this sheet.
2. The simulation is pre-set with Q2'24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</si>
  <si>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2º trimestre de 2024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</si>
  <si>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Risk-Adjusted NIM 1.0 (%)</t>
  </si>
  <si>
    <t>Risk-Adjusted NIM 2.0 (%)</t>
  </si>
  <si>
    <t>NIM 1.0 (%) - Ajustada pela Provisão</t>
  </si>
  <si>
    <t>NIM 2.0 (%) - Ajustada pela Provisão</t>
  </si>
  <si>
    <t>Variação QoQ</t>
  </si>
  <si>
    <t>Variação YoY</t>
  </si>
  <si>
    <t>Source</t>
  </si>
  <si>
    <t>Fonte</t>
  </si>
  <si>
    <t>Banking Accounts</t>
  </si>
  <si>
    <t>Contas Bancárias</t>
  </si>
  <si>
    <t>CPFs com Contas Bancárias</t>
  </si>
  <si>
    <t>Business with Banking Accounts</t>
  </si>
  <si>
    <t>CNPJs com Contas Bancárias</t>
  </si>
  <si>
    <t>TPV</t>
  </si>
  <si>
    <t>PIX</t>
  </si>
  <si>
    <t>PIX Transactions</t>
  </si>
  <si>
    <t>Transações PIX</t>
  </si>
  <si>
    <t>Sistema de Pagamentos Brasileiro (SPB) - Estatísticas do Pix - Banco Central do Brasil</t>
  </si>
  <si>
    <t>Note 1: Excluding transactions made outised the SPI</t>
  </si>
  <si>
    <t>Nota 1: Excluindo transações feitas fora do SPI</t>
  </si>
  <si>
    <t>PIX TPV (R$)</t>
  </si>
  <si>
    <t>TPV PIX (R$)</t>
  </si>
  <si>
    <t>Note 2: Including both debit and prepaid cards</t>
  </si>
  <si>
    <t>Nota 2: Including cartão de débito e cartão pré-pago</t>
  </si>
  <si>
    <t>TPV Cartão de Crédito (R$)</t>
  </si>
  <si>
    <t>TPV Cartão de Débito (R$)</t>
  </si>
  <si>
    <t>Associação Brasileira das Empresas de Cartões de Crédito e Serviços - Sistema de Informações – Monitor Abecs</t>
  </si>
  <si>
    <t>Cartão de Crédito</t>
  </si>
  <si>
    <t>Total Loan Portfolio</t>
  </si>
  <si>
    <t>Carteira de Crédito Total</t>
  </si>
  <si>
    <t>Banco Central do Brasil - SGS - Individual and Business (Pessoa Física e Pessoa Jurídica)</t>
  </si>
  <si>
    <t>Banco Central do Brasil - SGS - Excluding BNDES resources</t>
  </si>
  <si>
    <t>Business</t>
  </si>
  <si>
    <t>Banco Central do Brasil - SGS - Total Personal Loans (Crédito pessoal total)</t>
  </si>
  <si>
    <t>Banco Central do Brasil - SGS - Total Real Estate Loans (Nonearmarked and Earmarked) / Crédito Imobiliário Total (Recursos Livres e Direcionados)</t>
  </si>
  <si>
    <t>Individual with Banking Accounts</t>
  </si>
  <si>
    <t>Cards</t>
  </si>
  <si>
    <t>Market Data - Brazil (Millions)</t>
  </si>
  <si>
    <t>Dados de Mercado - Brasil (Milhões)</t>
  </si>
  <si>
    <t>Credit Cards TPV (R$)</t>
  </si>
  <si>
    <t>Debt Card TPV (R$)</t>
  </si>
  <si>
    <t>Loan Portfolio (R$)</t>
  </si>
  <si>
    <t>Carteira de Crédito (R$)</t>
  </si>
  <si>
    <t>n.a.</t>
  </si>
  <si>
    <t>Banco Central do Brasil - SGS - Total non-financial corporations, excluding cards, real estate and BNDES (Pessoas jurídicas total, excluindo cartões e imobiliário e BNDES)</t>
  </si>
  <si>
    <t>Market Data</t>
  </si>
  <si>
    <t>Dados de Mercado</t>
  </si>
  <si>
    <t>Estatísticas do CCS - Banco Central do Brasil</t>
  </si>
  <si>
    <t>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</si>
</sst>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s>
  <fonts count="58">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i/>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BE6CB"/>
        <bgColor indexed="64"/>
      </patternFill>
    </fill>
  </fills>
  <borders count="12">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thin">
        <color rgb="FF72350C"/>
      </left>
      <right style="thin">
        <color rgb="FF72350C"/>
      </right>
      <top style="thin">
        <color rgb="FF72350C"/>
      </top>
      <bottom style="thin">
        <color rgb="FF72350C"/>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658">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2"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0" fontId="32"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3" fillId="0" borderId="0" xfId="0" applyFont="1" applyAlignment="1" applyProtection="1">
      <alignment horizontal="center" vertical="center" wrapText="1"/>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175" fontId="16" fillId="5" borderId="6" xfId="1" applyNumberFormat="1" applyFont="1" applyFill="1" applyBorder="1" applyAlignment="1" applyProtection="1">
      <alignment horizontal="right" vertical="center"/>
      <protection locked="0" hidden="1"/>
    </xf>
    <xf numFmtId="175" fontId="16" fillId="5" borderId="0" xfId="1" applyNumberFormat="1" applyFont="1" applyFill="1" applyBorder="1" applyAlignment="1" applyProtection="1">
      <alignment horizontal="right" vertical="center"/>
      <protection locked="0" hidden="1"/>
    </xf>
    <xf numFmtId="172" fontId="32" fillId="2" borderId="0" xfId="1" applyNumberFormat="1" applyFont="1" applyFill="1" applyBorder="1" applyAlignment="1" applyProtection="1">
      <alignment horizontal="right" vertical="center"/>
      <protection locked="0" hidden="1"/>
    </xf>
    <xf numFmtId="0" fontId="33" fillId="0" borderId="0" xfId="0" applyFont="1" applyAlignment="1" applyProtection="1">
      <alignment vertical="center"/>
      <protection locked="0" hidden="1"/>
    </xf>
    <xf numFmtId="0" fontId="32" fillId="0" borderId="0" xfId="0" applyFont="1" applyAlignment="1" applyProtection="1">
      <alignment horizontal="left" vertical="center"/>
      <protection locked="0" hidden="1"/>
    </xf>
    <xf numFmtId="0" fontId="36" fillId="0" borderId="0" xfId="0" applyFont="1" applyAlignment="1" applyProtection="1">
      <alignment horizontal="center" vertical="center"/>
      <protection locked="0" hidden="1"/>
    </xf>
    <xf numFmtId="0" fontId="34" fillId="0" borderId="0" xfId="0" applyFont="1" applyAlignment="1" applyProtection="1">
      <alignment horizontal="center"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2" fontId="31" fillId="5" borderId="0" xfId="0" applyNumberFormat="1" applyFont="1" applyFill="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0" fontId="32" fillId="0" borderId="6" xfId="0" applyFont="1" applyBorder="1" applyAlignment="1" applyProtection="1">
      <alignment horizontal="left" vertical="center"/>
      <protection locked="0" hidden="1"/>
    </xf>
    <xf numFmtId="175" fontId="33" fillId="3" borderId="0" xfId="0" applyNumberFormat="1" applyFont="1" applyFill="1" applyAlignment="1" applyProtection="1">
      <alignment vertical="center"/>
      <protection locked="0" hidden="1"/>
    </xf>
    <xf numFmtId="175" fontId="31" fillId="5"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0" fontId="32" fillId="3" borderId="6" xfId="0" applyFont="1" applyFill="1" applyBorder="1" applyAlignment="1" applyProtection="1">
      <alignment horizontal="left" vertical="center"/>
      <protection locked="0" hidden="1"/>
    </xf>
    <xf numFmtId="168" fontId="33" fillId="0" borderId="0" xfId="2" applyNumberFormat="1" applyFont="1" applyFill="1" applyBorder="1" applyAlignment="1" applyProtection="1">
      <alignment horizontal="center" vertical="center"/>
      <protection locked="0" hidden="1"/>
    </xf>
    <xf numFmtId="0" fontId="33" fillId="0" borderId="0" xfId="0" applyFont="1" applyAlignment="1" applyProtection="1">
      <alignment horizontal="center" vertical="center"/>
      <protection locked="0" hidden="1"/>
    </xf>
    <xf numFmtId="0" fontId="31" fillId="2" borderId="0" xfId="0" applyFont="1" applyFill="1" applyAlignment="1" applyProtection="1">
      <alignment vertical="center"/>
      <protection locked="0" hidden="1"/>
    </xf>
    <xf numFmtId="0" fontId="33" fillId="2" borderId="0" xfId="0" applyFont="1" applyFill="1" applyAlignment="1" applyProtection="1">
      <alignment vertical="center"/>
      <protection locked="0" hidden="1"/>
    </xf>
    <xf numFmtId="0" fontId="31" fillId="0" borderId="0" xfId="0" applyFont="1" applyAlignment="1" applyProtection="1">
      <alignment vertical="center"/>
      <protection locked="0" hidden="1"/>
    </xf>
    <xf numFmtId="0" fontId="32" fillId="3" borderId="0" xfId="0" applyFont="1" applyFill="1" applyAlignment="1" applyProtection="1">
      <alignmen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43"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0" fontId="33" fillId="2" borderId="0" xfId="0" applyFont="1" applyFill="1" applyAlignment="1" applyProtection="1">
      <alignment horizontal="center" vertical="center"/>
      <protection locked="0" hidden="1"/>
    </xf>
    <xf numFmtId="0" fontId="32" fillId="2" borderId="0" xfId="0" applyFont="1" applyFill="1" applyAlignment="1" applyProtection="1">
      <alignment horizontal="center" vertical="center"/>
      <protection locked="0" hidden="1"/>
    </xf>
    <xf numFmtId="0" fontId="38" fillId="2" borderId="0" xfId="0" applyFont="1" applyFill="1" applyAlignment="1" applyProtection="1">
      <alignment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168" fontId="32" fillId="6" borderId="0" xfId="0" applyNumberFormat="1" applyFont="1" applyFill="1" applyAlignment="1" applyProtection="1">
      <alignment horizontal="center"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0" fontId="27" fillId="4" borderId="0" xfId="0" applyFont="1" applyFill="1" applyAlignment="1" applyProtection="1">
      <alignment horizontal="left" indent="4"/>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0" fontId="32" fillId="0" borderId="0" xfId="0" applyFont="1" applyAlignment="1" applyProtection="1">
      <alignment vertical="center"/>
      <protection locked="0" hidden="1"/>
    </xf>
    <xf numFmtId="175" fontId="33" fillId="0" borderId="6" xfId="1" applyNumberFormat="1" applyFont="1" applyFill="1" applyBorder="1" applyAlignment="1" applyProtection="1">
      <alignment horizontal="right" vertical="center"/>
      <protection locked="0" hidden="1"/>
    </xf>
    <xf numFmtId="0" fontId="33" fillId="0" borderId="0" xfId="0" applyFont="1" applyAlignment="1" applyProtection="1">
      <alignment horizontal="left" vertical="center" indent="2"/>
      <protection locked="0" hidden="1"/>
    </xf>
    <xf numFmtId="9" fontId="33" fillId="3" borderId="0" xfId="2" applyFont="1" applyFill="1" applyAlignment="1" applyProtection="1">
      <alignment vertical="center"/>
      <protection locked="0" hidden="1"/>
    </xf>
    <xf numFmtId="168" fontId="32" fillId="5" borderId="0" xfId="2" applyNumberFormat="1" applyFont="1" applyFill="1" applyAlignment="1" applyProtection="1">
      <alignment horizontal="center" vertical="center" wrapText="1"/>
      <protection locked="0" hidden="1"/>
    </xf>
    <xf numFmtId="0" fontId="31" fillId="7" borderId="0" xfId="0"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0" fontId="33" fillId="4" borderId="0" xfId="0" applyFont="1" applyFill="1" applyAlignment="1" applyProtection="1">
      <alignment horizontal="left" vertical="center"/>
      <protection locked="0" hidden="1"/>
    </xf>
    <xf numFmtId="175" fontId="33" fillId="4" borderId="0" xfId="1" applyNumberFormat="1" applyFont="1" applyFill="1" applyBorder="1" applyAlignment="1" applyProtection="1">
      <alignment horizontal="right" vertical="center"/>
      <protection locked="0" hidden="1"/>
    </xf>
    <xf numFmtId="0" fontId="33" fillId="4" borderId="0" xfId="0" applyFont="1" applyFill="1" applyAlignment="1" applyProtection="1">
      <alignment vertical="center"/>
      <protection locked="0" hidden="1"/>
    </xf>
    <xf numFmtId="0" fontId="17" fillId="3" borderId="0" xfId="0" applyFont="1" applyFill="1" applyAlignment="1" applyProtection="1">
      <alignment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0" fontId="10" fillId="0" borderId="0" xfId="0" applyFont="1" applyProtection="1">
      <protection locked="0" hidden="1"/>
    </xf>
    <xf numFmtId="0" fontId="10" fillId="0" borderId="0" xfId="0" applyFont="1" applyAlignment="1" applyProtection="1">
      <alignment horizontal="center"/>
      <protection locked="0" hidden="1"/>
    </xf>
    <xf numFmtId="0" fontId="10" fillId="2" borderId="0" xfId="0" applyFont="1" applyFill="1" applyProtection="1">
      <protection locked="0" hidden="1"/>
    </xf>
    <xf numFmtId="0" fontId="9" fillId="0" borderId="0" xfId="0" applyFont="1" applyAlignment="1" applyProtection="1">
      <alignment horizontal="center"/>
      <protection locked="0" hidden="1"/>
    </xf>
    <xf numFmtId="0" fontId="18" fillId="0" borderId="0" xfId="0" applyFont="1" applyAlignment="1" applyProtection="1">
      <alignment horizontal="left"/>
      <protection locked="0" hidden="1"/>
    </xf>
    <xf numFmtId="0" fontId="18" fillId="0" borderId="0" xfId="0" applyFont="1" applyAlignment="1" applyProtection="1">
      <alignment horizontal="center"/>
      <protection locked="0" hidden="1"/>
    </xf>
    <xf numFmtId="0" fontId="10" fillId="0" borderId="0" xfId="11" applyFont="1" applyFill="1" applyBorder="1" applyAlignment="1" applyProtection="1">
      <alignment horizontal="left" vertical="center" wrapText="1"/>
      <protection locked="0" hidden="1"/>
    </xf>
    <xf numFmtId="0" fontId="10" fillId="0" borderId="0" xfId="11" applyFont="1" applyFill="1" applyBorder="1" applyAlignment="1" applyProtection="1">
      <alignment horizontal="left" wrapText="1"/>
      <protection locked="0" hidden="1"/>
    </xf>
    <xf numFmtId="0" fontId="20" fillId="0" borderId="0" xfId="0" applyFont="1" applyAlignment="1" applyProtection="1">
      <alignment vertical="center"/>
      <protection locked="0" hidden="1"/>
    </xf>
    <xf numFmtId="0" fontId="20" fillId="0" borderId="0" xfId="0" applyFont="1" applyAlignment="1" applyProtection="1">
      <alignment horizontal="center" vertical="center"/>
      <protection locked="0" hidden="1"/>
    </xf>
    <xf numFmtId="0" fontId="17" fillId="2" borderId="0" xfId="0" applyFont="1" applyFill="1" applyAlignment="1" applyProtection="1">
      <alignment vertical="center"/>
      <protection locked="0" hidden="1"/>
    </xf>
    <xf numFmtId="49" fontId="11" fillId="0" borderId="0" xfId="0" applyNumberFormat="1" applyFont="1" applyAlignment="1" applyProtection="1">
      <alignment horizontal="right"/>
      <protection locked="0" hidden="1"/>
    </xf>
    <xf numFmtId="0" fontId="10" fillId="0" borderId="0" xfId="11" applyFont="1" applyFill="1" applyBorder="1" applyAlignment="1" applyProtection="1">
      <alignment horizontal="center" vertical="center" wrapText="1"/>
      <protection locked="0" hidden="1"/>
    </xf>
    <xf numFmtId="0" fontId="10" fillId="2" borderId="0" xfId="11" applyFont="1" applyFill="1" applyBorder="1" applyAlignment="1" applyProtection="1">
      <alignment horizontal="left" vertical="center" wrapText="1"/>
      <protection locked="0" hidden="1"/>
    </xf>
    <xf numFmtId="0" fontId="12" fillId="0" borderId="0" xfId="11" applyFont="1" applyFill="1" applyBorder="1" applyAlignment="1" applyProtection="1">
      <alignment horizontal="left" vertical="center" wrapText="1"/>
      <protection locked="0" hidden="1"/>
    </xf>
    <xf numFmtId="49" fontId="11" fillId="0" borderId="0" xfId="0" applyNumberFormat="1" applyFont="1" applyAlignment="1" applyProtection="1">
      <alignment horizontal="center"/>
      <protection locked="0" hidden="1"/>
    </xf>
    <xf numFmtId="0" fontId="9" fillId="2" borderId="0" xfId="0" applyFont="1" applyFill="1" applyProtection="1">
      <protection locked="0" hidden="1"/>
    </xf>
    <xf numFmtId="49" fontId="11" fillId="0" borderId="0" xfId="0" applyNumberFormat="1" applyFont="1" applyAlignment="1" applyProtection="1">
      <alignment horizontal="left"/>
      <protection locked="0" hidden="1"/>
    </xf>
    <xf numFmtId="0" fontId="14" fillId="0" borderId="0" xfId="0" applyFont="1" applyAlignment="1" applyProtection="1">
      <alignment wrapText="1"/>
      <protection locked="0" hidden="1"/>
    </xf>
    <xf numFmtId="0" fontId="13" fillId="0" borderId="0" xfId="0" applyFont="1" applyAlignment="1" applyProtection="1">
      <alignment horizontal="left" vertical="center" wrapText="1"/>
      <protection locked="0" hidden="1"/>
    </xf>
    <xf numFmtId="0" fontId="14" fillId="0" borderId="0" xfId="0" applyFont="1" applyAlignment="1" applyProtection="1">
      <alignment horizontal="center" wrapText="1"/>
      <protection locked="0" hidden="1"/>
    </xf>
    <xf numFmtId="0" fontId="14" fillId="0" borderId="0" xfId="0" applyFont="1" applyAlignment="1" applyProtection="1">
      <alignment horizontal="center" vertical="center" wrapText="1"/>
      <protection locked="0" hidden="1"/>
    </xf>
    <xf numFmtId="0" fontId="12" fillId="0" borderId="0" xfId="0" applyFont="1" applyProtection="1">
      <protection locked="0" hidden="1"/>
    </xf>
    <xf numFmtId="0" fontId="7" fillId="0" borderId="0" xfId="11" applyProtection="1">
      <protection locked="0" hidden="1"/>
    </xf>
    <xf numFmtId="0" fontId="9" fillId="2" borderId="0" xfId="0" applyFont="1" applyFill="1" applyAlignment="1" applyProtection="1">
      <alignment horizont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0" borderId="0" xfId="2" applyNumberFormat="1" applyFont="1" applyFill="1" applyBorder="1" applyAlignment="1" applyProtection="1">
      <alignment horizontal="center" vertical="center"/>
      <protection locked="0" hidden="1"/>
    </xf>
    <xf numFmtId="178" fontId="33" fillId="0" borderId="0" xfId="0" applyNumberFormat="1" applyFont="1" applyAlignment="1" applyProtection="1">
      <alignment vertical="center"/>
      <protection locked="0" hidden="1"/>
    </xf>
    <xf numFmtId="168" fontId="32" fillId="6" borderId="0" xfId="2" applyNumberFormat="1" applyFont="1" applyFill="1" applyBorder="1" applyAlignment="1" applyProtection="1">
      <alignment horizontal="center" vertical="center"/>
      <protection locked="0" hidden="1"/>
    </xf>
    <xf numFmtId="178" fontId="33" fillId="3" borderId="0" xfId="0" applyNumberFormat="1" applyFont="1" applyFill="1" applyAlignment="1" applyProtection="1">
      <alignment vertical="center"/>
      <protection locked="0" hidden="1"/>
    </xf>
    <xf numFmtId="179" fontId="32" fillId="0" borderId="6" xfId="1" applyNumberFormat="1" applyFont="1" applyFill="1" applyBorder="1" applyAlignment="1" applyProtection="1">
      <alignment horizontal="right" vertical="center"/>
      <protection locked="0" hidden="1"/>
    </xf>
    <xf numFmtId="179" fontId="33" fillId="3" borderId="0" xfId="0" applyNumberFormat="1" applyFont="1" applyFill="1" applyAlignment="1" applyProtection="1">
      <alignment vertical="center"/>
      <protection locked="0" hidden="1"/>
    </xf>
    <xf numFmtId="179" fontId="33" fillId="0" borderId="0" xfId="0" applyNumberFormat="1" applyFont="1" applyAlignment="1" applyProtection="1">
      <alignmen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179" fontId="33" fillId="0" borderId="6" xfId="1" applyNumberFormat="1" applyFont="1" applyFill="1" applyBorder="1" applyAlignment="1" applyProtection="1">
      <alignment horizontal="right" vertical="center"/>
      <protection locked="0" hidden="1"/>
    </xf>
    <xf numFmtId="0" fontId="27" fillId="0" borderId="0" xfId="0" applyFont="1" applyAlignment="1" applyProtection="1">
      <alignment horizontal="left" vertical="center" indent="7"/>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165" fontId="30" fillId="0"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165" fontId="21" fillId="0" borderId="0" xfId="1" applyNumberFormat="1" applyFont="1" applyFill="1" applyBorder="1" applyAlignment="1" applyProtection="1">
      <alignment horizontal="left" vertical="center" wrapText="1"/>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0" borderId="0" xfId="0" applyNumberFormat="1" applyFont="1" applyAlignment="1" applyProtection="1">
      <alignment horizontal="right"/>
      <protection locked="0"/>
    </xf>
    <xf numFmtId="43"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72" fontId="25" fillId="0" borderId="0" xfId="1" applyNumberFormat="1" applyFont="1" applyFill="1" applyAlignment="1" applyProtection="1">
      <alignment horizontal="right" vertical="center"/>
      <protection locked="0"/>
    </xf>
    <xf numFmtId="173" fontId="9" fillId="0" borderId="0" xfId="0" applyNumberFormat="1"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69" fontId="30" fillId="3" borderId="0" xfId="1" applyNumberFormat="1" applyFont="1" applyFill="1" applyBorder="1" applyAlignment="1" applyProtection="1">
      <alignment horizontal="right" vertical="center"/>
      <protection locked="0"/>
    </xf>
    <xf numFmtId="169" fontId="30" fillId="0"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3" fontId="9" fillId="0" borderId="0" xfId="0" applyNumberFormat="1" applyFont="1" applyProtection="1">
      <protection locked="0"/>
    </xf>
    <xf numFmtId="167" fontId="25" fillId="3" borderId="0" xfId="1"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left"/>
      <protection locked="0"/>
    </xf>
    <xf numFmtId="176" fontId="25" fillId="3" borderId="0" xfId="1" applyNumberFormat="1" applyFont="1" applyFill="1" applyBorder="1" applyAlignment="1" applyProtection="1">
      <alignment vertical="center" wrapText="1"/>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0" fontId="9" fillId="0" borderId="0" xfId="0" quotePrefix="1" applyFont="1" applyAlignment="1" applyProtection="1">
      <alignment horizontal="right"/>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165" fontId="9" fillId="0" borderId="0" xfId="1" applyNumberFormat="1" applyFont="1" applyFill="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164"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3" borderId="0" xfId="2" applyNumberFormat="1" applyFont="1" applyFill="1" applyBorder="1" applyAlignment="1" applyProtection="1">
      <alignment horizontal="right" vertical="center" wrapText="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164"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0" borderId="0" xfId="0" applyNumberFormat="1" applyFont="1" applyAlignment="1" applyProtection="1">
      <alignment horizontal="right" vertical="center" wrapText="1"/>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68" fontId="9" fillId="3" borderId="0" xfId="2" applyNumberFormat="1" applyFont="1" applyFill="1" applyBorder="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164"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80" fontId="25" fillId="0" borderId="0" xfId="2"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Alignment="1" applyProtection="1">
      <alignment horizontal="right" vertical="center"/>
      <protection locked="0"/>
    </xf>
    <xf numFmtId="183" fontId="9" fillId="0" borderId="0" xfId="2" applyNumberFormat="1" applyFont="1" applyFill="1" applyBorder="1" applyAlignment="1" applyProtection="1">
      <alignment horizontal="right" vertical="center"/>
      <protection locked="0"/>
    </xf>
    <xf numFmtId="181" fontId="25" fillId="0" borderId="0" xfId="2" applyNumberFormat="1" applyFont="1" applyFill="1" applyBorder="1" applyAlignment="1" applyProtection="1">
      <alignment vertical="center"/>
      <protection locked="0"/>
    </xf>
    <xf numFmtId="181" fontId="25" fillId="0" borderId="0" xfId="2"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80" fontId="9" fillId="0" borderId="0" xfId="2" applyNumberFormat="1" applyFont="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72" fontId="25" fillId="0" borderId="9" xfId="1"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vertical="center"/>
      <protection locked="0"/>
    </xf>
    <xf numFmtId="0" fontId="9"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horizontal="right" vertical="center"/>
      <protection locked="0"/>
    </xf>
    <xf numFmtId="165" fontId="25" fillId="3" borderId="9" xfId="1" applyNumberFormat="1" applyFont="1" applyFill="1" applyBorder="1" applyAlignment="1" applyProtection="1">
      <alignment horizontal="left" vertical="center" wrapText="1" indent="1"/>
      <protection locked="0" hidden="1"/>
    </xf>
    <xf numFmtId="168"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horizontal="right" vertical="center"/>
      <protection locked="0"/>
    </xf>
    <xf numFmtId="168"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vertical="center"/>
      <protection locked="0"/>
    </xf>
    <xf numFmtId="182" fontId="25" fillId="0" borderId="9" xfId="2" applyNumberFormat="1" applyFont="1" applyFill="1" applyBorder="1" applyAlignment="1" applyProtection="1">
      <alignment horizontal="righ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49" fontId="49" fillId="0" borderId="5" xfId="1" applyNumberFormat="1" applyFont="1" applyFill="1" applyBorder="1" applyAlignment="1" applyProtection="1">
      <alignment horizontal="center" vertical="center"/>
      <protection locked="0" hidden="1"/>
    </xf>
    <xf numFmtId="49" fontId="49" fillId="0" borderId="8" xfId="1" applyNumberFormat="1" applyFont="1" applyFill="1" applyBorder="1" applyAlignment="1" applyProtection="1">
      <alignment horizontal="center" vertical="center"/>
      <protection locked="0" hidden="1"/>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9" fontId="9" fillId="3" borderId="0" xfId="2" applyFont="1" applyFill="1" applyBorder="1" applyProtection="1">
      <protection locked="0"/>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5" fillId="0" borderId="9" xfId="0" applyFont="1" applyBorder="1" applyAlignment="1" applyProtection="1">
      <alignment horizontal="left" indent="2"/>
      <protection locked="0" hidden="1"/>
    </xf>
    <xf numFmtId="172" fontId="25" fillId="0" borderId="9" xfId="0" applyNumberFormat="1" applyFont="1" applyBorder="1" applyAlignment="1" applyProtection="1">
      <alignment horizontal="right" vertical="center" wrapText="1"/>
      <protection locked="0"/>
    </xf>
    <xf numFmtId="0" fontId="26" fillId="3" borderId="9" xfId="0" applyFont="1" applyFill="1" applyBorder="1" applyAlignment="1" applyProtection="1">
      <alignment horizontal="left" vertical="center" wrapText="1"/>
      <protection locked="0" hidden="1"/>
    </xf>
    <xf numFmtId="167" fontId="26" fillId="3" borderId="9" xfId="0" applyNumberFormat="1" applyFont="1" applyFill="1" applyBorder="1" applyAlignment="1" applyProtection="1">
      <alignment horizontal="right" vertical="center" wrapText="1"/>
      <protection locked="0"/>
    </xf>
    <xf numFmtId="172" fontId="9" fillId="0" borderId="9" xfId="1" applyNumberFormat="1" applyFont="1" applyFill="1" applyBorder="1" applyProtection="1">
      <protection locked="0"/>
    </xf>
    <xf numFmtId="172" fontId="21" fillId="0" borderId="9" xfId="0" applyNumberFormat="1" applyFont="1" applyBorder="1" applyProtection="1">
      <protection locked="0"/>
    </xf>
    <xf numFmtId="168" fontId="9" fillId="0" borderId="9" xfId="2" applyNumberFormat="1" applyFont="1" applyFill="1" applyBorder="1" applyProtection="1">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9" fillId="3" borderId="9" xfId="2" applyNumberFormat="1" applyFont="1" applyFill="1" applyBorder="1" applyAlignment="1" applyProtection="1">
      <alignment horizontal="right" vertical="center" wrapText="1"/>
      <protection locked="0"/>
    </xf>
    <xf numFmtId="49" fontId="48" fillId="0" borderId="5" xfId="1" applyNumberFormat="1" applyFont="1" applyFill="1" applyBorder="1" applyAlignment="1" applyProtection="1">
      <alignment horizontal="center" vertical="center"/>
      <protection locked="0" hidden="1"/>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74" fontId="21" fillId="0" borderId="9" xfId="2" applyNumberFormat="1" applyFont="1" applyFill="1" applyBorder="1" applyAlignment="1" applyProtection="1">
      <alignment horizontal="right"/>
      <protection locked="0"/>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wrapText="1" indent="1"/>
      <protection locked="0" hidden="1"/>
    </xf>
    <xf numFmtId="166" fontId="25" fillId="0" borderId="9" xfId="1" applyNumberFormat="1" applyFont="1" applyFill="1" applyBorder="1" applyAlignment="1" applyProtection="1">
      <alignment horizontal="right" vertical="center"/>
      <protection locked="0"/>
    </xf>
    <xf numFmtId="166" fontId="21" fillId="3" borderId="9" xfId="0" applyNumberFormat="1" applyFont="1" applyFill="1" applyBorder="1" applyProtection="1">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1"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75" fontId="9" fillId="0" borderId="0" xfId="1" applyNumberFormat="1" applyFont="1" applyAlignment="1" applyProtection="1">
      <alignment horizontal="right"/>
      <protection locked="0"/>
    </xf>
    <xf numFmtId="9" fontId="9" fillId="0" borderId="0" xfId="2" applyFont="1" applyAlignment="1" applyProtection="1">
      <alignment horizontal="right"/>
      <protection locked="0"/>
    </xf>
    <xf numFmtId="0" fontId="25" fillId="4" borderId="0" xfId="0" applyFont="1" applyFill="1" applyAlignment="1" applyProtection="1">
      <alignment horizontal="left" indent="1"/>
      <protection locked="0" hidden="1"/>
    </xf>
    <xf numFmtId="168" fontId="9" fillId="4" borderId="0" xfId="2" applyNumberFormat="1" applyFont="1" applyFill="1" applyProtection="1">
      <protection locked="0"/>
    </xf>
    <xf numFmtId="9" fontId="25" fillId="4" borderId="0" xfId="2" applyFont="1" applyFill="1" applyBorder="1" applyAlignment="1" applyProtection="1">
      <alignment horizontal="right" vertical="center"/>
      <protection locked="0"/>
    </xf>
    <xf numFmtId="168" fontId="25" fillId="0" borderId="0" xfId="2" applyNumberFormat="1" applyFont="1" applyFill="1" applyBorder="1" applyAlignment="1" applyProtection="1">
      <alignment horizontal="right" vertical="center" wrapText="1"/>
      <protection locked="0"/>
    </xf>
    <xf numFmtId="165" fontId="9" fillId="3" borderId="0" xfId="1" applyNumberFormat="1" applyFont="1" applyFill="1" applyBorder="1" applyAlignment="1" applyProtection="1">
      <alignment vertical="center" wrapText="1"/>
      <protection locked="0" hidden="1"/>
    </xf>
    <xf numFmtId="0" fontId="27" fillId="3" borderId="0" xfId="0" applyFont="1" applyFill="1" applyAlignment="1" applyProtection="1">
      <alignment horizontal="left" indent="5"/>
      <protection locked="0" hidden="1"/>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72" fontId="9" fillId="0" borderId="0" xfId="1" applyNumberFormat="1" applyFont="1" applyFill="1" applyProtection="1">
      <protection locked="0"/>
    </xf>
    <xf numFmtId="175" fontId="25" fillId="0" borderId="9" xfId="1" applyNumberFormat="1" applyFont="1" applyFill="1" applyBorder="1" applyAlignment="1" applyProtection="1">
      <alignment vertical="center"/>
      <protection locked="0"/>
    </xf>
    <xf numFmtId="0" fontId="21" fillId="0" borderId="9" xfId="0" applyFont="1" applyBorder="1" applyAlignment="1" applyProtection="1">
      <alignment horizontal="left"/>
      <protection locked="0" hidden="1"/>
    </xf>
    <xf numFmtId="0" fontId="27" fillId="0" borderId="0" xfId="0" applyFont="1" applyAlignment="1" applyProtection="1">
      <alignment horizontal="left" vertical="center" indent="6"/>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26" fillId="3" borderId="9" xfId="2" applyNumberFormat="1" applyFont="1" applyFill="1" applyBorder="1" applyAlignment="1" applyProtection="1">
      <alignment horizontal="right" vertical="center"/>
      <protection locked="0"/>
    </xf>
    <xf numFmtId="0" fontId="48" fillId="0" borderId="8" xfId="1" applyNumberFormat="1" applyFont="1" applyFill="1" applyBorder="1" applyAlignment="1" applyProtection="1">
      <alignment horizontal="center" vertical="center"/>
      <protection locked="0" hidden="1"/>
    </xf>
    <xf numFmtId="168" fontId="9" fillId="0" borderId="0" xfId="2" applyNumberFormat="1" applyFont="1" applyFill="1" applyBorder="1" applyAlignment="1" applyProtection="1">
      <alignment vertical="center"/>
      <protection locked="0"/>
    </xf>
    <xf numFmtId="0" fontId="25" fillId="4" borderId="0" xfId="0" applyFont="1" applyFill="1" applyAlignment="1" applyProtection="1">
      <alignment horizontal="left" vertical="center" indent="1"/>
      <protection locked="0" hidden="1"/>
    </xf>
    <xf numFmtId="168"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horizontal="right" vertical="center"/>
      <protection locked="0"/>
    </xf>
    <xf numFmtId="168" fontId="9" fillId="4" borderId="0" xfId="2" applyNumberFormat="1" applyFont="1" applyFill="1" applyBorder="1" applyAlignment="1" applyProtection="1">
      <alignment vertical="center"/>
      <protection locked="0"/>
    </xf>
    <xf numFmtId="0" fontId="9" fillId="4" borderId="0" xfId="0" applyFont="1" applyFill="1" applyAlignment="1" applyProtection="1">
      <alignment horizontal="left" vertical="center" indent="1"/>
      <protection locked="0" hidden="1"/>
    </xf>
    <xf numFmtId="168" fontId="9" fillId="4"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167" fontId="26" fillId="0" borderId="0" xfId="0" applyNumberFormat="1" applyFont="1" applyAlignment="1" applyProtection="1">
      <alignment horizontal="right" vertical="center" wrapText="1"/>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25" fillId="0" borderId="9" xfId="2" applyNumberFormat="1" applyFont="1" applyBorder="1" applyAlignment="1" applyProtection="1">
      <alignment horizontal="right" vertical="center" wrapText="1"/>
      <protection locked="0"/>
    </xf>
    <xf numFmtId="168" fontId="25" fillId="3" borderId="0" xfId="2" applyNumberFormat="1" applyFont="1" applyFill="1" applyAlignment="1" applyProtection="1">
      <alignment horizontal="right" vertical="center" wrapText="1"/>
      <protection locked="0"/>
    </xf>
    <xf numFmtId="168" fontId="25" fillId="0" borderId="0" xfId="2" applyNumberFormat="1" applyFont="1" applyAlignment="1" applyProtection="1">
      <alignment horizontal="right" vertical="center" wrapText="1"/>
      <protection locked="0"/>
    </xf>
    <xf numFmtId="168" fontId="9" fillId="3" borderId="0" xfId="2" applyNumberFormat="1" applyFont="1" applyFill="1" applyBorder="1" applyAlignment="1" applyProtection="1">
      <alignment horizontal="right"/>
      <protection locked="0"/>
    </xf>
    <xf numFmtId="168" fontId="9" fillId="0" borderId="9"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0" borderId="0" xfId="2" applyNumberFormat="1" applyFont="1" applyAlignment="1" applyProtection="1">
      <alignment horizontal="right"/>
      <protection locked="0"/>
    </xf>
    <xf numFmtId="168" fontId="21" fillId="3" borderId="0" xfId="2" applyNumberFormat="1" applyFont="1" applyFill="1" applyAlignment="1" applyProtection="1">
      <alignment horizontal="right"/>
      <protection locked="0"/>
    </xf>
    <xf numFmtId="168" fontId="21" fillId="0" borderId="9" xfId="2" applyNumberFormat="1" applyFont="1" applyBorder="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0" borderId="0" xfId="2" applyNumberFormat="1" applyFont="1" applyFill="1" applyBorder="1" applyAlignment="1" applyProtection="1">
      <alignment horizontal="right" vertical="center" wrapText="1"/>
      <protection locked="0"/>
    </xf>
    <xf numFmtId="185" fontId="9" fillId="0" borderId="9" xfId="2" applyNumberFormat="1" applyFont="1" applyFill="1" applyBorder="1" applyAlignment="1" applyProtection="1">
      <alignment horizontal="right"/>
      <protection locked="0"/>
    </xf>
    <xf numFmtId="185" fontId="25" fillId="4" borderId="0" xfId="2" applyNumberFormat="1" applyFont="1" applyFill="1" applyBorder="1" applyAlignment="1" applyProtection="1">
      <alignment horizontal="right" vertical="center"/>
      <protection locked="0"/>
    </xf>
    <xf numFmtId="185" fontId="52"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85" fontId="9" fillId="3" borderId="0" xfId="2" applyNumberFormat="1" applyFont="1" applyFill="1" applyBorder="1" applyAlignment="1" applyProtection="1">
      <alignment horizontal="right"/>
      <protection locked="0"/>
    </xf>
    <xf numFmtId="185" fontId="9" fillId="4"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0" borderId="9" xfId="0" applyNumberFormat="1" applyFont="1" applyBorder="1" applyProtection="1">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26" fillId="3" borderId="9" xfId="2"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9" fillId="0" borderId="0" xfId="2" applyNumberFormat="1" applyFont="1" applyAlignment="1" applyProtection="1">
      <alignment horizontal="right"/>
      <protection locked="0"/>
    </xf>
    <xf numFmtId="185" fontId="9" fillId="3" borderId="9"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72" fontId="9" fillId="4" borderId="0" xfId="1" applyNumberFormat="1" applyFont="1" applyFill="1" applyAlignment="1" applyProtection="1">
      <alignment horizontal="right"/>
      <protection locked="0"/>
    </xf>
    <xf numFmtId="168" fontId="9" fillId="4" borderId="0" xfId="1"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6" fontId="21" fillId="0" borderId="0" xfId="0" applyNumberFormat="1" applyFont="1" applyProtection="1">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3"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0" fontId="15" fillId="0" borderId="0" xfId="0" applyFont="1" applyAlignment="1" applyProtection="1">
      <alignment horizontal="left" vertical="center" indent="1"/>
      <protection locked="0" hidden="1"/>
    </xf>
    <xf numFmtId="0" fontId="54" fillId="8" borderId="11" xfId="0" applyFont="1" applyFill="1" applyBorder="1" applyAlignment="1" applyProtection="1">
      <alignment horizontal="center" vertical="center"/>
      <protection locked="0" hidden="1"/>
    </xf>
    <xf numFmtId="165" fontId="55" fillId="4" borderId="9" xfId="11" applyNumberFormat="1" applyFont="1" applyFill="1" applyBorder="1" applyAlignment="1" applyProtection="1">
      <alignment horizontal="left" vertical="center" wrapText="1"/>
      <protection locked="0" hidden="1"/>
    </xf>
    <xf numFmtId="0" fontId="56" fillId="0" borderId="0" xfId="0" applyFont="1" applyProtection="1">
      <protection locked="0"/>
    </xf>
    <xf numFmtId="165" fontId="55" fillId="0" borderId="0" xfId="11" applyNumberFormat="1" applyFont="1" applyFill="1" applyBorder="1" applyAlignment="1" applyProtection="1">
      <alignment horizontal="left" vertical="center" wrapText="1"/>
      <protection locked="0" hidden="1"/>
    </xf>
    <xf numFmtId="165" fontId="57" fillId="0" borderId="0" xfId="1" applyNumberFormat="1" applyFont="1" applyFill="1" applyBorder="1" applyAlignment="1" applyProtection="1">
      <alignment horizontal="left" vertical="center" wrapText="1" indent="1"/>
      <protection locked="0" hidden="1"/>
    </xf>
    <xf numFmtId="165" fontId="57" fillId="4" borderId="0" xfId="1" applyNumberFormat="1" applyFont="1" applyFill="1" applyBorder="1" applyAlignment="1" applyProtection="1">
      <alignment horizontal="left" vertical="center" wrapText="1" indent="1"/>
      <protection locked="0" hidden="1"/>
    </xf>
    <xf numFmtId="0" fontId="55" fillId="4" borderId="0" xfId="11" applyFont="1" applyFill="1" applyAlignment="1" applyProtection="1">
      <alignment horizontal="left" vertical="center" wrapText="1"/>
      <protection locked="0"/>
    </xf>
    <xf numFmtId="49" fontId="55" fillId="0" borderId="9" xfId="11" applyNumberFormat="1" applyFont="1" applyFill="1" applyBorder="1" applyAlignment="1" applyProtection="1">
      <alignment horizontal="left" vertical="center" wrapText="1"/>
      <protection locked="0" hidden="1"/>
    </xf>
    <xf numFmtId="0" fontId="55" fillId="4" borderId="0" xfId="11" applyFont="1" applyFill="1" applyProtection="1">
      <protection locked="0"/>
    </xf>
    <xf numFmtId="0" fontId="55" fillId="0" borderId="0" xfId="11" applyFont="1" applyAlignment="1" applyProtection="1">
      <alignment horizontal="left" vertical="center"/>
      <protection locked="0"/>
    </xf>
    <xf numFmtId="0" fontId="55" fillId="4" borderId="0" xfId="11" applyFont="1" applyFill="1" applyAlignment="1" applyProtection="1">
      <alignment horizontal="left" vertical="center"/>
      <protection locked="0"/>
    </xf>
    <xf numFmtId="0" fontId="19" fillId="0" borderId="0" xfId="0" applyFont="1" applyAlignment="1" applyProtection="1">
      <alignment horizontal="center" vertical="center"/>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50"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0" xfId="0" applyFont="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174" fontId="9" fillId="0" borderId="0" xfId="0" applyNumberFormat="1" applyFont="1" applyFill="1" applyAlignment="1" applyProtection="1">
      <alignment horizontal="right"/>
      <protection locked="0"/>
    </xf>
    <xf numFmtId="168" fontId="9" fillId="0" borderId="0" xfId="0" applyNumberFormat="1" applyFont="1" applyFill="1" applyAlignment="1" applyProtection="1">
      <alignment horizontal="right"/>
      <protection locked="0"/>
    </xf>
    <xf numFmtId="170" fontId="9" fillId="4" borderId="0" xfId="1" applyNumberFormat="1" applyFont="1" applyFill="1" applyBorder="1" applyAlignment="1" applyProtection="1">
      <alignment horizontal="right" wrapText="1"/>
      <protection locked="0"/>
    </xf>
    <xf numFmtId="168" fontId="9" fillId="4" borderId="0" xfId="1" applyNumberFormat="1" applyFont="1" applyFill="1" applyBorder="1" applyAlignment="1" applyProtection="1">
      <alignment horizontal="right" wrapText="1"/>
      <protection locked="0"/>
    </xf>
    <xf numFmtId="168" fontId="9" fillId="4" borderId="0" xfId="2" applyNumberFormat="1" applyFont="1" applyFill="1" applyBorder="1" applyAlignment="1" applyProtection="1">
      <alignment horizontal="right" wrapText="1"/>
      <protection locked="0"/>
    </xf>
    <xf numFmtId="185" fontId="9" fillId="4" borderId="0" xfId="2" applyNumberFormat="1" applyFont="1" applyFill="1" applyBorder="1" applyAlignment="1" applyProtection="1">
      <alignment horizontal="right" wrapText="1"/>
      <protection locked="0"/>
    </xf>
    <xf numFmtId="174" fontId="9" fillId="4" borderId="0" xfId="2" applyNumberFormat="1" applyFont="1" applyFill="1" applyBorder="1" applyAlignment="1" applyProtection="1">
      <alignment horizontal="right" wrapText="1"/>
      <protection locked="0"/>
    </xf>
    <xf numFmtId="0" fontId="9" fillId="0" borderId="0" xfId="0" applyFont="1" applyFill="1" applyAlignment="1" applyProtection="1">
      <alignment horizontal="right"/>
      <protection locked="0"/>
    </xf>
    <xf numFmtId="0" fontId="9" fillId="0" borderId="0" xfId="0" applyFont="1" applyFill="1" applyProtection="1">
      <protection locked="0"/>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F2F2F2"/>
      <color rgb="FF72350C"/>
      <color rgb="FFFBE6CB"/>
      <color rgb="FFFBE5CB"/>
      <color rgb="FFEC7100"/>
      <color rgb="FFD9D9D9"/>
      <color rgb="FFE1E2E1"/>
      <color rgb="FFEA7100"/>
      <color rgb="FFEB7100"/>
      <color rgb="FFFFC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Summary | Sum&#225;rio'!A1"/><Relationship Id="rId1" Type="http://schemas.openxmlformats.org/officeDocument/2006/relationships/image" Target="../media/image7.jpeg"/><Relationship Id="rId4" Type="http://schemas.openxmlformats.org/officeDocument/2006/relationships/image" Target="../media/image6.svg"/></Relationships>
</file>

<file path=xl/drawings/_rels/drawing2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17</xdr:row>
      <xdr:rowOff>228600</xdr:rowOff>
    </xdr:from>
    <xdr:to>
      <xdr:col>4</xdr:col>
      <xdr:colOff>88900</xdr:colOff>
      <xdr:row>33</xdr:row>
      <xdr:rowOff>50800</xdr:rowOff>
    </xdr:to>
    <xdr:pic>
      <xdr:nvPicPr>
        <xdr:cNvPr id="20" name="Picture 19">
          <a:extLst>
            <a:ext uri="{FF2B5EF4-FFF2-40B4-BE49-F238E27FC236}">
              <a16:creationId xmlns:a16="http://schemas.microsoft.com/office/drawing/2014/main" id="{F921A25F-6393-5E23-4B0C-98AF3B502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4330700"/>
          <a:ext cx="3073400" cy="3073400"/>
        </a:xfrm>
        <a:prstGeom prst="rect">
          <a:avLst/>
        </a:prstGeom>
        <a:noFill/>
        <a:ln>
          <a:noFill/>
        </a:ln>
        <a:effectLst/>
      </xdr:spPr>
    </xdr:pic>
    <xdr:clientData/>
  </xdr:twoCellAnchor>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4909324" y="1599891"/>
          <a:ext cx="3801816" cy="457200"/>
        </a:xfrm>
        <a:prstGeom prst="roundRect">
          <a:avLst>
            <a:gd name="adj" fmla="val 50000"/>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139390</xdr:rowOff>
    </xdr:from>
    <xdr:to>
      <xdr:col>10</xdr:col>
      <xdr:colOff>3447685</xdr:colOff>
      <xdr:row>7</xdr:row>
      <xdr:rowOff>596590</xdr:rowOff>
    </xdr:to>
    <xdr:sp macro="" textlink="Names!BI1">
      <xdr:nvSpPr>
        <xdr:cNvPr id="8" name="Rounded Rectangle 6">
          <a:extLst>
            <a:ext uri="{FF2B5EF4-FFF2-40B4-BE49-F238E27FC236}">
              <a16:creationId xmlns:a16="http://schemas.microsoft.com/office/drawing/2014/main" id="{00000000-0008-0000-0100-000008000000}"/>
            </a:ext>
          </a:extLst>
        </xdr:cNvPr>
        <xdr:cNvSpPr/>
      </xdr:nvSpPr>
      <xdr:spPr>
        <a:xfrm>
          <a:off x="8997176" y="1599890"/>
          <a:ext cx="3797709" cy="457200"/>
        </a:xfrm>
        <a:prstGeom prst="roundRect">
          <a:avLst>
            <a:gd name="adj" fmla="val 50000"/>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04166D6-72A5-9E43-B582-0186843AB261}" type="TxLink">
            <a:rPr lang="en-US" sz="1800" b="1" i="0" u="none" strike="noStrike">
              <a:solidFill>
                <a:schemeClr val="tx1"/>
              </a:solidFill>
              <a:latin typeface="Calibri" panose="020F0502020204030204" pitchFamily="34" charset="0"/>
              <a:cs typeface="Calibri" panose="020F0502020204030204" pitchFamily="34" charset="0"/>
            </a:rPr>
            <a:pPr algn="ctr"/>
            <a:t>Operational Data</a:t>
          </a:fld>
          <a:endParaRPr lang="en-US" sz="18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1</xdr:col>
      <xdr:colOff>18279</xdr:colOff>
      <xdr:row>0</xdr:row>
      <xdr:rowOff>88901</xdr:rowOff>
    </xdr:from>
    <xdr:to>
      <xdr:col>12</xdr:col>
      <xdr:colOff>38100</xdr:colOff>
      <xdr:row>35</xdr:row>
      <xdr:rowOff>12701</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72279" y="88901"/>
          <a:ext cx="13392921" cy="7708900"/>
        </a:xfrm>
        <a:prstGeom prst="roundRect">
          <a:avLst>
            <a:gd name="adj" fmla="val 2191"/>
          </a:avLst>
        </a:prstGeom>
        <a:noFill/>
        <a:ln w="31750">
          <a:solidFill>
            <a:srgbClr val="EB71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BI2">
      <xdr:nvSpPr>
        <xdr:cNvPr id="4" name="Rounded Rectangle 6">
          <a:extLst>
            <a:ext uri="{FF2B5EF4-FFF2-40B4-BE49-F238E27FC236}">
              <a16:creationId xmlns:a16="http://schemas.microsoft.com/office/drawing/2014/main" id="{00000000-0008-0000-0100-000004000000}"/>
            </a:ext>
          </a:extLst>
        </xdr:cNvPr>
        <xdr:cNvSpPr/>
      </xdr:nvSpPr>
      <xdr:spPr>
        <a:xfrm>
          <a:off x="9028004" y="4685622"/>
          <a:ext cx="3797709" cy="460917"/>
        </a:xfrm>
        <a:prstGeom prst="roundRect">
          <a:avLst>
            <a:gd name="adj" fmla="val 50000"/>
          </a:avLst>
        </a:prstGeom>
        <a:solidFill>
          <a:srgbClr val="EBEB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33C4277-FB5B-444D-8487-FA67393E39B5}"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1779814</xdr:colOff>
      <xdr:row>2</xdr:row>
      <xdr:rowOff>54572</xdr:rowOff>
    </xdr:from>
    <xdr:to>
      <xdr:col>10</xdr:col>
      <xdr:colOff>1221014</xdr:colOff>
      <xdr:row>4</xdr:row>
      <xdr:rowOff>88234</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9368" y="315376"/>
          <a:ext cx="3285217" cy="509912"/>
        </a:xfrm>
        <a:prstGeom prst="rect">
          <a:avLst/>
        </a:prstGeom>
      </xdr:spPr>
    </xdr:pic>
    <xdr:clientData/>
  </xdr:twoCellAnchor>
  <xdr:twoCellAnchor editAs="oneCell">
    <xdr:from>
      <xdr:col>3</xdr:col>
      <xdr:colOff>177800</xdr:colOff>
      <xdr:row>7</xdr:row>
      <xdr:rowOff>190500</xdr:rowOff>
    </xdr:from>
    <xdr:to>
      <xdr:col>4</xdr:col>
      <xdr:colOff>266700</xdr:colOff>
      <xdr:row>32</xdr:row>
      <xdr:rowOff>101600</xdr:rowOff>
    </xdr:to>
    <xdr:pic>
      <xdr:nvPicPr>
        <xdr:cNvPr id="11" name="Picture 10">
          <a:extLst>
            <a:ext uri="{FF2B5EF4-FFF2-40B4-BE49-F238E27FC236}">
              <a16:creationId xmlns:a16="http://schemas.microsoft.com/office/drawing/2014/main" id="{31AA6F6D-D043-F061-FE59-3B052511B6C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043" r="20135"/>
        <a:stretch/>
      </xdr:blipFill>
      <xdr:spPr>
        <a:xfrm>
          <a:off x="711200" y="1651000"/>
          <a:ext cx="3225800" cy="5676900"/>
        </a:xfrm>
        <a:prstGeom prst="rect">
          <a:avLst/>
        </a:prstGeom>
      </xdr:spPr>
    </xdr:pic>
    <xdr:clientData/>
  </xdr:twoCellAnchor>
  <xdr:twoCellAnchor>
    <xdr:from>
      <xdr:col>2</xdr:col>
      <xdr:colOff>182163</xdr:colOff>
      <xdr:row>2</xdr:row>
      <xdr:rowOff>127000</xdr:rowOff>
    </xdr:from>
    <xdr:to>
      <xdr:col>4</xdr:col>
      <xdr:colOff>76201</xdr:colOff>
      <xdr:row>4</xdr:row>
      <xdr:rowOff>20927</xdr:rowOff>
    </xdr:to>
    <xdr:grpSp>
      <xdr:nvGrpSpPr>
        <xdr:cNvPr id="13" name="Group 12">
          <a:extLst>
            <a:ext uri="{FF2B5EF4-FFF2-40B4-BE49-F238E27FC236}">
              <a16:creationId xmlns:a16="http://schemas.microsoft.com/office/drawing/2014/main" id="{E1B69E61-5103-0324-B581-CBBA256D3818}"/>
            </a:ext>
          </a:extLst>
        </xdr:cNvPr>
        <xdr:cNvGrpSpPr/>
      </xdr:nvGrpSpPr>
      <xdr:grpSpPr>
        <a:xfrm>
          <a:off x="690163" y="393700"/>
          <a:ext cx="3310338" cy="363827"/>
          <a:chOff x="715563" y="368300"/>
          <a:chExt cx="3310338" cy="363827"/>
        </a:xfrm>
      </xdr:grpSpPr>
      <xdr:sp macro="" textlink="">
        <xdr:nvSpPr>
          <xdr:cNvPr id="6" name="Rounded Rectangle 5">
            <a:extLst>
              <a:ext uri="{FF2B5EF4-FFF2-40B4-BE49-F238E27FC236}">
                <a16:creationId xmlns:a16="http://schemas.microsoft.com/office/drawing/2014/main" id="{7F387CC5-C32C-0DC2-2914-E455C6892055}"/>
              </a:ext>
            </a:extLst>
          </xdr:cNvPr>
          <xdr:cNvSpPr>
            <a:spLocks/>
          </xdr:cNvSpPr>
        </xdr:nvSpPr>
        <xdr:spPr>
          <a:xfrm>
            <a:off x="1079501" y="372127"/>
            <a:ext cx="2946400" cy="360000"/>
          </a:xfrm>
          <a:prstGeom prst="roundRect">
            <a:avLst>
              <a:gd name="adj" fmla="val 50000"/>
            </a:avLst>
          </a:prstGeom>
          <a:solidFill>
            <a:srgbClr val="FBE5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lang="en-US" sz="1400" b="0">
                <a:solidFill>
                  <a:srgbClr val="72350C"/>
                </a:solidFill>
                <a:latin typeface="Calibri" panose="020F0502020204030204" pitchFamily="34" charset="0"/>
                <a:cs typeface="Calibri" panose="020F0502020204030204" pitchFamily="34" charset="0"/>
              </a:rPr>
              <a:t>Choose Language /Escolha o Idioma:</a:t>
            </a:r>
            <a:endParaRPr lang="en-US" sz="2000" b="0">
              <a:solidFill>
                <a:srgbClr val="72350C"/>
              </a:solidFill>
              <a:latin typeface="Calibri" panose="020F0502020204030204" pitchFamily="34" charset="0"/>
              <a:cs typeface="Calibri" panose="020F0502020204030204" pitchFamily="34" charset="0"/>
            </a:endParaRPr>
          </a:p>
        </xdr:txBody>
      </xdr:sp>
      <xdr:sp macro="" textlink="">
        <xdr:nvSpPr>
          <xdr:cNvPr id="9" name="Rounded Rectangle 8">
            <a:extLst>
              <a:ext uri="{FF2B5EF4-FFF2-40B4-BE49-F238E27FC236}">
                <a16:creationId xmlns:a16="http://schemas.microsoft.com/office/drawing/2014/main" id="{BE3CD15B-6D1C-669C-7DA7-C51D386730F2}"/>
              </a:ext>
            </a:extLst>
          </xdr:cNvPr>
          <xdr:cNvSpPr>
            <a:spLocks noChangeAspect="1"/>
          </xdr:cNvSpPr>
        </xdr:nvSpPr>
        <xdr:spPr>
          <a:xfrm>
            <a:off x="715563" y="368300"/>
            <a:ext cx="360000" cy="360000"/>
          </a:xfrm>
          <a:prstGeom prst="roundRect">
            <a:avLst/>
          </a:prstGeom>
          <a:solidFill>
            <a:srgbClr val="72360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kumimoji="0" lang="pt-BR" sz="1800" b="0" i="0" u="none" strike="noStrike" kern="1200" cap="none" spc="0" normalizeH="0" baseline="0">
              <a:ln>
                <a:noFill/>
              </a:ln>
              <a:solidFill>
                <a:prstClr val="white"/>
              </a:solidFill>
              <a:effectLst/>
              <a:uLnTx/>
              <a:uFillTx/>
              <a:latin typeface="Calibri" panose="020F0502020204030204"/>
              <a:ea typeface="+mn-ea"/>
              <a:cs typeface="+mn-cs"/>
            </a:endParaRPr>
          </a:p>
        </xdr:txBody>
      </xdr:sp>
      <xdr:pic>
        <xdr:nvPicPr>
          <xdr:cNvPr id="12" name="Picture 11">
            <a:extLst>
              <a:ext uri="{FF2B5EF4-FFF2-40B4-BE49-F238E27FC236}">
                <a16:creationId xmlns:a16="http://schemas.microsoft.com/office/drawing/2014/main" id="{D6F16DF3-B299-EBD3-671F-68EECFE42AA0}"/>
              </a:ext>
            </a:extLst>
          </xdr:cNvPr>
          <xdr:cNvPicPr>
            <a:picLocks noChangeAspect="1"/>
          </xdr:cNvPicPr>
        </xdr:nvPicPr>
        <xdr:blipFill>
          <a:blip xmlns:r="http://schemas.openxmlformats.org/officeDocument/2006/relationships" r:embed="rId4">
            <a:biLevel thresh="50000"/>
          </a:blip>
          <a:stretch>
            <a:fillRect/>
          </a:stretch>
        </xdr:blipFill>
        <xdr:spPr>
          <a:xfrm>
            <a:off x="749300" y="406400"/>
            <a:ext cx="279400" cy="2794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0</xdr:row>
      <xdr:rowOff>88900</xdr:rowOff>
    </xdr:from>
    <xdr:to>
      <xdr:col>16</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5176500" y="88900"/>
          <a:ext cx="1697892" cy="285953"/>
          <a:chOff x="13982700" y="889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0</xdr:colOff>
      <xdr:row>1</xdr:row>
      <xdr:rowOff>689</xdr:rowOff>
    </xdr:from>
    <xdr:to>
      <xdr:col>27</xdr:col>
      <xdr:colOff>46892</xdr:colOff>
      <xdr:row>2</xdr:row>
      <xdr:rowOff>120853</xdr:rowOff>
    </xdr:to>
    <xdr:sp macro="" textlink="Names!BG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25</xdr:col>
      <xdr:colOff>89226</xdr:colOff>
      <xdr:row>1</xdr:row>
      <xdr:rowOff>0</xdr:rowOff>
    </xdr:from>
    <xdr:to>
      <xdr:col>25</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3990300" y="165100"/>
          <a:ext cx="1697892" cy="285953"/>
          <a:chOff x="20320000" y="165100"/>
          <a:chExt cx="1697892" cy="285953"/>
        </a:xfrm>
      </xdr:grpSpPr>
      <xdr:sp macro="" textlink="Names!BG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1590000" y="165100"/>
          <a:ext cx="1697892" cy="285953"/>
          <a:chOff x="178689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1</xdr:row>
      <xdr:rowOff>689</xdr:rowOff>
    </xdr:from>
    <xdr:to>
      <xdr:col>27</xdr:col>
      <xdr:colOff>46892</xdr:colOff>
      <xdr:row>2</xdr:row>
      <xdr:rowOff>120853</xdr:rowOff>
    </xdr:to>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25</xdr:col>
      <xdr:colOff>89226</xdr:colOff>
      <xdr:row>1</xdr:row>
      <xdr:rowOff>0</xdr:rowOff>
    </xdr:from>
    <xdr:to>
      <xdr:col>25</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40665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3" name="Group 2">
          <a:extLst>
            <a:ext uri="{FF2B5EF4-FFF2-40B4-BE49-F238E27FC236}">
              <a16:creationId xmlns:a16="http://schemas.microsoft.com/office/drawing/2014/main" id="{B121FB15-71CC-DEA7-AA16-EDCC28DB889C}"/>
            </a:ext>
          </a:extLst>
        </xdr:cNvPr>
        <xdr:cNvGrpSpPr/>
      </xdr:nvGrpSpPr>
      <xdr:grpSpPr>
        <a:xfrm>
          <a:off x="240665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265CE1C3-B331-63E6-63D6-2C46E066F549}"/>
            </a:ext>
          </a:extLst>
        </xdr:cNvPr>
        <xdr:cNvGrpSpPr/>
      </xdr:nvGrpSpPr>
      <xdr:grpSpPr>
        <a:xfrm>
          <a:off x="24066500" y="165100"/>
          <a:ext cx="1697892" cy="285953"/>
          <a:chOff x="20320000" y="165100"/>
          <a:chExt cx="1697892" cy="285953"/>
        </a:xfrm>
      </xdr:grpSpPr>
      <xdr:sp macro="" textlink="Names!BG2">
        <xdr:nvSpPr>
          <xdr:cNvPr id="5" name="Rounded Rectangle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6"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40665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40665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7F318109-BAEA-1236-840C-9CD89BDA6920}"/>
            </a:ext>
          </a:extLst>
        </xdr:cNvPr>
        <xdr:cNvGrpSpPr/>
      </xdr:nvGrpSpPr>
      <xdr:grpSpPr>
        <a:xfrm>
          <a:off x="240665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3" name="Group 2">
          <a:extLst>
            <a:ext uri="{FF2B5EF4-FFF2-40B4-BE49-F238E27FC236}">
              <a16:creationId xmlns:a16="http://schemas.microsoft.com/office/drawing/2014/main" id="{BE1BF364-ABE7-D4BE-B9E3-F12BB310787F}"/>
            </a:ext>
          </a:extLst>
        </xdr:cNvPr>
        <xdr:cNvGrpSpPr/>
      </xdr:nvGrpSpPr>
      <xdr:grpSpPr>
        <a:xfrm>
          <a:off x="240665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0</xdr:colOff>
      <xdr:row>1</xdr:row>
      <xdr:rowOff>0</xdr:rowOff>
    </xdr:from>
    <xdr:to>
      <xdr:col>27</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40665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3" name="Group 2">
          <a:extLst>
            <a:ext uri="{FF2B5EF4-FFF2-40B4-BE49-F238E27FC236}">
              <a16:creationId xmlns:a16="http://schemas.microsoft.com/office/drawing/2014/main" id="{A241AE2E-2B0C-574C-AA72-A4A5467107AD}"/>
            </a:ext>
          </a:extLst>
        </xdr:cNvPr>
        <xdr:cNvGrpSpPr/>
      </xdr:nvGrpSpPr>
      <xdr:grpSpPr>
        <a:xfrm>
          <a:off x="21602700" y="165100"/>
          <a:ext cx="1697892" cy="285953"/>
          <a:chOff x="178562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3" name="Group 2">
          <a:extLst>
            <a:ext uri="{FF2B5EF4-FFF2-40B4-BE49-F238E27FC236}">
              <a16:creationId xmlns:a16="http://schemas.microsoft.com/office/drawing/2014/main" id="{D600BE1E-9B4D-23D0-16B6-6F72C8DDD5FE}"/>
            </a:ext>
          </a:extLst>
        </xdr:cNvPr>
        <xdr:cNvGrpSpPr/>
      </xdr:nvGrpSpPr>
      <xdr:grpSpPr>
        <a:xfrm>
          <a:off x="215900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46892</xdr:colOff>
      <xdr:row>2</xdr:row>
      <xdr:rowOff>120853</xdr:rowOff>
    </xdr:to>
    <xdr:grpSp>
      <xdr:nvGrpSpPr>
        <xdr:cNvPr id="2" name="Group 1">
          <a:extLst>
            <a:ext uri="{FF2B5EF4-FFF2-40B4-BE49-F238E27FC236}">
              <a16:creationId xmlns:a16="http://schemas.microsoft.com/office/drawing/2014/main" id="{C5010395-7F73-A238-F650-882F6AD3094D}"/>
            </a:ext>
          </a:extLst>
        </xdr:cNvPr>
        <xdr:cNvGrpSpPr/>
      </xdr:nvGrpSpPr>
      <xdr:grpSpPr>
        <a:xfrm>
          <a:off x="20764500" y="165100"/>
          <a:ext cx="1697892" cy="285953"/>
          <a:chOff x="17018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0</xdr:colOff>
      <xdr:row>1</xdr:row>
      <xdr:rowOff>689</xdr:rowOff>
    </xdr:from>
    <xdr:to>
      <xdr:col>24</xdr:col>
      <xdr:colOff>46892</xdr:colOff>
      <xdr:row>2</xdr:row>
      <xdr:rowOff>120853</xdr:rowOff>
    </xdr:to>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22</xdr:col>
      <xdr:colOff>89226</xdr:colOff>
      <xdr:row>1</xdr:row>
      <xdr:rowOff>0</xdr:rowOff>
    </xdr:from>
    <xdr:to>
      <xdr:col>22</xdr:col>
      <xdr:colOff>348163</xdr:colOff>
      <xdr:row>2</xdr:row>
      <xdr:rowOff>99817</xdr:rowOff>
    </xdr:to>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46892</xdr:colOff>
      <xdr:row>2</xdr:row>
      <xdr:rowOff>120853</xdr:rowOff>
    </xdr:to>
    <xdr:grpSp>
      <xdr:nvGrpSpPr>
        <xdr:cNvPr id="2" name="Group 1">
          <a:extLst>
            <a:ext uri="{FF2B5EF4-FFF2-40B4-BE49-F238E27FC236}">
              <a16:creationId xmlns:a16="http://schemas.microsoft.com/office/drawing/2014/main" id="{9260F10E-E378-FB80-5CF3-AB54D7C00257}"/>
            </a:ext>
          </a:extLst>
        </xdr:cNvPr>
        <xdr:cNvGrpSpPr/>
      </xdr:nvGrpSpPr>
      <xdr:grpSpPr>
        <a:xfrm>
          <a:off x="215900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29438600" y="165100"/>
          <a:ext cx="1697892" cy="285953"/>
          <a:chOff x="178435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17</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6</xdr:row>
      <xdr:rowOff>163285</xdr:rowOff>
    </xdr:from>
    <xdr:to>
      <xdr:col>22</xdr:col>
      <xdr:colOff>289888</xdr:colOff>
      <xdr:row>27</xdr:row>
      <xdr:rowOff>9070</xdr:rowOff>
    </xdr:to>
    <xdr:sp macro="" textlink="">
      <xdr:nvSpPr>
        <xdr:cNvPr id="7" name="Rounded Rectangle 6">
          <a:extLst>
            <a:ext uri="{FF2B5EF4-FFF2-40B4-BE49-F238E27FC236}">
              <a16:creationId xmlns:a16="http://schemas.microsoft.com/office/drawing/2014/main" id="{00000000-0008-0000-1400-000007000000}"/>
            </a:ext>
          </a:extLst>
        </xdr:cNvPr>
        <xdr:cNvSpPr/>
      </xdr:nvSpPr>
      <xdr:spPr>
        <a:xfrm>
          <a:off x="5678714" y="734785"/>
          <a:ext cx="13797245" cy="3846285"/>
        </a:xfrm>
        <a:prstGeom prst="roundRect">
          <a:avLst>
            <a:gd name="adj" fmla="val 2728"/>
          </a:avLst>
        </a:prstGeom>
        <a:noFill/>
        <a:ln w="31750">
          <a:solidFill>
            <a:srgbClr val="EB71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635000</xdr:colOff>
      <xdr:row>29</xdr:row>
      <xdr:rowOff>168312</xdr:rowOff>
    </xdr:from>
    <xdr:to>
      <xdr:col>23</xdr:col>
      <xdr:colOff>2313</xdr:colOff>
      <xdr:row>43</xdr:row>
      <xdr:rowOff>190499</xdr:rowOff>
    </xdr:to>
    <xdr:sp macro="" textlink="">
      <xdr:nvSpPr>
        <xdr:cNvPr id="8" name="Rounded Rectangle 7">
          <a:extLst>
            <a:ext uri="{FF2B5EF4-FFF2-40B4-BE49-F238E27FC236}">
              <a16:creationId xmlns:a16="http://schemas.microsoft.com/office/drawing/2014/main" id="{00000000-0008-0000-1400-000008000000}"/>
            </a:ext>
          </a:extLst>
        </xdr:cNvPr>
        <xdr:cNvSpPr/>
      </xdr:nvSpPr>
      <xdr:spPr>
        <a:xfrm>
          <a:off x="6883400" y="6302412"/>
          <a:ext cx="14683513" cy="2689187"/>
        </a:xfrm>
        <a:prstGeom prst="roundRect">
          <a:avLst>
            <a:gd name="adj" fmla="val 4180"/>
          </a:avLst>
        </a:prstGeom>
        <a:noFill/>
        <a:ln w="31750">
          <a:solidFill>
            <a:srgbClr val="EB71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15302</xdr:colOff>
      <xdr:row>6</xdr:row>
      <xdr:rowOff>175636</xdr:rowOff>
    </xdr:from>
    <xdr:to>
      <xdr:col>6</xdr:col>
      <xdr:colOff>29195</xdr:colOff>
      <xdr:row>21</xdr:row>
      <xdr:rowOff>25399</xdr:rowOff>
    </xdr:to>
    <xdr:sp macro="" textlink="">
      <xdr:nvSpPr>
        <xdr:cNvPr id="9" name="Rounded Rectangle 8">
          <a:extLst>
            <a:ext uri="{FF2B5EF4-FFF2-40B4-BE49-F238E27FC236}">
              <a16:creationId xmlns:a16="http://schemas.microsoft.com/office/drawing/2014/main" id="{00000000-0008-0000-1400-000009000000}"/>
            </a:ext>
          </a:extLst>
        </xdr:cNvPr>
        <xdr:cNvSpPr/>
      </xdr:nvSpPr>
      <xdr:spPr>
        <a:xfrm>
          <a:off x="269302" y="1928236"/>
          <a:ext cx="6008293" cy="2707263"/>
        </a:xfrm>
        <a:prstGeom prst="roundRect">
          <a:avLst>
            <a:gd name="adj" fmla="val 4765"/>
          </a:avLst>
        </a:prstGeom>
        <a:noFill/>
        <a:ln w="31750">
          <a:solidFill>
            <a:srgbClr val="EB71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175638</xdr:rowOff>
    </xdr:from>
    <xdr:to>
      <xdr:col>6</xdr:col>
      <xdr:colOff>27213</xdr:colOff>
      <xdr:row>28</xdr:row>
      <xdr:rowOff>40532</xdr:rowOff>
    </xdr:to>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256702" y="3580319"/>
          <a:ext cx="4769447" cy="1188936"/>
        </a:xfrm>
        <a:prstGeom prst="roundRect">
          <a:avLst>
            <a:gd name="adj" fmla="val 8801"/>
          </a:avLst>
        </a:prstGeom>
        <a:noFill/>
        <a:ln w="31750">
          <a:solidFill>
            <a:srgbClr val="EB71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14514</xdr:colOff>
      <xdr:row>1</xdr:row>
      <xdr:rowOff>0</xdr:rowOff>
    </xdr:from>
    <xdr:to>
      <xdr:col>23</xdr:col>
      <xdr:colOff>0</xdr:colOff>
      <xdr:row>6</xdr:row>
      <xdr:rowOff>5266</xdr:rowOff>
    </xdr:to>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268514" y="186267"/>
          <a:ext cx="19018553" cy="1563132"/>
        </a:xfrm>
        <a:prstGeom prst="roundRect">
          <a:avLst>
            <a:gd name="adj" fmla="val 4895"/>
          </a:avLst>
        </a:prstGeom>
        <a:noFill/>
        <a:ln w="31750">
          <a:solidFill>
            <a:srgbClr val="EB71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44</xdr:row>
      <xdr:rowOff>159786</xdr:rowOff>
    </xdr:from>
    <xdr:to>
      <xdr:col>23</xdr:col>
      <xdr:colOff>33866</xdr:colOff>
      <xdr:row>48</xdr:row>
      <xdr:rowOff>33867</xdr:rowOff>
    </xdr:to>
    <xdr:sp macro="" textlink="">
      <xdr:nvSpPr>
        <xdr:cNvPr id="15" name="Rounded Rectangle 14">
          <a:extLst>
            <a:ext uri="{FF2B5EF4-FFF2-40B4-BE49-F238E27FC236}">
              <a16:creationId xmlns:a16="http://schemas.microsoft.com/office/drawing/2014/main" id="{00000000-0008-0000-1400-00000F000000}"/>
            </a:ext>
          </a:extLst>
        </xdr:cNvPr>
        <xdr:cNvSpPr/>
      </xdr:nvSpPr>
      <xdr:spPr>
        <a:xfrm>
          <a:off x="254000" y="8880453"/>
          <a:ext cx="19066933" cy="873147"/>
        </a:xfrm>
        <a:prstGeom prst="roundRect">
          <a:avLst>
            <a:gd name="adj" fmla="val 8801"/>
          </a:avLst>
        </a:prstGeom>
        <a:noFill/>
        <a:ln w="31750">
          <a:solidFill>
            <a:srgbClr val="EB71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546686</xdr:colOff>
      <xdr:row>2</xdr:row>
      <xdr:rowOff>112751</xdr:rowOff>
    </xdr:from>
    <xdr:to>
      <xdr:col>22</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9101386" y="404851"/>
          <a:ext cx="1830973" cy="288989"/>
          <a:chOff x="20616333" y="342900"/>
          <a:chExt cx="1816426" cy="290187"/>
        </a:xfrm>
      </xdr:grpSpPr>
      <xdr:sp macro="" textlink="Names!BG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mas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de servir.</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but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Premiuns,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G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G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6" Type="http://schemas.openxmlformats.org/officeDocument/2006/relationships/drawing" Target="../drawings/drawing20.xml"/><Relationship Id="rId5" Type="http://schemas.openxmlformats.org/officeDocument/2006/relationships/hyperlink" Target="https://www3.bcb.gov.br/sgspub/localizarseries/localizarSeries.do?method=prepararTelaLocalizarSeries" TargetMode="External"/><Relationship Id="rId4" Type="http://schemas.openxmlformats.org/officeDocument/2006/relationships/hyperlink" Target="https://www.abecs.org.br/graficos"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BT108"/>
  <sheetViews>
    <sheetView showGridLines="0" topLeftCell="BM1" zoomScaleNormal="100" workbookViewId="0">
      <selection activeCell="BT6" sqref="BT6"/>
    </sheetView>
  </sheetViews>
  <sheetFormatPr baseColWidth="10" defaultColWidth="11.5" defaultRowHeight="15"/>
  <cols>
    <col min="1" max="1" width="17" style="596" customWidth="1"/>
    <col min="2" max="2" width="8.83203125" style="596" bestFit="1" customWidth="1"/>
    <col min="3" max="3" width="17" style="597" bestFit="1" customWidth="1"/>
    <col min="4" max="8" width="17" style="596" customWidth="1"/>
    <col min="9" max="9" width="15" style="596" bestFit="1" customWidth="1"/>
    <col min="10" max="10" width="16" style="596" bestFit="1" customWidth="1"/>
    <col min="11" max="11" width="38.1640625" style="596" bestFit="1" customWidth="1"/>
    <col min="12" max="12" width="47.6640625" style="596" bestFit="1" customWidth="1"/>
    <col min="13" max="13" width="36.5" style="596" bestFit="1" customWidth="1"/>
    <col min="14" max="14" width="46.83203125" style="596" bestFit="1" customWidth="1"/>
    <col min="15" max="15" width="53.5" style="596" bestFit="1" customWidth="1"/>
    <col min="16" max="16" width="59.5" style="596" bestFit="1" customWidth="1"/>
    <col min="17" max="17" width="41" style="596" bestFit="1" customWidth="1"/>
    <col min="18" max="18" width="40.33203125" style="596" customWidth="1"/>
    <col min="19" max="19" width="32.6640625" style="596" bestFit="1" customWidth="1"/>
    <col min="20" max="20" width="36.5" style="596" bestFit="1" customWidth="1"/>
    <col min="21" max="22" width="39.6640625" style="596" bestFit="1" customWidth="1"/>
    <col min="23" max="23" width="53.1640625" style="596" bestFit="1" customWidth="1"/>
    <col min="24" max="24" width="45.6640625" style="596" bestFit="1" customWidth="1"/>
    <col min="25" max="25" width="54.5" style="596" bestFit="1" customWidth="1"/>
    <col min="26" max="26" width="58.1640625" style="596" bestFit="1" customWidth="1"/>
    <col min="27" max="27" width="75.5" style="596" bestFit="1" customWidth="1"/>
    <col min="28" max="31" width="75.5" style="596" customWidth="1"/>
    <col min="32" max="32" width="30" style="596" bestFit="1" customWidth="1"/>
    <col min="33" max="33" width="27.6640625" style="596" bestFit="1" customWidth="1"/>
    <col min="34" max="34" width="32.6640625" style="596" bestFit="1" customWidth="1"/>
    <col min="35" max="35" width="43.33203125" style="596" bestFit="1" customWidth="1"/>
    <col min="36" max="37" width="28" style="596" customWidth="1"/>
    <col min="38" max="38" width="27.83203125" style="596" bestFit="1" customWidth="1"/>
    <col min="39" max="39" width="39.1640625" style="596" bestFit="1" customWidth="1"/>
    <col min="40" max="40" width="31.83203125" style="596" bestFit="1" customWidth="1"/>
    <col min="41" max="41" width="31.1640625" style="596" bestFit="1" customWidth="1"/>
    <col min="42" max="42" width="44.1640625" style="596" bestFit="1" customWidth="1"/>
    <col min="43" max="43" width="49.83203125" style="596" bestFit="1" customWidth="1"/>
    <col min="44" max="44" width="25.33203125" style="596" customWidth="1"/>
    <col min="45" max="45" width="14.5" style="596" bestFit="1" customWidth="1"/>
    <col min="46" max="46" width="218.6640625" style="596" bestFit="1" customWidth="1"/>
    <col min="47" max="47" width="110.6640625" style="596" bestFit="1" customWidth="1"/>
    <col min="48" max="48" width="36" style="596" bestFit="1" customWidth="1"/>
    <col min="49" max="49" width="39.5" style="596" bestFit="1" customWidth="1"/>
    <col min="50" max="50" width="45.1640625" style="596" bestFit="1" customWidth="1"/>
    <col min="51" max="51" width="27.1640625" style="596" bestFit="1" customWidth="1"/>
    <col min="52" max="63" width="11.5" style="596"/>
    <col min="64" max="64" width="25.83203125" style="596" bestFit="1" customWidth="1"/>
    <col min="65" max="67" width="11.5" style="596"/>
    <col min="68" max="68" width="43" style="596" customWidth="1"/>
    <col min="69" max="69" width="255.83203125" style="596" bestFit="1" customWidth="1"/>
    <col min="70" max="70" width="27.1640625" style="596" bestFit="1" customWidth="1"/>
    <col min="71" max="71" width="34.1640625" style="596" bestFit="1" customWidth="1"/>
    <col min="72" max="72" width="96.5" style="596" customWidth="1"/>
    <col min="73" max="16384" width="11.5" style="596"/>
  </cols>
  <sheetData>
    <row r="1" spans="1:72">
      <c r="A1" s="596" t="s">
        <v>0</v>
      </c>
      <c r="B1" s="596" t="s">
        <v>1</v>
      </c>
      <c r="C1" s="597" t="s">
        <v>2</v>
      </c>
      <c r="D1" s="596" t="s">
        <v>3</v>
      </c>
      <c r="E1" s="596" t="s">
        <v>4</v>
      </c>
      <c r="F1" s="596" t="s">
        <v>5</v>
      </c>
      <c r="G1" s="596" t="s">
        <v>6</v>
      </c>
      <c r="H1" s="596" t="s">
        <v>7</v>
      </c>
      <c r="I1" s="596" t="s">
        <v>8</v>
      </c>
      <c r="J1" s="596" t="s">
        <v>9</v>
      </c>
      <c r="K1" s="596" t="s">
        <v>10</v>
      </c>
      <c r="L1" s="596" t="s">
        <v>11</v>
      </c>
      <c r="M1" s="596" t="s">
        <v>12</v>
      </c>
      <c r="N1" s="596" t="s">
        <v>13</v>
      </c>
      <c r="O1" s="596" t="s">
        <v>14</v>
      </c>
      <c r="P1" s="596" t="s">
        <v>15</v>
      </c>
      <c r="Q1" s="596" t="s">
        <v>16</v>
      </c>
      <c r="R1" s="596" t="s">
        <v>17</v>
      </c>
      <c r="S1" s="596" t="s">
        <v>18</v>
      </c>
      <c r="T1" s="596" t="s">
        <v>19</v>
      </c>
      <c r="U1" s="596" t="s">
        <v>20</v>
      </c>
      <c r="V1" s="596" t="s">
        <v>20</v>
      </c>
      <c r="W1" s="596" t="s">
        <v>21</v>
      </c>
      <c r="X1" s="596" t="s">
        <v>22</v>
      </c>
      <c r="Y1" s="596" t="s">
        <v>23</v>
      </c>
      <c r="Z1" s="596" t="s">
        <v>24</v>
      </c>
      <c r="AA1" s="596" t="s">
        <v>25</v>
      </c>
      <c r="AB1" s="596" t="s">
        <v>26</v>
      </c>
      <c r="AC1" s="596" t="s">
        <v>27</v>
      </c>
      <c r="AD1" s="596" t="s">
        <v>28</v>
      </c>
      <c r="AE1" s="596" t="s">
        <v>28</v>
      </c>
      <c r="AF1" s="596" t="s">
        <v>29</v>
      </c>
      <c r="AG1" s="596" t="s">
        <v>30</v>
      </c>
      <c r="AH1" s="596" t="s">
        <v>31</v>
      </c>
      <c r="AI1" s="596" t="s">
        <v>32</v>
      </c>
      <c r="AJ1" s="596" t="s">
        <v>33</v>
      </c>
      <c r="AK1" s="596" t="s">
        <v>34</v>
      </c>
      <c r="AL1" s="596" t="s">
        <v>35</v>
      </c>
      <c r="AM1" s="596" t="s">
        <v>36</v>
      </c>
      <c r="AN1" s="596" t="s">
        <v>37</v>
      </c>
      <c r="AO1" s="596" t="s">
        <v>38</v>
      </c>
      <c r="AP1" s="596" t="s">
        <v>39</v>
      </c>
      <c r="AQ1" s="596" t="s">
        <v>40</v>
      </c>
      <c r="AR1" s="598" t="s">
        <v>41</v>
      </c>
      <c r="AS1" s="598" t="s">
        <v>42</v>
      </c>
      <c r="AT1" s="596" t="s">
        <v>43</v>
      </c>
      <c r="AU1" s="596" t="s">
        <v>44</v>
      </c>
      <c r="AV1" s="596" t="s">
        <v>45</v>
      </c>
      <c r="AW1" s="596" t="s">
        <v>46</v>
      </c>
      <c r="AX1" s="596" t="s">
        <v>47</v>
      </c>
      <c r="AY1" s="596" t="s">
        <v>48</v>
      </c>
      <c r="BB1" s="596" t="s">
        <v>837</v>
      </c>
      <c r="BC1" s="596" t="s">
        <v>838</v>
      </c>
      <c r="BG1" s="596" t="str">
        <f>IF('Summary | Sumário'!$D$6=Names!$B$3,Names!$AR$1,Names!$AS$1)</f>
        <v>Back to summary</v>
      </c>
      <c r="BI1" s="596" t="str">
        <f>IF('Summary | Sumário'!$D$6=Names!$B$3,Names!$G$2,Names!$H$2)</f>
        <v>Operational Data</v>
      </c>
      <c r="BL1" s="596" t="s">
        <v>841</v>
      </c>
      <c r="BM1" s="596" t="s">
        <v>840</v>
      </c>
      <c r="BP1" s="599" t="s">
        <v>839</v>
      </c>
      <c r="BQ1" s="596" t="s">
        <v>49</v>
      </c>
      <c r="BR1" s="596" t="s">
        <v>883</v>
      </c>
      <c r="BS1" s="596" t="s">
        <v>884</v>
      </c>
    </row>
    <row r="2" spans="1:72" ht="14" customHeight="1">
      <c r="A2" s="596">
        <v>1</v>
      </c>
      <c r="B2" s="596" t="s">
        <v>50</v>
      </c>
      <c r="C2" s="597">
        <v>2019</v>
      </c>
      <c r="D2" s="597">
        <v>2019</v>
      </c>
      <c r="E2" s="597" t="s">
        <v>51</v>
      </c>
      <c r="F2" s="597" t="s">
        <v>52</v>
      </c>
      <c r="G2" s="597" t="s">
        <v>53</v>
      </c>
      <c r="H2" s="597" t="s">
        <v>54</v>
      </c>
      <c r="I2" s="596" t="s">
        <v>55</v>
      </c>
      <c r="J2" s="596" t="s">
        <v>56</v>
      </c>
      <c r="K2" s="596" t="s">
        <v>57</v>
      </c>
      <c r="L2" s="596" t="s">
        <v>58</v>
      </c>
      <c r="M2" s="596" t="s">
        <v>59</v>
      </c>
      <c r="N2" s="596" t="s">
        <v>60</v>
      </c>
      <c r="O2" s="596" t="s">
        <v>61</v>
      </c>
      <c r="P2" s="596" t="s">
        <v>62</v>
      </c>
      <c r="Q2" s="596" t="s">
        <v>63</v>
      </c>
      <c r="R2" s="596" t="s">
        <v>64</v>
      </c>
      <c r="V2" s="596" t="s">
        <v>20</v>
      </c>
      <c r="W2" s="596" t="s">
        <v>65</v>
      </c>
      <c r="AB2" s="596" t="s">
        <v>66</v>
      </c>
      <c r="AC2" s="596" t="s">
        <v>67</v>
      </c>
      <c r="AD2" s="596" t="s">
        <v>68</v>
      </c>
      <c r="AE2" s="596" t="s">
        <v>68</v>
      </c>
      <c r="AJ2" s="596" t="s">
        <v>69</v>
      </c>
      <c r="AK2" s="596" t="s">
        <v>69</v>
      </c>
      <c r="AL2" s="596" t="s">
        <v>70</v>
      </c>
      <c r="AM2" s="596" t="s">
        <v>70</v>
      </c>
      <c r="AN2" s="596" t="s">
        <v>71</v>
      </c>
      <c r="AO2" s="596" t="s">
        <v>72</v>
      </c>
      <c r="AP2" s="596" t="s">
        <v>39</v>
      </c>
      <c r="AQ2" s="596" t="s">
        <v>73</v>
      </c>
      <c r="AT2" s="596" t="s">
        <v>74</v>
      </c>
      <c r="AU2" s="596" t="s">
        <v>75</v>
      </c>
      <c r="BG2" s="596" t="str">
        <f>_xlfn.CONCAT("    ",BG1)</f>
        <v xml:space="preserve">    Back to summary</v>
      </c>
      <c r="BI2" s="596" t="str">
        <f>IF('Summary | Sumário'!$D$6=Names!$B$3,Names!$G$3,Names!$H$3)</f>
        <v>Others</v>
      </c>
      <c r="BL2" s="596" t="s">
        <v>76</v>
      </c>
      <c r="BM2" s="596" t="s">
        <v>77</v>
      </c>
      <c r="BP2" s="600" t="s">
        <v>844</v>
      </c>
      <c r="BQ2" s="595" t="s">
        <v>845</v>
      </c>
      <c r="BR2" s="596" t="s">
        <v>852</v>
      </c>
      <c r="BS2" s="596" t="s">
        <v>853</v>
      </c>
    </row>
    <row r="3" spans="1:72">
      <c r="A3" s="596">
        <v>2</v>
      </c>
      <c r="B3" s="596" t="s">
        <v>78</v>
      </c>
      <c r="C3" s="597">
        <v>2020</v>
      </c>
      <c r="D3" s="597">
        <v>2020</v>
      </c>
      <c r="E3" s="597" t="s">
        <v>79</v>
      </c>
      <c r="F3" s="597" t="s">
        <v>80</v>
      </c>
      <c r="G3" s="597" t="s">
        <v>81</v>
      </c>
      <c r="H3" s="597" t="s">
        <v>82</v>
      </c>
      <c r="I3" s="596" t="s">
        <v>83</v>
      </c>
      <c r="J3" s="596" t="s">
        <v>84</v>
      </c>
      <c r="K3" s="596" t="s">
        <v>85</v>
      </c>
      <c r="L3" s="596" t="s">
        <v>86</v>
      </c>
      <c r="M3" s="596" t="s">
        <v>87</v>
      </c>
      <c r="N3" s="596" t="s">
        <v>88</v>
      </c>
      <c r="O3" s="596" t="s">
        <v>89</v>
      </c>
      <c r="P3" s="596" t="s">
        <v>90</v>
      </c>
      <c r="Q3" s="596" t="s">
        <v>91</v>
      </c>
      <c r="R3" s="596" t="s">
        <v>92</v>
      </c>
      <c r="S3" s="596" t="s">
        <v>93</v>
      </c>
      <c r="T3" s="596" t="s">
        <v>94</v>
      </c>
      <c r="U3" s="596" t="s">
        <v>95</v>
      </c>
      <c r="V3" s="596" t="s">
        <v>96</v>
      </c>
      <c r="W3" s="596" t="s">
        <v>97</v>
      </c>
      <c r="X3" s="596" t="s">
        <v>98</v>
      </c>
      <c r="Y3" s="596" t="s">
        <v>99</v>
      </c>
      <c r="Z3" s="596" t="s">
        <v>100</v>
      </c>
      <c r="AA3" s="596" t="s">
        <v>101</v>
      </c>
      <c r="AB3" s="596" t="s">
        <v>102</v>
      </c>
      <c r="AC3" s="596" t="s">
        <v>103</v>
      </c>
      <c r="AD3" s="596" t="s">
        <v>104</v>
      </c>
      <c r="AE3" s="596" t="s">
        <v>105</v>
      </c>
      <c r="AF3" s="596" t="s">
        <v>106</v>
      </c>
      <c r="AG3" s="596" t="s">
        <v>107</v>
      </c>
      <c r="AH3" s="596" t="s">
        <v>108</v>
      </c>
      <c r="AI3" s="596" t="s">
        <v>109</v>
      </c>
      <c r="AJ3" s="596" t="s">
        <v>110</v>
      </c>
      <c r="AK3" s="596" t="s">
        <v>111</v>
      </c>
      <c r="AL3" s="596" t="s">
        <v>112</v>
      </c>
      <c r="AM3" s="596" t="s">
        <v>113</v>
      </c>
      <c r="AN3" s="596" t="s">
        <v>114</v>
      </c>
      <c r="AO3" s="596" t="s">
        <v>115</v>
      </c>
      <c r="AP3" s="596" t="s">
        <v>116</v>
      </c>
      <c r="AQ3" s="596" t="s">
        <v>116</v>
      </c>
      <c r="AT3" s="596" t="s">
        <v>117</v>
      </c>
      <c r="AU3" s="596" t="s">
        <v>118</v>
      </c>
      <c r="AV3" s="596" t="s">
        <v>119</v>
      </c>
      <c r="AW3" s="596" t="s">
        <v>120</v>
      </c>
      <c r="AX3" s="596" t="s">
        <v>121</v>
      </c>
      <c r="AY3" s="596" t="s">
        <v>121</v>
      </c>
      <c r="BL3" s="596" t="s">
        <v>122</v>
      </c>
      <c r="BM3" s="596" t="s">
        <v>122</v>
      </c>
      <c r="BP3" s="599" t="s">
        <v>123</v>
      </c>
      <c r="BQ3" s="596" t="s">
        <v>124</v>
      </c>
    </row>
    <row r="4" spans="1:72">
      <c r="A4" s="596">
        <v>3</v>
      </c>
      <c r="C4" s="597">
        <v>2021</v>
      </c>
      <c r="D4" s="597">
        <v>2021</v>
      </c>
      <c r="E4" s="597" t="s">
        <v>125</v>
      </c>
      <c r="F4" s="597" t="s">
        <v>126</v>
      </c>
      <c r="G4" s="597"/>
      <c r="H4" s="597"/>
      <c r="I4" s="596" t="s">
        <v>127</v>
      </c>
      <c r="J4" s="596" t="s">
        <v>128</v>
      </c>
      <c r="K4" s="596" t="s">
        <v>129</v>
      </c>
      <c r="L4" s="596" t="s">
        <v>130</v>
      </c>
      <c r="M4" s="596" t="s">
        <v>131</v>
      </c>
      <c r="N4" s="596" t="s">
        <v>132</v>
      </c>
      <c r="O4" s="596" t="s">
        <v>133</v>
      </c>
      <c r="P4" s="596" t="s">
        <v>134</v>
      </c>
      <c r="Q4" s="596" t="s">
        <v>135</v>
      </c>
      <c r="R4" s="596" t="s">
        <v>136</v>
      </c>
      <c r="S4" s="596" t="s">
        <v>137</v>
      </c>
      <c r="T4" s="596" t="s">
        <v>138</v>
      </c>
      <c r="U4" s="596" t="s">
        <v>139</v>
      </c>
      <c r="V4" s="596" t="s">
        <v>140</v>
      </c>
      <c r="W4" s="596" t="s">
        <v>141</v>
      </c>
      <c r="X4" s="596" t="s">
        <v>142</v>
      </c>
      <c r="Y4" s="596" t="s">
        <v>143</v>
      </c>
      <c r="Z4" s="596" t="s">
        <v>144</v>
      </c>
      <c r="AA4" s="596" t="s">
        <v>145</v>
      </c>
      <c r="AB4" s="596" t="s">
        <v>146</v>
      </c>
      <c r="AC4" s="596" t="s">
        <v>147</v>
      </c>
      <c r="AD4" s="596" t="s">
        <v>148</v>
      </c>
      <c r="AE4" s="596" t="s">
        <v>149</v>
      </c>
      <c r="AF4" s="596" t="s">
        <v>150</v>
      </c>
      <c r="AG4" s="596" t="s">
        <v>151</v>
      </c>
      <c r="AH4" s="596" t="s">
        <v>152</v>
      </c>
      <c r="AI4" s="596" t="s">
        <v>153</v>
      </c>
      <c r="AJ4" s="596" t="s">
        <v>154</v>
      </c>
      <c r="AK4" s="596" t="s">
        <v>155</v>
      </c>
      <c r="AL4" s="596" t="s">
        <v>156</v>
      </c>
      <c r="AM4" s="596" t="s">
        <v>157</v>
      </c>
      <c r="AN4" s="596" t="s">
        <v>158</v>
      </c>
      <c r="AO4" s="596" t="s">
        <v>159</v>
      </c>
      <c r="AP4" s="596" t="s">
        <v>160</v>
      </c>
      <c r="AQ4" s="596" t="s">
        <v>160</v>
      </c>
      <c r="AT4" s="596" t="s">
        <v>161</v>
      </c>
      <c r="AU4" s="596" t="s">
        <v>162</v>
      </c>
      <c r="AV4" s="596" t="s">
        <v>163</v>
      </c>
      <c r="AW4" s="596" t="s">
        <v>164</v>
      </c>
      <c r="AX4" s="596" t="s">
        <v>165</v>
      </c>
      <c r="AY4" s="596" t="s">
        <v>166</v>
      </c>
      <c r="BL4" s="596" t="s">
        <v>167</v>
      </c>
      <c r="BM4" s="596" t="s">
        <v>167</v>
      </c>
      <c r="BP4" s="596" t="s">
        <v>83</v>
      </c>
      <c r="BQ4" s="596" t="s">
        <v>84</v>
      </c>
      <c r="BR4" s="599" t="s">
        <v>854</v>
      </c>
      <c r="BS4" s="599" t="s">
        <v>855</v>
      </c>
    </row>
    <row r="5" spans="1:72">
      <c r="A5" s="596">
        <v>4</v>
      </c>
      <c r="C5" s="597">
        <v>2022</v>
      </c>
      <c r="D5" s="597">
        <v>2022</v>
      </c>
      <c r="E5" s="597" t="s">
        <v>168</v>
      </c>
      <c r="F5" s="597" t="s">
        <v>169</v>
      </c>
      <c r="G5" s="597"/>
      <c r="H5" s="597"/>
      <c r="I5" s="596" t="s">
        <v>170</v>
      </c>
      <c r="J5" s="596" t="s">
        <v>170</v>
      </c>
      <c r="K5" s="596" t="s">
        <v>171</v>
      </c>
      <c r="L5" s="596" t="s">
        <v>172</v>
      </c>
      <c r="M5" s="596" t="s">
        <v>173</v>
      </c>
      <c r="N5" s="596" t="s">
        <v>174</v>
      </c>
      <c r="O5" s="596" t="s">
        <v>175</v>
      </c>
      <c r="P5" s="596" t="s">
        <v>176</v>
      </c>
      <c r="Q5" s="596" t="s">
        <v>177</v>
      </c>
      <c r="R5" s="596" t="s">
        <v>178</v>
      </c>
      <c r="S5" s="596" t="s">
        <v>179</v>
      </c>
      <c r="T5" s="596" t="s">
        <v>180</v>
      </c>
      <c r="U5" s="596" t="s">
        <v>181</v>
      </c>
      <c r="V5" s="596" t="s">
        <v>182</v>
      </c>
      <c r="W5" s="596" t="s">
        <v>183</v>
      </c>
      <c r="X5" s="596" t="s">
        <v>184</v>
      </c>
      <c r="Y5" s="596" t="s">
        <v>185</v>
      </c>
      <c r="Z5" s="596" t="s">
        <v>186</v>
      </c>
      <c r="AA5" s="596" t="s">
        <v>186</v>
      </c>
      <c r="AB5" s="596" t="s">
        <v>187</v>
      </c>
      <c r="AC5" s="596" t="s">
        <v>188</v>
      </c>
      <c r="AD5" s="596" t="s">
        <v>189</v>
      </c>
      <c r="AE5" s="596" t="s">
        <v>190</v>
      </c>
      <c r="AF5" s="596" t="s">
        <v>191</v>
      </c>
      <c r="AG5" s="596" t="s">
        <v>192</v>
      </c>
      <c r="AH5" s="596" t="s">
        <v>193</v>
      </c>
      <c r="AI5" s="596" t="s">
        <v>194</v>
      </c>
      <c r="AJ5" s="596" t="s">
        <v>195</v>
      </c>
      <c r="AK5" s="596" t="s">
        <v>196</v>
      </c>
      <c r="AL5" s="596" t="s">
        <v>197</v>
      </c>
      <c r="AM5" s="596" t="s">
        <v>198</v>
      </c>
      <c r="AN5" s="596" t="s">
        <v>199</v>
      </c>
      <c r="AO5" s="596" t="s">
        <v>128</v>
      </c>
      <c r="AP5" s="596" t="s">
        <v>200</v>
      </c>
      <c r="AQ5" s="596" t="s">
        <v>201</v>
      </c>
      <c r="AV5" s="596" t="s">
        <v>202</v>
      </c>
      <c r="AW5" s="596" t="s">
        <v>203</v>
      </c>
      <c r="AX5" s="596" t="s">
        <v>204</v>
      </c>
      <c r="AY5" s="596" t="s">
        <v>205</v>
      </c>
      <c r="BL5" s="596" t="s">
        <v>206</v>
      </c>
      <c r="BM5" s="596" t="s">
        <v>207</v>
      </c>
      <c r="BP5" s="596" t="s">
        <v>208</v>
      </c>
      <c r="BQ5" s="596" t="s">
        <v>209</v>
      </c>
      <c r="BR5" s="596" t="s">
        <v>881</v>
      </c>
      <c r="BS5" s="596" t="s">
        <v>856</v>
      </c>
      <c r="BT5" s="596" t="s">
        <v>893</v>
      </c>
    </row>
    <row r="6" spans="1:72">
      <c r="A6" s="596">
        <v>5</v>
      </c>
      <c r="C6" s="597" t="s">
        <v>125</v>
      </c>
      <c r="D6" s="597" t="s">
        <v>126</v>
      </c>
      <c r="E6" s="597" t="s">
        <v>210</v>
      </c>
      <c r="F6" s="597" t="s">
        <v>211</v>
      </c>
      <c r="G6" s="597"/>
      <c r="H6" s="597"/>
      <c r="I6" s="596" t="s">
        <v>212</v>
      </c>
      <c r="J6" s="596" t="s">
        <v>213</v>
      </c>
      <c r="K6" s="596" t="s">
        <v>214</v>
      </c>
      <c r="L6" s="596" t="s">
        <v>215</v>
      </c>
      <c r="M6" s="596" t="s">
        <v>93</v>
      </c>
      <c r="N6" s="596" t="s">
        <v>94</v>
      </c>
      <c r="O6" s="596" t="s">
        <v>216</v>
      </c>
      <c r="P6" s="596" t="s">
        <v>217</v>
      </c>
      <c r="Q6" s="596" t="s">
        <v>218</v>
      </c>
      <c r="R6" s="596" t="s">
        <v>219</v>
      </c>
      <c r="S6" s="596" t="s">
        <v>220</v>
      </c>
      <c r="T6" s="596" t="s">
        <v>221</v>
      </c>
      <c r="U6" s="596" t="s">
        <v>222</v>
      </c>
      <c r="V6" s="596" t="s">
        <v>223</v>
      </c>
      <c r="W6" s="596" t="s">
        <v>224</v>
      </c>
      <c r="X6" s="596" t="s">
        <v>225</v>
      </c>
      <c r="Y6" s="596" t="s">
        <v>226</v>
      </c>
      <c r="Z6" s="596" t="s">
        <v>173</v>
      </c>
      <c r="AA6" s="596" t="s">
        <v>174</v>
      </c>
      <c r="AB6" s="596" t="s">
        <v>89</v>
      </c>
      <c r="AC6" s="596" t="s">
        <v>90</v>
      </c>
      <c r="AD6" s="596" t="s">
        <v>227</v>
      </c>
      <c r="AE6" s="596" t="s">
        <v>227</v>
      </c>
      <c r="AF6" s="596" t="s">
        <v>202</v>
      </c>
      <c r="AG6" s="596" t="s">
        <v>203</v>
      </c>
      <c r="AH6" s="596" t="s">
        <v>59</v>
      </c>
      <c r="AI6" s="596" t="s">
        <v>174</v>
      </c>
      <c r="AJ6" s="596" t="s">
        <v>228</v>
      </c>
      <c r="AK6" s="596" t="s">
        <v>229</v>
      </c>
      <c r="AL6" s="596" t="s">
        <v>230</v>
      </c>
      <c r="AM6" s="596" t="s">
        <v>231</v>
      </c>
      <c r="AN6" s="596" t="s">
        <v>232</v>
      </c>
      <c r="AO6" s="596" t="s">
        <v>233</v>
      </c>
      <c r="AP6" s="596" t="s">
        <v>234</v>
      </c>
      <c r="AQ6" s="596" t="s">
        <v>235</v>
      </c>
      <c r="AV6" s="596" t="s">
        <v>236</v>
      </c>
      <c r="AW6" s="596" t="s">
        <v>237</v>
      </c>
      <c r="AX6" s="596" t="s">
        <v>238</v>
      </c>
      <c r="AY6" s="596" t="s">
        <v>239</v>
      </c>
      <c r="BL6" s="596" t="s">
        <v>240</v>
      </c>
      <c r="BM6" s="596" t="s">
        <v>241</v>
      </c>
      <c r="BP6" s="596" t="s">
        <v>242</v>
      </c>
      <c r="BQ6" s="596" t="s">
        <v>243</v>
      </c>
      <c r="BR6" s="596" t="s">
        <v>857</v>
      </c>
      <c r="BS6" s="596" t="s">
        <v>858</v>
      </c>
      <c r="BT6" s="596" t="s">
        <v>893</v>
      </c>
    </row>
    <row r="7" spans="1:72">
      <c r="A7" s="596">
        <v>6</v>
      </c>
      <c r="C7" s="597" t="s">
        <v>168</v>
      </c>
      <c r="D7" s="597" t="s">
        <v>169</v>
      </c>
      <c r="E7" s="597" t="s">
        <v>244</v>
      </c>
      <c r="F7" s="597" t="s">
        <v>245</v>
      </c>
      <c r="G7" s="597"/>
      <c r="H7" s="597"/>
      <c r="I7" s="596" t="s">
        <v>246</v>
      </c>
      <c r="J7" s="596" t="s">
        <v>21</v>
      </c>
      <c r="K7" s="596" t="s">
        <v>247</v>
      </c>
      <c r="L7" s="596" t="s">
        <v>248</v>
      </c>
      <c r="M7" s="596" t="s">
        <v>249</v>
      </c>
      <c r="N7" s="596" t="s">
        <v>250</v>
      </c>
      <c r="O7" s="596" t="s">
        <v>251</v>
      </c>
      <c r="P7" s="596" t="s">
        <v>252</v>
      </c>
      <c r="Q7" s="596" t="s">
        <v>253</v>
      </c>
      <c r="R7" s="596" t="s">
        <v>254</v>
      </c>
      <c r="S7" s="596" t="s">
        <v>255</v>
      </c>
      <c r="T7" s="596" t="s">
        <v>256</v>
      </c>
      <c r="U7" s="596" t="s">
        <v>106</v>
      </c>
      <c r="V7" s="596" t="s">
        <v>257</v>
      </c>
      <c r="W7" s="596" t="s">
        <v>258</v>
      </c>
      <c r="X7" s="596" t="s">
        <v>259</v>
      </c>
      <c r="Y7" s="596" t="s">
        <v>260</v>
      </c>
      <c r="Z7" s="596" t="s">
        <v>261</v>
      </c>
      <c r="AA7" s="596" t="s">
        <v>262</v>
      </c>
      <c r="AB7" s="596" t="s">
        <v>263</v>
      </c>
      <c r="AC7" s="596" t="s">
        <v>264</v>
      </c>
      <c r="AF7" s="596" t="s">
        <v>236</v>
      </c>
      <c r="AG7" s="596" t="s">
        <v>237</v>
      </c>
      <c r="AH7" s="596" t="s">
        <v>131</v>
      </c>
      <c r="AI7" s="596" t="s">
        <v>132</v>
      </c>
      <c r="AJ7" s="596" t="s">
        <v>265</v>
      </c>
      <c r="AK7" s="596" t="s">
        <v>265</v>
      </c>
      <c r="AL7" s="596" t="s">
        <v>266</v>
      </c>
      <c r="AM7" s="596" t="s">
        <v>267</v>
      </c>
      <c r="AP7" s="596" t="s">
        <v>268</v>
      </c>
      <c r="AQ7" s="596" t="s">
        <v>269</v>
      </c>
      <c r="AV7" s="596" t="s">
        <v>270</v>
      </c>
      <c r="AW7" s="596" t="s">
        <v>271</v>
      </c>
      <c r="AX7" s="596" t="s">
        <v>272</v>
      </c>
      <c r="AY7" s="596" t="s">
        <v>273</v>
      </c>
      <c r="BL7" s="596" t="s">
        <v>274</v>
      </c>
      <c r="BM7" s="596" t="s">
        <v>275</v>
      </c>
      <c r="BP7" s="596" t="s">
        <v>276</v>
      </c>
      <c r="BQ7" s="596" t="s">
        <v>277</v>
      </c>
    </row>
    <row r="8" spans="1:72">
      <c r="A8" s="596">
        <v>7</v>
      </c>
      <c r="C8" s="597" t="s">
        <v>210</v>
      </c>
      <c r="D8" s="597" t="s">
        <v>211</v>
      </c>
      <c r="E8" s="597" t="s">
        <v>278</v>
      </c>
      <c r="F8" s="597" t="s">
        <v>279</v>
      </c>
      <c r="G8" s="597"/>
      <c r="H8" s="597"/>
      <c r="I8" s="596" t="s">
        <v>95</v>
      </c>
      <c r="J8" s="596" t="s">
        <v>280</v>
      </c>
      <c r="K8" s="596" t="s">
        <v>281</v>
      </c>
      <c r="L8" s="596" t="s">
        <v>282</v>
      </c>
      <c r="M8" s="596" t="s">
        <v>283</v>
      </c>
      <c r="N8" s="596" t="s">
        <v>284</v>
      </c>
      <c r="O8" s="596" t="s">
        <v>285</v>
      </c>
      <c r="P8" s="596" t="s">
        <v>286</v>
      </c>
      <c r="Q8" s="596" t="s">
        <v>287</v>
      </c>
      <c r="R8" s="596" t="s">
        <v>288</v>
      </c>
      <c r="S8" s="596" t="s">
        <v>289</v>
      </c>
      <c r="T8" s="596" t="s">
        <v>82</v>
      </c>
      <c r="U8" s="596" t="s">
        <v>290</v>
      </c>
      <c r="V8" s="596" t="s">
        <v>291</v>
      </c>
      <c r="W8" s="596" t="s">
        <v>292</v>
      </c>
      <c r="X8" s="596" t="s">
        <v>293</v>
      </c>
      <c r="Y8" s="596" t="s">
        <v>294</v>
      </c>
      <c r="Z8" s="596" t="s">
        <v>295</v>
      </c>
      <c r="AA8" s="596" t="s">
        <v>296</v>
      </c>
      <c r="AB8" s="596" t="s">
        <v>297</v>
      </c>
      <c r="AC8" s="596" t="s">
        <v>298</v>
      </c>
      <c r="AD8" s="596" t="s">
        <v>257</v>
      </c>
      <c r="AE8" s="596" t="s">
        <v>258</v>
      </c>
      <c r="AF8" s="596" t="s">
        <v>270</v>
      </c>
      <c r="AG8" s="596" t="s">
        <v>271</v>
      </c>
      <c r="AH8" s="596" t="s">
        <v>93</v>
      </c>
      <c r="AI8" s="596" t="s">
        <v>94</v>
      </c>
      <c r="AJ8" s="596" t="s">
        <v>299</v>
      </c>
      <c r="AK8" s="596" t="s">
        <v>300</v>
      </c>
      <c r="AL8" s="596" t="s">
        <v>301</v>
      </c>
      <c r="AM8" s="596" t="s">
        <v>301</v>
      </c>
      <c r="AN8" s="596" t="s">
        <v>302</v>
      </c>
      <c r="AO8" s="596" t="s">
        <v>303</v>
      </c>
      <c r="AP8" s="596" t="s">
        <v>304</v>
      </c>
      <c r="AQ8" s="596" t="s">
        <v>305</v>
      </c>
      <c r="AV8" s="596" t="s">
        <v>306</v>
      </c>
      <c r="AW8" s="596" t="s">
        <v>307</v>
      </c>
      <c r="AX8" s="596" t="s">
        <v>308</v>
      </c>
      <c r="AY8" s="596" t="s">
        <v>309</v>
      </c>
      <c r="BL8" s="596" t="s">
        <v>310</v>
      </c>
      <c r="BM8" s="596" t="s">
        <v>310</v>
      </c>
      <c r="BP8" s="596" t="s">
        <v>68</v>
      </c>
      <c r="BQ8" s="596" t="s">
        <v>68</v>
      </c>
    </row>
    <row r="9" spans="1:72">
      <c r="A9" s="596">
        <v>8</v>
      </c>
      <c r="C9" s="597" t="s">
        <v>244</v>
      </c>
      <c r="D9" s="597" t="s">
        <v>245</v>
      </c>
      <c r="E9" s="597" t="s">
        <v>311</v>
      </c>
      <c r="F9" s="597" t="s">
        <v>312</v>
      </c>
      <c r="G9" s="597"/>
      <c r="H9" s="597"/>
      <c r="I9" s="596" t="s">
        <v>313</v>
      </c>
      <c r="J9" s="596" t="s">
        <v>313</v>
      </c>
      <c r="K9" s="596" t="s">
        <v>314</v>
      </c>
      <c r="L9" s="596" t="s">
        <v>315</v>
      </c>
      <c r="M9" s="596" t="s">
        <v>261</v>
      </c>
      <c r="N9" s="596" t="s">
        <v>262</v>
      </c>
      <c r="O9" s="596" t="s">
        <v>316</v>
      </c>
      <c r="P9" s="596" t="s">
        <v>317</v>
      </c>
      <c r="Q9" s="596" t="s">
        <v>318</v>
      </c>
      <c r="R9" s="596" t="s">
        <v>319</v>
      </c>
      <c r="S9" s="596" t="s">
        <v>320</v>
      </c>
      <c r="T9" s="596" t="s">
        <v>321</v>
      </c>
      <c r="U9" s="596" t="s">
        <v>322</v>
      </c>
      <c r="V9" s="596" t="s">
        <v>323</v>
      </c>
      <c r="W9" s="596" t="s">
        <v>324</v>
      </c>
      <c r="X9" s="596" t="s">
        <v>325</v>
      </c>
      <c r="Y9" s="596" t="s">
        <v>326</v>
      </c>
      <c r="Z9" s="596" t="s">
        <v>327</v>
      </c>
      <c r="AA9" s="596" t="s">
        <v>328</v>
      </c>
      <c r="AB9" s="596" t="s">
        <v>329</v>
      </c>
      <c r="AC9" s="596" t="s">
        <v>330</v>
      </c>
      <c r="AD9" s="596" t="s">
        <v>223</v>
      </c>
      <c r="AE9" s="596" t="s">
        <v>224</v>
      </c>
      <c r="AF9" s="596" t="s">
        <v>331</v>
      </c>
      <c r="AG9" s="596" t="s">
        <v>332</v>
      </c>
      <c r="AH9" s="596" t="s">
        <v>261</v>
      </c>
      <c r="AI9" s="596" t="s">
        <v>262</v>
      </c>
      <c r="AJ9" s="596" t="s">
        <v>333</v>
      </c>
      <c r="AK9" s="596" t="s">
        <v>334</v>
      </c>
      <c r="AL9" s="596" t="s">
        <v>335</v>
      </c>
      <c r="AM9" s="596" t="s">
        <v>335</v>
      </c>
      <c r="AN9" s="596" t="s">
        <v>336</v>
      </c>
      <c r="AO9" s="596" t="s">
        <v>337</v>
      </c>
      <c r="AP9" s="596" t="s">
        <v>338</v>
      </c>
      <c r="AQ9" s="596" t="s">
        <v>339</v>
      </c>
      <c r="AV9" s="596" t="s">
        <v>173</v>
      </c>
      <c r="AW9" s="596" t="s">
        <v>174</v>
      </c>
      <c r="AX9" s="596" t="s">
        <v>340</v>
      </c>
      <c r="AY9" s="596" t="s">
        <v>341</v>
      </c>
      <c r="BL9" s="596" t="s">
        <v>227</v>
      </c>
      <c r="BM9" s="596" t="s">
        <v>227</v>
      </c>
      <c r="BP9" s="596" t="s">
        <v>223</v>
      </c>
      <c r="BQ9" s="596" t="s">
        <v>224</v>
      </c>
      <c r="BR9" s="599" t="s">
        <v>859</v>
      </c>
      <c r="BS9" s="599" t="s">
        <v>859</v>
      </c>
    </row>
    <row r="10" spans="1:72">
      <c r="A10" s="596">
        <v>9</v>
      </c>
      <c r="C10" s="597" t="s">
        <v>278</v>
      </c>
      <c r="D10" s="597" t="s">
        <v>279</v>
      </c>
      <c r="E10" s="597" t="s">
        <v>342</v>
      </c>
      <c r="F10" s="597" t="s">
        <v>343</v>
      </c>
      <c r="G10" s="597"/>
      <c r="H10" s="597"/>
      <c r="I10" s="596" t="s">
        <v>222</v>
      </c>
      <c r="J10" s="596" t="s">
        <v>344</v>
      </c>
      <c r="K10" s="596" t="s">
        <v>345</v>
      </c>
      <c r="L10" s="596" t="s">
        <v>346</v>
      </c>
      <c r="M10" s="596" t="s">
        <v>347</v>
      </c>
      <c r="N10" s="596" t="s">
        <v>348</v>
      </c>
      <c r="O10" s="596" t="s">
        <v>349</v>
      </c>
      <c r="P10" s="596" t="s">
        <v>350</v>
      </c>
      <c r="Q10" s="596" t="s">
        <v>351</v>
      </c>
      <c r="R10" s="596" t="s">
        <v>352</v>
      </c>
      <c r="S10" s="596" t="s">
        <v>266</v>
      </c>
      <c r="T10" s="596" t="s">
        <v>353</v>
      </c>
      <c r="U10" s="596" t="s">
        <v>354</v>
      </c>
      <c r="V10" s="596" t="s">
        <v>355</v>
      </c>
      <c r="W10" s="596" t="s">
        <v>355</v>
      </c>
      <c r="X10" s="596" t="s">
        <v>356</v>
      </c>
      <c r="Y10" s="596" t="s">
        <v>357</v>
      </c>
      <c r="Z10" s="596" t="s">
        <v>129</v>
      </c>
      <c r="AA10" s="596" t="s">
        <v>130</v>
      </c>
      <c r="AD10" s="596" t="s">
        <v>208</v>
      </c>
      <c r="AE10" s="596" t="s">
        <v>209</v>
      </c>
      <c r="AF10" s="596" t="s">
        <v>358</v>
      </c>
      <c r="AG10" s="596" t="s">
        <v>359</v>
      </c>
      <c r="AH10" s="596" t="s">
        <v>347</v>
      </c>
      <c r="AI10" s="596" t="s">
        <v>348</v>
      </c>
      <c r="AN10" s="596" t="s">
        <v>360</v>
      </c>
      <c r="AO10" s="596" t="s">
        <v>361</v>
      </c>
      <c r="AP10" s="596" t="s">
        <v>362</v>
      </c>
      <c r="AQ10" s="596" t="s">
        <v>363</v>
      </c>
      <c r="AV10" s="596" t="s">
        <v>283</v>
      </c>
      <c r="AW10" s="596" t="s">
        <v>284</v>
      </c>
      <c r="AX10" s="596" t="s">
        <v>364</v>
      </c>
      <c r="AY10" s="596" t="s">
        <v>365</v>
      </c>
      <c r="BP10" s="596" t="s">
        <v>366</v>
      </c>
      <c r="BQ10" s="596" t="s">
        <v>367</v>
      </c>
      <c r="BR10" s="596" t="s">
        <v>860</v>
      </c>
      <c r="BS10" s="596" t="s">
        <v>860</v>
      </c>
    </row>
    <row r="11" spans="1:72">
      <c r="A11" s="596">
        <v>10</v>
      </c>
      <c r="C11" s="597" t="s">
        <v>311</v>
      </c>
      <c r="D11" s="597" t="s">
        <v>312</v>
      </c>
      <c r="E11" s="597" t="s">
        <v>368</v>
      </c>
      <c r="F11" s="597" t="s">
        <v>369</v>
      </c>
      <c r="G11" s="597"/>
      <c r="H11" s="597"/>
      <c r="I11" s="596" t="s">
        <v>370</v>
      </c>
      <c r="J11" s="596" t="s">
        <v>371</v>
      </c>
      <c r="K11" s="596" t="s">
        <v>372</v>
      </c>
      <c r="L11" s="596" t="s">
        <v>373</v>
      </c>
      <c r="M11" s="596" t="s">
        <v>374</v>
      </c>
      <c r="N11" s="596" t="s">
        <v>375</v>
      </c>
      <c r="O11" s="596" t="s">
        <v>281</v>
      </c>
      <c r="P11" s="596" t="s">
        <v>376</v>
      </c>
      <c r="Q11" s="596" t="s">
        <v>377</v>
      </c>
      <c r="R11" s="596" t="s">
        <v>378</v>
      </c>
      <c r="S11" s="596" t="s">
        <v>379</v>
      </c>
      <c r="T11" s="596" t="s">
        <v>379</v>
      </c>
      <c r="U11" s="596" t="s">
        <v>380</v>
      </c>
      <c r="V11" s="596" t="s">
        <v>381</v>
      </c>
      <c r="W11" s="596" t="s">
        <v>381</v>
      </c>
      <c r="X11" s="596" t="s">
        <v>382</v>
      </c>
      <c r="Y11" s="596" t="s">
        <v>383</v>
      </c>
      <c r="Z11" s="596" t="s">
        <v>214</v>
      </c>
      <c r="AA11" s="596" t="s">
        <v>215</v>
      </c>
      <c r="AB11" s="596" t="s">
        <v>384</v>
      </c>
      <c r="AC11" s="596" t="s">
        <v>384</v>
      </c>
      <c r="AD11" s="596" t="s">
        <v>385</v>
      </c>
      <c r="AE11" s="596" t="s">
        <v>386</v>
      </c>
      <c r="AF11" s="596" t="s">
        <v>387</v>
      </c>
      <c r="AG11" s="596" t="s">
        <v>388</v>
      </c>
      <c r="AH11" s="596" t="s">
        <v>389</v>
      </c>
      <c r="AI11" s="596" t="s">
        <v>390</v>
      </c>
      <c r="AN11" s="596" t="s">
        <v>391</v>
      </c>
      <c r="AO11" s="596" t="s">
        <v>392</v>
      </c>
      <c r="AV11" s="596" t="s">
        <v>261</v>
      </c>
      <c r="AW11" s="596" t="s">
        <v>262</v>
      </c>
      <c r="BL11" s="596" t="s">
        <v>83</v>
      </c>
      <c r="BM11" s="596" t="s">
        <v>84</v>
      </c>
      <c r="BP11" s="596" t="s">
        <v>55</v>
      </c>
      <c r="BQ11" s="596" t="s">
        <v>56</v>
      </c>
      <c r="BR11" s="596" t="s">
        <v>861</v>
      </c>
      <c r="BS11" s="596" t="s">
        <v>862</v>
      </c>
      <c r="BT11" s="596" t="s">
        <v>863</v>
      </c>
    </row>
    <row r="12" spans="1:72">
      <c r="A12" s="596">
        <v>11</v>
      </c>
      <c r="C12" s="597" t="s">
        <v>342</v>
      </c>
      <c r="D12" s="597" t="s">
        <v>343</v>
      </c>
      <c r="E12" s="597" t="s">
        <v>393</v>
      </c>
      <c r="F12" s="597" t="s">
        <v>394</v>
      </c>
      <c r="G12" s="597"/>
      <c r="H12" s="597"/>
      <c r="I12" s="596" t="s">
        <v>395</v>
      </c>
      <c r="J12" s="596" t="s">
        <v>395</v>
      </c>
      <c r="K12" s="596" t="s">
        <v>396</v>
      </c>
      <c r="L12" s="596" t="s">
        <v>397</v>
      </c>
      <c r="M12" s="596" t="s">
        <v>398</v>
      </c>
      <c r="N12" s="596" t="s">
        <v>399</v>
      </c>
      <c r="O12" s="596" t="s">
        <v>89</v>
      </c>
      <c r="P12" s="596" t="s">
        <v>90</v>
      </c>
      <c r="Q12" s="596" t="s">
        <v>87</v>
      </c>
      <c r="R12" s="596" t="s">
        <v>400</v>
      </c>
      <c r="S12" s="596" t="s">
        <v>249</v>
      </c>
      <c r="T12" s="596" t="s">
        <v>250</v>
      </c>
      <c r="V12" s="596" t="s">
        <v>68</v>
      </c>
      <c r="W12" s="596" t="s">
        <v>68</v>
      </c>
      <c r="X12" s="596" t="s">
        <v>401</v>
      </c>
      <c r="Y12" s="596" t="s">
        <v>402</v>
      </c>
      <c r="Z12" s="596" t="s">
        <v>281</v>
      </c>
      <c r="AA12" s="596" t="s">
        <v>376</v>
      </c>
      <c r="AB12" s="596" t="s">
        <v>102</v>
      </c>
      <c r="AC12" s="596" t="s">
        <v>103</v>
      </c>
      <c r="AD12" s="596" t="s">
        <v>403</v>
      </c>
      <c r="AE12" s="596" t="s">
        <v>404</v>
      </c>
      <c r="AF12" s="596" t="s">
        <v>405</v>
      </c>
      <c r="AG12" s="596" t="s">
        <v>406</v>
      </c>
      <c r="AH12" s="596" t="s">
        <v>407</v>
      </c>
      <c r="AI12" s="596" t="s">
        <v>359</v>
      </c>
      <c r="AN12" s="596" t="s">
        <v>408</v>
      </c>
      <c r="AO12" s="596" t="s">
        <v>409</v>
      </c>
      <c r="AV12" s="596" t="s">
        <v>347</v>
      </c>
      <c r="AW12" s="596" t="s">
        <v>348</v>
      </c>
      <c r="BL12" s="596" t="s">
        <v>410</v>
      </c>
      <c r="BM12" s="596" t="s">
        <v>411</v>
      </c>
      <c r="BP12" s="596" t="s">
        <v>412</v>
      </c>
      <c r="BQ12" s="596" t="s">
        <v>413</v>
      </c>
      <c r="BR12" s="596" t="s">
        <v>866</v>
      </c>
      <c r="BS12" s="596" t="s">
        <v>867</v>
      </c>
      <c r="BT12" s="596" t="s">
        <v>863</v>
      </c>
    </row>
    <row r="13" spans="1:72">
      <c r="A13" s="596">
        <v>12</v>
      </c>
      <c r="C13" s="597" t="s">
        <v>368</v>
      </c>
      <c r="D13" s="597" t="s">
        <v>369</v>
      </c>
      <c r="E13" s="597" t="s">
        <v>414</v>
      </c>
      <c r="F13" s="596" t="s">
        <v>415</v>
      </c>
      <c r="G13" s="597"/>
      <c r="H13" s="597"/>
      <c r="I13" s="596" t="s">
        <v>416</v>
      </c>
      <c r="J13" s="596" t="s">
        <v>416</v>
      </c>
      <c r="K13" s="596" t="s">
        <v>417</v>
      </c>
      <c r="L13" s="596" t="s">
        <v>418</v>
      </c>
      <c r="M13" s="596" t="s">
        <v>146</v>
      </c>
      <c r="N13" s="596" t="s">
        <v>147</v>
      </c>
      <c r="O13" s="596" t="s">
        <v>419</v>
      </c>
      <c r="P13" s="596" t="s">
        <v>420</v>
      </c>
      <c r="Q13" s="596" t="s">
        <v>421</v>
      </c>
      <c r="R13" s="596" t="s">
        <v>422</v>
      </c>
      <c r="S13" s="596" t="s">
        <v>283</v>
      </c>
      <c r="T13" s="596" t="s">
        <v>284</v>
      </c>
      <c r="X13" s="596" t="s">
        <v>423</v>
      </c>
      <c r="Y13" s="596" t="s">
        <v>424</v>
      </c>
      <c r="Z13" s="596" t="s">
        <v>247</v>
      </c>
      <c r="AA13" s="596" t="s">
        <v>248</v>
      </c>
      <c r="AB13" s="596" t="s">
        <v>146</v>
      </c>
      <c r="AC13" s="596" t="s">
        <v>147</v>
      </c>
      <c r="AD13" s="596" t="s">
        <v>425</v>
      </c>
      <c r="AE13" s="596" t="s">
        <v>426</v>
      </c>
      <c r="AF13" s="596" t="s">
        <v>427</v>
      </c>
      <c r="AG13" s="596" t="s">
        <v>428</v>
      </c>
      <c r="AH13" s="596" t="s">
        <v>387</v>
      </c>
      <c r="AI13" s="596" t="s">
        <v>388</v>
      </c>
      <c r="AV13" s="596" t="s">
        <v>429</v>
      </c>
      <c r="AW13" s="596" t="s">
        <v>430</v>
      </c>
      <c r="BL13" s="596" t="s">
        <v>431</v>
      </c>
      <c r="BM13" s="596" t="s">
        <v>432</v>
      </c>
      <c r="BP13" s="596" t="s">
        <v>433</v>
      </c>
      <c r="BQ13" s="596" t="s">
        <v>434</v>
      </c>
    </row>
    <row r="14" spans="1:72">
      <c r="A14" s="596">
        <v>13</v>
      </c>
      <c r="C14" s="597" t="s">
        <v>393</v>
      </c>
      <c r="D14" s="597" t="s">
        <v>394</v>
      </c>
      <c r="E14" s="597" t="s">
        <v>435</v>
      </c>
      <c r="F14" s="597" t="s">
        <v>436</v>
      </c>
      <c r="G14" s="597"/>
      <c r="H14" s="597"/>
      <c r="I14" s="596" t="s">
        <v>437</v>
      </c>
      <c r="J14" s="596" t="s">
        <v>437</v>
      </c>
      <c r="K14" s="596" t="s">
        <v>438</v>
      </c>
      <c r="L14" s="596" t="s">
        <v>439</v>
      </c>
      <c r="M14" s="596" t="s">
        <v>202</v>
      </c>
      <c r="N14" s="596" t="s">
        <v>203</v>
      </c>
      <c r="O14" s="596" t="s">
        <v>281</v>
      </c>
      <c r="P14" s="596" t="s">
        <v>376</v>
      </c>
      <c r="Q14" s="596" t="s">
        <v>318</v>
      </c>
      <c r="R14" s="596" t="s">
        <v>319</v>
      </c>
      <c r="X14" s="596" t="s">
        <v>440</v>
      </c>
      <c r="Y14" s="596" t="s">
        <v>441</v>
      </c>
      <c r="Z14" s="596" t="s">
        <v>442</v>
      </c>
      <c r="AA14" s="596" t="s">
        <v>443</v>
      </c>
      <c r="AB14" s="596" t="s">
        <v>187</v>
      </c>
      <c r="AC14" s="596" t="s">
        <v>188</v>
      </c>
      <c r="AD14" s="596" t="s">
        <v>444</v>
      </c>
      <c r="AE14" s="596" t="s">
        <v>445</v>
      </c>
      <c r="AH14" s="596" t="s">
        <v>446</v>
      </c>
      <c r="AI14" s="596" t="s">
        <v>406</v>
      </c>
      <c r="AV14" s="596" t="s">
        <v>447</v>
      </c>
      <c r="AW14" s="596" t="s">
        <v>448</v>
      </c>
      <c r="BL14" s="596" t="s">
        <v>449</v>
      </c>
      <c r="BM14" s="596" t="s">
        <v>450</v>
      </c>
      <c r="BP14" s="596" t="s">
        <v>451</v>
      </c>
      <c r="BQ14" s="596" t="s">
        <v>452</v>
      </c>
      <c r="BR14" s="596" t="s">
        <v>882</v>
      </c>
      <c r="BS14" s="596" t="s">
        <v>882</v>
      </c>
    </row>
    <row r="15" spans="1:72" ht="16">
      <c r="A15" s="596">
        <v>14</v>
      </c>
      <c r="C15" s="597" t="s">
        <v>414</v>
      </c>
      <c r="D15" s="596" t="s">
        <v>415</v>
      </c>
      <c r="E15" s="597" t="s">
        <v>453</v>
      </c>
      <c r="F15" s="597" t="s">
        <v>454</v>
      </c>
      <c r="I15" s="596" t="s">
        <v>455</v>
      </c>
      <c r="J15" s="596" t="s">
        <v>455</v>
      </c>
      <c r="K15" s="596" t="s">
        <v>456</v>
      </c>
      <c r="L15" s="596" t="s">
        <v>457</v>
      </c>
      <c r="M15" s="596" t="s">
        <v>270</v>
      </c>
      <c r="N15" s="596" t="s">
        <v>271</v>
      </c>
      <c r="O15" s="596" t="s">
        <v>458</v>
      </c>
      <c r="P15" s="596" t="s">
        <v>459</v>
      </c>
      <c r="Q15" s="596" t="s">
        <v>460</v>
      </c>
      <c r="R15" s="596" t="s">
        <v>461</v>
      </c>
      <c r="S15" s="596" t="s">
        <v>347</v>
      </c>
      <c r="T15" s="596" t="s">
        <v>348</v>
      </c>
      <c r="X15" s="596" t="s">
        <v>462</v>
      </c>
      <c r="Y15" s="596" t="s">
        <v>463</v>
      </c>
      <c r="AB15" s="596" t="s">
        <v>349</v>
      </c>
      <c r="AC15" s="596" t="s">
        <v>90</v>
      </c>
      <c r="AD15" s="596" t="s">
        <v>464</v>
      </c>
      <c r="AE15" s="596" t="s">
        <v>465</v>
      </c>
      <c r="AH15" s="596" t="s">
        <v>466</v>
      </c>
      <c r="AI15" s="596" t="s">
        <v>467</v>
      </c>
      <c r="BL15" s="596" t="s">
        <v>468</v>
      </c>
      <c r="BM15" s="596" t="s">
        <v>469</v>
      </c>
      <c r="BP15" s="596" t="s">
        <v>470</v>
      </c>
      <c r="BQ15" s="596" t="s">
        <v>470</v>
      </c>
      <c r="BR15" s="596" t="s">
        <v>885</v>
      </c>
      <c r="BS15" s="596" t="s">
        <v>870</v>
      </c>
      <c r="BT15" s="595" t="s">
        <v>872</v>
      </c>
    </row>
    <row r="16" spans="1:72" ht="16">
      <c r="A16" s="596">
        <v>15</v>
      </c>
      <c r="C16" s="597" t="s">
        <v>435</v>
      </c>
      <c r="D16" s="597" t="s">
        <v>436</v>
      </c>
      <c r="E16" s="597" t="s">
        <v>471</v>
      </c>
      <c r="F16" s="597" t="s">
        <v>472</v>
      </c>
      <c r="I16" s="596" t="s">
        <v>473</v>
      </c>
      <c r="J16" s="596" t="s">
        <v>474</v>
      </c>
      <c r="K16" s="596" t="s">
        <v>475</v>
      </c>
      <c r="L16" s="596" t="s">
        <v>476</v>
      </c>
      <c r="M16" s="596" t="s">
        <v>429</v>
      </c>
      <c r="N16" s="596" t="s">
        <v>477</v>
      </c>
      <c r="O16" s="596" t="s">
        <v>458</v>
      </c>
      <c r="P16" s="596" t="s">
        <v>459</v>
      </c>
      <c r="Q16" s="596" t="s">
        <v>208</v>
      </c>
      <c r="R16" s="596" t="s">
        <v>478</v>
      </c>
      <c r="S16" s="596" t="s">
        <v>479</v>
      </c>
      <c r="T16" s="596" t="s">
        <v>480</v>
      </c>
      <c r="X16" s="596" t="s">
        <v>481</v>
      </c>
      <c r="Y16" s="596" t="s">
        <v>482</v>
      </c>
      <c r="Z16" s="596" t="s">
        <v>483</v>
      </c>
      <c r="AA16" s="596" t="s">
        <v>484</v>
      </c>
      <c r="AB16" s="596" t="s">
        <v>485</v>
      </c>
      <c r="AC16" s="596" t="s">
        <v>264</v>
      </c>
      <c r="AD16" s="596" t="s">
        <v>486</v>
      </c>
      <c r="AE16" s="596" t="s">
        <v>487</v>
      </c>
      <c r="BP16" s="596" t="s">
        <v>355</v>
      </c>
      <c r="BQ16" s="596" t="s">
        <v>355</v>
      </c>
      <c r="BR16" s="596" t="s">
        <v>886</v>
      </c>
      <c r="BS16" s="596" t="s">
        <v>871</v>
      </c>
      <c r="BT16" s="595" t="s">
        <v>872</v>
      </c>
    </row>
    <row r="17" spans="1:72">
      <c r="A17" s="596">
        <v>16</v>
      </c>
      <c r="C17" s="597" t="s">
        <v>453</v>
      </c>
      <c r="D17" s="597" t="s">
        <v>454</v>
      </c>
      <c r="E17" s="597" t="s">
        <v>488</v>
      </c>
      <c r="F17" s="597" t="s">
        <v>489</v>
      </c>
      <c r="I17" s="596" t="s">
        <v>39</v>
      </c>
      <c r="J17" s="596" t="s">
        <v>40</v>
      </c>
      <c r="K17" s="596" t="s">
        <v>490</v>
      </c>
      <c r="L17" s="596" t="s">
        <v>491</v>
      </c>
      <c r="M17" s="596" t="s">
        <v>236</v>
      </c>
      <c r="N17" s="596" t="s">
        <v>237</v>
      </c>
      <c r="O17" s="596" t="s">
        <v>492</v>
      </c>
      <c r="P17" s="596" t="s">
        <v>493</v>
      </c>
      <c r="Q17" s="596" t="s">
        <v>494</v>
      </c>
      <c r="R17" s="596" t="s">
        <v>495</v>
      </c>
      <c r="S17" s="596" t="s">
        <v>496</v>
      </c>
      <c r="T17" s="596" t="s">
        <v>497</v>
      </c>
      <c r="X17" s="596" t="s">
        <v>498</v>
      </c>
      <c r="Y17" s="596" t="s">
        <v>499</v>
      </c>
      <c r="Z17" s="596" t="s">
        <v>144</v>
      </c>
      <c r="AA17" s="596" t="s">
        <v>145</v>
      </c>
      <c r="AB17" s="596" t="s">
        <v>68</v>
      </c>
      <c r="AC17" s="596" t="s">
        <v>298</v>
      </c>
      <c r="AD17" s="596" t="s">
        <v>274</v>
      </c>
      <c r="AE17" s="596" t="s">
        <v>275</v>
      </c>
      <c r="AH17" s="596" t="s">
        <v>500</v>
      </c>
      <c r="AI17" s="596" t="s">
        <v>501</v>
      </c>
      <c r="AV17" s="596" t="s">
        <v>502</v>
      </c>
      <c r="AW17" s="596" t="s">
        <v>503</v>
      </c>
      <c r="BL17" s="596" t="s">
        <v>504</v>
      </c>
      <c r="BM17" s="596" t="s">
        <v>505</v>
      </c>
      <c r="BP17" s="596" t="s">
        <v>464</v>
      </c>
      <c r="BQ17" s="601" t="s">
        <v>506</v>
      </c>
    </row>
    <row r="18" spans="1:72">
      <c r="A18" s="596">
        <v>17</v>
      </c>
      <c r="C18" s="597">
        <v>2023</v>
      </c>
      <c r="D18" s="597">
        <v>2023</v>
      </c>
      <c r="E18" s="597" t="s">
        <v>507</v>
      </c>
      <c r="F18" s="597" t="s">
        <v>508</v>
      </c>
      <c r="I18" s="596" t="s">
        <v>509</v>
      </c>
      <c r="J18" s="596" t="s">
        <v>509</v>
      </c>
      <c r="K18" s="596" t="s">
        <v>91</v>
      </c>
      <c r="L18" s="596" t="s">
        <v>92</v>
      </c>
      <c r="M18" s="596" t="s">
        <v>510</v>
      </c>
      <c r="N18" s="596" t="s">
        <v>511</v>
      </c>
      <c r="O18" s="596" t="s">
        <v>104</v>
      </c>
      <c r="P18" s="596" t="s">
        <v>105</v>
      </c>
      <c r="Q18" s="596" t="s">
        <v>385</v>
      </c>
      <c r="R18" s="596" t="s">
        <v>512</v>
      </c>
      <c r="S18" s="596" t="s">
        <v>513</v>
      </c>
      <c r="T18" s="596" t="s">
        <v>514</v>
      </c>
      <c r="X18" s="596" t="s">
        <v>515</v>
      </c>
      <c r="Y18" s="596" t="s">
        <v>516</v>
      </c>
      <c r="Z18" s="596" t="s">
        <v>186</v>
      </c>
      <c r="AA18" s="596" t="s">
        <v>186</v>
      </c>
      <c r="AD18" s="596" t="s">
        <v>517</v>
      </c>
      <c r="AE18" s="596" t="s">
        <v>518</v>
      </c>
      <c r="AH18" s="596" t="s">
        <v>519</v>
      </c>
      <c r="AI18" s="596" t="s">
        <v>520</v>
      </c>
      <c r="AV18" s="596" t="s">
        <v>202</v>
      </c>
      <c r="AW18" s="596" t="s">
        <v>203</v>
      </c>
      <c r="BL18" s="596" t="s">
        <v>521</v>
      </c>
      <c r="BM18" s="596" t="s">
        <v>522</v>
      </c>
      <c r="BP18" s="599" t="s">
        <v>523</v>
      </c>
      <c r="BQ18" s="599" t="s">
        <v>524</v>
      </c>
      <c r="BR18" s="596" t="s">
        <v>887</v>
      </c>
      <c r="BS18" s="596" t="s">
        <v>888</v>
      </c>
    </row>
    <row r="19" spans="1:72">
      <c r="A19" s="596">
        <v>18</v>
      </c>
      <c r="C19" s="597" t="s">
        <v>471</v>
      </c>
      <c r="D19" s="597" t="s">
        <v>472</v>
      </c>
      <c r="E19" s="597" t="s">
        <v>525</v>
      </c>
      <c r="F19" s="597" t="s">
        <v>526</v>
      </c>
      <c r="I19" s="596" t="s">
        <v>527</v>
      </c>
      <c r="J19" s="596" t="s">
        <v>528</v>
      </c>
      <c r="K19" s="596" t="s">
        <v>287</v>
      </c>
      <c r="L19" s="596" t="s">
        <v>288</v>
      </c>
      <c r="M19" s="596" t="s">
        <v>529</v>
      </c>
      <c r="N19" s="596" t="s">
        <v>530</v>
      </c>
      <c r="O19" s="596" t="s">
        <v>531</v>
      </c>
      <c r="P19" s="596" t="s">
        <v>532</v>
      </c>
      <c r="S19" s="596" t="s">
        <v>533</v>
      </c>
      <c r="T19" s="596" t="s">
        <v>534</v>
      </c>
      <c r="X19" s="596" t="s">
        <v>535</v>
      </c>
      <c r="Y19" s="596" t="s">
        <v>536</v>
      </c>
      <c r="Z19" s="596" t="s">
        <v>173</v>
      </c>
      <c r="AA19" s="596" t="s">
        <v>174</v>
      </c>
      <c r="AD19" s="596" t="s">
        <v>537</v>
      </c>
      <c r="AE19" s="596" t="s">
        <v>538</v>
      </c>
      <c r="AH19" s="596" t="s">
        <v>539</v>
      </c>
      <c r="AI19" s="596" t="s">
        <v>540</v>
      </c>
      <c r="AV19" s="596" t="s">
        <v>306</v>
      </c>
      <c r="AW19" s="596" t="s">
        <v>307</v>
      </c>
      <c r="BL19" s="596" t="s">
        <v>541</v>
      </c>
      <c r="BM19" s="596" t="s">
        <v>542</v>
      </c>
      <c r="BP19" s="596" t="s">
        <v>842</v>
      </c>
      <c r="BQ19" s="596" t="s">
        <v>843</v>
      </c>
    </row>
    <row r="20" spans="1:72">
      <c r="A20" s="596">
        <v>19</v>
      </c>
      <c r="C20" s="597" t="s">
        <v>488</v>
      </c>
      <c r="D20" s="597" t="s">
        <v>489</v>
      </c>
      <c r="I20" s="596" t="s">
        <v>543</v>
      </c>
      <c r="J20" s="596" t="s">
        <v>543</v>
      </c>
      <c r="K20" s="596" t="s">
        <v>544</v>
      </c>
      <c r="L20" s="596" t="s">
        <v>545</v>
      </c>
      <c r="M20" s="596" t="s">
        <v>546</v>
      </c>
      <c r="N20" s="596" t="s">
        <v>547</v>
      </c>
      <c r="O20" s="596" t="s">
        <v>548</v>
      </c>
      <c r="P20" s="596" t="s">
        <v>549</v>
      </c>
      <c r="Q20" s="596" t="s">
        <v>550</v>
      </c>
      <c r="R20" s="596" t="s">
        <v>551</v>
      </c>
      <c r="S20" s="596" t="s">
        <v>552</v>
      </c>
      <c r="T20" s="596" t="s">
        <v>553</v>
      </c>
      <c r="X20" s="596" t="s">
        <v>554</v>
      </c>
      <c r="Y20" s="596" t="s">
        <v>555</v>
      </c>
      <c r="Z20" s="596" t="s">
        <v>261</v>
      </c>
      <c r="AA20" s="596" t="s">
        <v>262</v>
      </c>
      <c r="AD20" s="596" t="s">
        <v>100</v>
      </c>
      <c r="AE20" s="596" t="s">
        <v>101</v>
      </c>
      <c r="AH20" s="596" t="s">
        <v>59</v>
      </c>
      <c r="AI20" s="596" t="s">
        <v>174</v>
      </c>
      <c r="AV20" s="596" t="s">
        <v>173</v>
      </c>
      <c r="AW20" s="596" t="s">
        <v>174</v>
      </c>
      <c r="BL20" s="596" t="s">
        <v>556</v>
      </c>
      <c r="BM20" s="596" t="s">
        <v>557</v>
      </c>
      <c r="BP20" s="596" t="s">
        <v>558</v>
      </c>
      <c r="BQ20" s="596" t="s">
        <v>558</v>
      </c>
      <c r="BR20" s="596" t="s">
        <v>874</v>
      </c>
      <c r="BS20" s="596" t="s">
        <v>875</v>
      </c>
      <c r="BT20" s="596" t="s">
        <v>877</v>
      </c>
    </row>
    <row r="21" spans="1:72">
      <c r="A21" s="596">
        <v>20</v>
      </c>
      <c r="C21" s="597" t="s">
        <v>507</v>
      </c>
      <c r="D21" s="597" t="s">
        <v>508</v>
      </c>
      <c r="I21" s="596" t="s">
        <v>559</v>
      </c>
      <c r="J21" s="596" t="s">
        <v>560</v>
      </c>
      <c r="K21" s="596" t="s">
        <v>561</v>
      </c>
      <c r="L21" s="596" t="s">
        <v>562</v>
      </c>
      <c r="M21" s="596" t="s">
        <v>563</v>
      </c>
      <c r="N21" s="596" t="s">
        <v>564</v>
      </c>
      <c r="O21" s="596" t="s">
        <v>565</v>
      </c>
      <c r="P21" s="596" t="s">
        <v>549</v>
      </c>
      <c r="Q21" s="596" t="s">
        <v>566</v>
      </c>
      <c r="R21" s="596" t="s">
        <v>567</v>
      </c>
      <c r="S21" s="596" t="s">
        <v>347</v>
      </c>
      <c r="T21" s="596" t="s">
        <v>348</v>
      </c>
      <c r="Z21" s="596" t="s">
        <v>568</v>
      </c>
      <c r="AA21" s="596" t="s">
        <v>569</v>
      </c>
      <c r="AD21" s="596" t="s">
        <v>483</v>
      </c>
      <c r="AE21" s="596" t="s">
        <v>484</v>
      </c>
      <c r="AH21" s="596" t="s">
        <v>131</v>
      </c>
      <c r="AI21" s="596" t="s">
        <v>132</v>
      </c>
      <c r="AV21" s="596" t="s">
        <v>283</v>
      </c>
      <c r="AW21" s="596" t="s">
        <v>284</v>
      </c>
      <c r="BL21" s="596" t="s">
        <v>570</v>
      </c>
      <c r="BM21" s="596" t="s">
        <v>571</v>
      </c>
      <c r="BP21" s="596" t="s">
        <v>842</v>
      </c>
      <c r="BQ21" s="596" t="s">
        <v>843</v>
      </c>
    </row>
    <row r="22" spans="1:72">
      <c r="A22" s="596">
        <v>21</v>
      </c>
      <c r="C22" s="597" t="s">
        <v>525</v>
      </c>
      <c r="D22" s="597" t="s">
        <v>526</v>
      </c>
      <c r="I22" s="596" t="s">
        <v>572</v>
      </c>
      <c r="J22" s="596" t="s">
        <v>573</v>
      </c>
      <c r="K22" s="596" t="s">
        <v>574</v>
      </c>
      <c r="L22" s="596" t="s">
        <v>575</v>
      </c>
      <c r="M22" s="596" t="s">
        <v>576</v>
      </c>
      <c r="N22" s="596" t="s">
        <v>577</v>
      </c>
      <c r="O22" s="596" t="s">
        <v>578</v>
      </c>
      <c r="P22" s="596" t="s">
        <v>579</v>
      </c>
      <c r="Q22" s="596" t="s">
        <v>561</v>
      </c>
      <c r="R22" s="596" t="s">
        <v>562</v>
      </c>
      <c r="Z22" s="596" t="s">
        <v>580</v>
      </c>
      <c r="AA22" s="596" t="s">
        <v>581</v>
      </c>
      <c r="AD22" s="596" t="s">
        <v>546</v>
      </c>
      <c r="AE22" s="596" t="s">
        <v>547</v>
      </c>
      <c r="AH22" s="596" t="s">
        <v>93</v>
      </c>
      <c r="AI22" s="596" t="s">
        <v>94</v>
      </c>
      <c r="AV22" s="596" t="s">
        <v>261</v>
      </c>
      <c r="AW22" s="596" t="s">
        <v>262</v>
      </c>
      <c r="BP22" s="599" t="s">
        <v>582</v>
      </c>
      <c r="BQ22" s="596" t="s">
        <v>583</v>
      </c>
      <c r="BR22" s="596" t="s">
        <v>711</v>
      </c>
      <c r="BS22" s="596" t="s">
        <v>873</v>
      </c>
      <c r="BT22" s="596" t="s">
        <v>876</v>
      </c>
    </row>
    <row r="23" spans="1:72">
      <c r="A23" s="596">
        <v>22</v>
      </c>
      <c r="C23" s="597">
        <v>2024</v>
      </c>
      <c r="D23" s="597">
        <v>2024</v>
      </c>
      <c r="K23" s="596" t="s">
        <v>584</v>
      </c>
      <c r="L23" s="596" t="s">
        <v>585</v>
      </c>
      <c r="M23" s="596" t="s">
        <v>586</v>
      </c>
      <c r="N23" s="596" t="s">
        <v>587</v>
      </c>
      <c r="O23" s="596" t="s">
        <v>148</v>
      </c>
      <c r="P23" s="596" t="s">
        <v>149</v>
      </c>
      <c r="S23" s="596" t="s">
        <v>588</v>
      </c>
      <c r="T23" s="596" t="s">
        <v>589</v>
      </c>
      <c r="Z23" s="596" t="s">
        <v>129</v>
      </c>
      <c r="AA23" s="596" t="s">
        <v>130</v>
      </c>
      <c r="AD23" s="596" t="s">
        <v>590</v>
      </c>
      <c r="AE23" s="596" t="s">
        <v>591</v>
      </c>
      <c r="AH23" s="596" t="s">
        <v>261</v>
      </c>
      <c r="AI23" s="596" t="s">
        <v>262</v>
      </c>
      <c r="AV23" s="596" t="s">
        <v>347</v>
      </c>
      <c r="AW23" s="596" t="s">
        <v>348</v>
      </c>
      <c r="BL23" s="596" t="s">
        <v>592</v>
      </c>
      <c r="BM23" s="596" t="s">
        <v>593</v>
      </c>
      <c r="BP23" s="596" t="s">
        <v>594</v>
      </c>
      <c r="BQ23" s="596" t="s">
        <v>595</v>
      </c>
      <c r="BR23" s="596" t="s">
        <v>175</v>
      </c>
      <c r="BS23" s="596" t="s">
        <v>176</v>
      </c>
      <c r="BT23" s="596" t="s">
        <v>879</v>
      </c>
    </row>
    <row r="24" spans="1:72">
      <c r="A24" s="596">
        <v>23</v>
      </c>
      <c r="I24" s="596" t="s">
        <v>830</v>
      </c>
      <c r="J24" s="596" t="s">
        <v>850</v>
      </c>
      <c r="K24" s="596" t="s">
        <v>596</v>
      </c>
      <c r="L24" s="1" t="s">
        <v>597</v>
      </c>
      <c r="M24" s="596" t="s">
        <v>590</v>
      </c>
      <c r="N24" s="596" t="s">
        <v>591</v>
      </c>
      <c r="O24" s="596" t="s">
        <v>598</v>
      </c>
      <c r="P24" s="596" t="s">
        <v>599</v>
      </c>
      <c r="Q24" s="596" t="s">
        <v>600</v>
      </c>
      <c r="R24" s="596" t="s">
        <v>601</v>
      </c>
      <c r="S24" s="596" t="s">
        <v>283</v>
      </c>
      <c r="T24" s="596" t="s">
        <v>94</v>
      </c>
      <c r="Z24" s="596" t="s">
        <v>214</v>
      </c>
      <c r="AA24" s="596" t="s">
        <v>215</v>
      </c>
      <c r="AD24" s="596" t="s">
        <v>381</v>
      </c>
      <c r="AE24" s="596" t="s">
        <v>381</v>
      </c>
      <c r="AH24" s="596" t="s">
        <v>347</v>
      </c>
      <c r="AI24" s="596" t="s">
        <v>348</v>
      </c>
      <c r="AV24" s="596" t="s">
        <v>429</v>
      </c>
      <c r="AW24" s="596" t="s">
        <v>430</v>
      </c>
      <c r="BL24" s="596" t="s">
        <v>602</v>
      </c>
      <c r="BM24" s="596" t="s">
        <v>603</v>
      </c>
      <c r="BP24" s="596" t="s">
        <v>87</v>
      </c>
      <c r="BQ24" s="596" t="s">
        <v>88</v>
      </c>
      <c r="BR24" s="596" t="s">
        <v>685</v>
      </c>
      <c r="BS24" s="596" t="s">
        <v>134</v>
      </c>
      <c r="BT24" s="596" t="s">
        <v>880</v>
      </c>
    </row>
    <row r="25" spans="1:72">
      <c r="A25" s="596">
        <v>24</v>
      </c>
      <c r="I25" s="596" t="s">
        <v>831</v>
      </c>
      <c r="J25" s="596" t="s">
        <v>851</v>
      </c>
      <c r="K25" s="596" t="s">
        <v>604</v>
      </c>
      <c r="L25" s="596" t="s">
        <v>605</v>
      </c>
      <c r="M25" s="596" t="s">
        <v>606</v>
      </c>
      <c r="N25" s="596" t="s">
        <v>607</v>
      </c>
      <c r="O25" s="596" t="s">
        <v>608</v>
      </c>
      <c r="P25" s="596" t="s">
        <v>609</v>
      </c>
      <c r="S25" s="596" t="s">
        <v>347</v>
      </c>
      <c r="T25" s="596" t="s">
        <v>348</v>
      </c>
      <c r="Z25" s="596" t="s">
        <v>610</v>
      </c>
      <c r="AA25" s="596" t="s">
        <v>836</v>
      </c>
      <c r="AH25" s="596" t="s">
        <v>389</v>
      </c>
      <c r="AI25" s="596" t="s">
        <v>390</v>
      </c>
      <c r="AV25" s="596" t="s">
        <v>611</v>
      </c>
      <c r="AW25" s="596" t="s">
        <v>612</v>
      </c>
      <c r="BL25" s="596" t="s">
        <v>613</v>
      </c>
      <c r="BM25" s="596" t="s">
        <v>613</v>
      </c>
      <c r="BP25" s="596" t="s">
        <v>173</v>
      </c>
      <c r="BQ25" s="596" t="s">
        <v>614</v>
      </c>
      <c r="BR25" s="596" t="s">
        <v>878</v>
      </c>
      <c r="BS25" s="596" t="s">
        <v>217</v>
      </c>
      <c r="BT25" s="596" t="s">
        <v>890</v>
      </c>
    </row>
    <row r="26" spans="1:72">
      <c r="A26" s="596">
        <v>25</v>
      </c>
      <c r="K26" s="596" t="s">
        <v>615</v>
      </c>
      <c r="L26" s="596" t="s">
        <v>616</v>
      </c>
      <c r="M26" s="596" t="s">
        <v>403</v>
      </c>
      <c r="N26" s="596" t="s">
        <v>617</v>
      </c>
      <c r="O26" s="596" t="s">
        <v>618</v>
      </c>
      <c r="P26" s="596" t="s">
        <v>619</v>
      </c>
      <c r="S26" s="596" t="s">
        <v>620</v>
      </c>
      <c r="T26" s="596" t="s">
        <v>621</v>
      </c>
      <c r="Z26" s="596" t="s">
        <v>281</v>
      </c>
      <c r="AA26" s="596" t="s">
        <v>376</v>
      </c>
      <c r="AH26" s="596" t="s">
        <v>87</v>
      </c>
      <c r="AI26" s="596" t="s">
        <v>88</v>
      </c>
      <c r="BL26" s="596" t="s">
        <v>622</v>
      </c>
      <c r="BM26" s="596" t="s">
        <v>623</v>
      </c>
      <c r="BR26" s="596" t="s">
        <v>81</v>
      </c>
      <c r="BS26" s="596" t="s">
        <v>82</v>
      </c>
    </row>
    <row r="27" spans="1:72">
      <c r="A27" s="596">
        <v>26</v>
      </c>
      <c r="I27" s="596" t="s">
        <v>891</v>
      </c>
      <c r="J27" s="596" t="s">
        <v>892</v>
      </c>
      <c r="K27" s="596" t="s">
        <v>624</v>
      </c>
      <c r="L27" s="596" t="s">
        <v>625</v>
      </c>
      <c r="M27" s="596" t="s">
        <v>584</v>
      </c>
      <c r="N27" s="596" t="s">
        <v>587</v>
      </c>
      <c r="O27" s="596" t="s">
        <v>626</v>
      </c>
      <c r="P27" s="596" t="s">
        <v>627</v>
      </c>
      <c r="Q27" s="596" t="s">
        <v>628</v>
      </c>
      <c r="R27" s="596" t="s">
        <v>178</v>
      </c>
      <c r="Z27" s="596" t="s">
        <v>629</v>
      </c>
      <c r="AA27" s="596" t="s">
        <v>630</v>
      </c>
      <c r="AH27" s="596" t="s">
        <v>358</v>
      </c>
      <c r="AI27" s="596" t="s">
        <v>359</v>
      </c>
      <c r="AV27" s="596" t="s">
        <v>631</v>
      </c>
      <c r="AW27" s="596" t="s">
        <v>632</v>
      </c>
      <c r="BP27" s="596" t="s">
        <v>633</v>
      </c>
      <c r="BQ27" s="596" t="s">
        <v>634</v>
      </c>
    </row>
    <row r="28" spans="1:72">
      <c r="A28" s="596">
        <v>27</v>
      </c>
      <c r="K28" s="596" t="s">
        <v>635</v>
      </c>
      <c r="L28" s="596" t="s">
        <v>636</v>
      </c>
      <c r="O28" s="596" t="s">
        <v>637</v>
      </c>
      <c r="P28" s="596" t="s">
        <v>638</v>
      </c>
      <c r="Q28" s="596" t="s">
        <v>639</v>
      </c>
      <c r="R28" s="596" t="s">
        <v>640</v>
      </c>
      <c r="S28" s="596" t="s">
        <v>641</v>
      </c>
      <c r="T28" s="596" t="s">
        <v>642</v>
      </c>
      <c r="Z28" s="596" t="s">
        <v>247</v>
      </c>
      <c r="AA28" s="596" t="s">
        <v>248</v>
      </c>
      <c r="AH28" s="596" t="s">
        <v>387</v>
      </c>
      <c r="AI28" s="596" t="s">
        <v>388</v>
      </c>
      <c r="AV28" s="596" t="s">
        <v>236</v>
      </c>
      <c r="AW28" s="596" t="s">
        <v>237</v>
      </c>
      <c r="BL28" s="596" t="s">
        <v>28</v>
      </c>
      <c r="BM28" s="596" t="s">
        <v>28</v>
      </c>
      <c r="BP28" s="596" t="s">
        <v>403</v>
      </c>
      <c r="BQ28" s="596" t="s">
        <v>404</v>
      </c>
    </row>
    <row r="29" spans="1:72">
      <c r="A29" s="596">
        <v>28</v>
      </c>
      <c r="K29" s="596" t="s">
        <v>643</v>
      </c>
      <c r="L29" s="596" t="s">
        <v>644</v>
      </c>
      <c r="O29" s="596" t="s">
        <v>645</v>
      </c>
      <c r="P29" s="596" t="s">
        <v>646</v>
      </c>
      <c r="Q29" s="596" t="s">
        <v>647</v>
      </c>
      <c r="R29" s="596" t="s">
        <v>567</v>
      </c>
      <c r="S29" s="596" t="s">
        <v>620</v>
      </c>
      <c r="T29" s="596" t="s">
        <v>648</v>
      </c>
      <c r="Z29" s="596" t="s">
        <v>649</v>
      </c>
      <c r="AA29" s="596" t="s">
        <v>650</v>
      </c>
      <c r="AH29" s="596" t="s">
        <v>446</v>
      </c>
      <c r="AI29" s="596" t="s">
        <v>406</v>
      </c>
      <c r="AV29" s="596" t="s">
        <v>306</v>
      </c>
      <c r="AW29" s="596" t="s">
        <v>307</v>
      </c>
      <c r="BL29" s="596" t="s">
        <v>492</v>
      </c>
      <c r="BM29" s="596" t="s">
        <v>459</v>
      </c>
      <c r="BR29" s="596" t="s">
        <v>864</v>
      </c>
      <c r="BS29" s="596" t="s">
        <v>865</v>
      </c>
    </row>
    <row r="30" spans="1:72">
      <c r="A30" s="596">
        <v>29</v>
      </c>
      <c r="K30" s="596" t="s">
        <v>651</v>
      </c>
      <c r="L30" s="596" t="s">
        <v>652</v>
      </c>
      <c r="O30" s="596" t="s">
        <v>653</v>
      </c>
      <c r="P30" s="596" t="s">
        <v>654</v>
      </c>
      <c r="Q30" s="596" t="s">
        <v>655</v>
      </c>
      <c r="R30" s="596" t="s">
        <v>219</v>
      </c>
      <c r="S30" s="596" t="s">
        <v>656</v>
      </c>
      <c r="T30" s="596" t="s">
        <v>657</v>
      </c>
      <c r="AH30" s="596" t="s">
        <v>658</v>
      </c>
      <c r="AI30" s="596" t="s">
        <v>659</v>
      </c>
      <c r="AV30" s="596" t="s">
        <v>173</v>
      </c>
      <c r="AW30" s="596" t="s">
        <v>174</v>
      </c>
      <c r="BL30" s="596" t="s">
        <v>578</v>
      </c>
      <c r="BM30" s="596" t="s">
        <v>660</v>
      </c>
      <c r="BP30" s="596" t="s">
        <v>146</v>
      </c>
      <c r="BQ30" s="596" t="s">
        <v>147</v>
      </c>
      <c r="BR30" s="596" t="s">
        <v>868</v>
      </c>
      <c r="BS30" s="596" t="s">
        <v>869</v>
      </c>
    </row>
    <row r="31" spans="1:72">
      <c r="A31" s="596">
        <v>30</v>
      </c>
      <c r="K31" s="596" t="s">
        <v>661</v>
      </c>
      <c r="L31" s="596" t="s">
        <v>662</v>
      </c>
      <c r="O31" s="596" t="s">
        <v>59</v>
      </c>
      <c r="P31" s="596" t="s">
        <v>60</v>
      </c>
      <c r="Q31" s="596" t="s">
        <v>81</v>
      </c>
      <c r="R31" s="596" t="s">
        <v>82</v>
      </c>
      <c r="S31" s="596" t="s">
        <v>186</v>
      </c>
      <c r="T31" s="596" t="s">
        <v>186</v>
      </c>
      <c r="Z31" s="596" t="s">
        <v>663</v>
      </c>
      <c r="AA31" s="596" t="s">
        <v>664</v>
      </c>
      <c r="AV31" s="596" t="s">
        <v>283</v>
      </c>
      <c r="AW31" s="596" t="s">
        <v>284</v>
      </c>
      <c r="BL31" s="596" t="s">
        <v>665</v>
      </c>
      <c r="BM31" s="596" t="s">
        <v>666</v>
      </c>
      <c r="BP31" s="596" t="s">
        <v>606</v>
      </c>
      <c r="BQ31" s="596" t="s">
        <v>607</v>
      </c>
    </row>
    <row r="32" spans="1:72">
      <c r="A32" s="596">
        <v>31</v>
      </c>
      <c r="K32" s="596" t="s">
        <v>667</v>
      </c>
      <c r="L32" s="596" t="s">
        <v>668</v>
      </c>
      <c r="O32" s="596" t="s">
        <v>59</v>
      </c>
      <c r="P32" s="596" t="s">
        <v>60</v>
      </c>
      <c r="S32" s="596" t="s">
        <v>173</v>
      </c>
      <c r="T32" s="596" t="s">
        <v>174</v>
      </c>
      <c r="Z32" s="596" t="s">
        <v>669</v>
      </c>
      <c r="AA32" s="596" t="s">
        <v>670</v>
      </c>
      <c r="AH32" s="596" t="s">
        <v>671</v>
      </c>
      <c r="AI32" s="596" t="s">
        <v>671</v>
      </c>
      <c r="AV32" s="596" t="s">
        <v>261</v>
      </c>
      <c r="AW32" s="596" t="s">
        <v>262</v>
      </c>
    </row>
    <row r="33" spans="1:69">
      <c r="A33" s="596">
        <v>32</v>
      </c>
      <c r="K33" s="596" t="s">
        <v>672</v>
      </c>
      <c r="L33" s="596" t="s">
        <v>673</v>
      </c>
      <c r="O33" s="596" t="s">
        <v>674</v>
      </c>
      <c r="P33" s="596" t="s">
        <v>90</v>
      </c>
      <c r="Q33" s="596" t="s">
        <v>675</v>
      </c>
      <c r="R33" s="596" t="s">
        <v>676</v>
      </c>
      <c r="S33" s="596" t="s">
        <v>261</v>
      </c>
      <c r="T33" s="596" t="s">
        <v>262</v>
      </c>
      <c r="Z33" s="596" t="s">
        <v>677</v>
      </c>
      <c r="AA33" s="596" t="s">
        <v>678</v>
      </c>
      <c r="AV33" s="596" t="s">
        <v>347</v>
      </c>
      <c r="AW33" s="596" t="s">
        <v>348</v>
      </c>
      <c r="BL33" s="596" t="s">
        <v>679</v>
      </c>
      <c r="BM33" s="596" t="s">
        <v>680</v>
      </c>
      <c r="BP33" s="596" t="s">
        <v>681</v>
      </c>
      <c r="BQ33" s="596" t="s">
        <v>682</v>
      </c>
    </row>
    <row r="34" spans="1:69">
      <c r="A34" s="596">
        <v>33</v>
      </c>
      <c r="K34" s="596" t="s">
        <v>683</v>
      </c>
      <c r="L34" s="596" t="s">
        <v>684</v>
      </c>
      <c r="O34" s="596" t="s">
        <v>685</v>
      </c>
      <c r="P34" s="596" t="s">
        <v>134</v>
      </c>
      <c r="Q34" s="596" t="s">
        <v>686</v>
      </c>
      <c r="R34" s="596" t="s">
        <v>687</v>
      </c>
      <c r="S34" s="596" t="s">
        <v>620</v>
      </c>
      <c r="T34" s="596" t="s">
        <v>648</v>
      </c>
      <c r="Z34" s="596" t="s">
        <v>146</v>
      </c>
      <c r="AA34" s="596" t="s">
        <v>147</v>
      </c>
      <c r="AV34" s="596" t="s">
        <v>429</v>
      </c>
      <c r="AW34" s="596" t="s">
        <v>430</v>
      </c>
      <c r="BL34" s="596" t="s">
        <v>688</v>
      </c>
      <c r="BM34" s="596" t="s">
        <v>688</v>
      </c>
      <c r="BP34" s="596" t="s">
        <v>429</v>
      </c>
      <c r="BQ34" s="596" t="s">
        <v>477</v>
      </c>
    </row>
    <row r="35" spans="1:69">
      <c r="A35" s="596">
        <v>34</v>
      </c>
      <c r="K35" s="596" t="s">
        <v>689</v>
      </c>
      <c r="L35" s="596" t="s">
        <v>690</v>
      </c>
      <c r="O35" s="596" t="s">
        <v>175</v>
      </c>
      <c r="P35" s="596" t="s">
        <v>176</v>
      </c>
      <c r="Q35" s="596" t="s">
        <v>691</v>
      </c>
      <c r="S35" s="596" t="s">
        <v>692</v>
      </c>
      <c r="T35" s="596" t="s">
        <v>693</v>
      </c>
      <c r="Z35" s="596" t="s">
        <v>694</v>
      </c>
      <c r="AA35" s="596" t="s">
        <v>695</v>
      </c>
      <c r="AV35" s="596" t="s">
        <v>696</v>
      </c>
      <c r="AW35" s="596" t="s">
        <v>697</v>
      </c>
      <c r="BL35" s="596" t="s">
        <v>698</v>
      </c>
      <c r="BM35" s="596" t="s">
        <v>699</v>
      </c>
      <c r="BP35" s="596" t="s">
        <v>700</v>
      </c>
      <c r="BQ35" s="596" t="s">
        <v>701</v>
      </c>
    </row>
    <row r="36" spans="1:69">
      <c r="A36" s="596">
        <v>35</v>
      </c>
      <c r="K36" s="596" t="s">
        <v>702</v>
      </c>
      <c r="L36" s="596" t="s">
        <v>703</v>
      </c>
      <c r="O36" s="596" t="s">
        <v>216</v>
      </c>
      <c r="P36" s="596" t="s">
        <v>217</v>
      </c>
      <c r="Q36" s="596" t="s">
        <v>704</v>
      </c>
      <c r="Z36" s="596" t="s">
        <v>705</v>
      </c>
      <c r="AA36" s="596" t="s">
        <v>706</v>
      </c>
      <c r="BL36" s="596" t="s">
        <v>707</v>
      </c>
      <c r="BM36" s="596" t="s">
        <v>708</v>
      </c>
      <c r="BP36" s="596" t="s">
        <v>546</v>
      </c>
      <c r="BQ36" s="596" t="s">
        <v>591</v>
      </c>
    </row>
    <row r="37" spans="1:69">
      <c r="A37" s="596">
        <v>36</v>
      </c>
      <c r="K37" s="596" t="s">
        <v>709</v>
      </c>
      <c r="L37" s="596" t="s">
        <v>710</v>
      </c>
      <c r="O37" s="596" t="s">
        <v>711</v>
      </c>
      <c r="P37" s="596" t="s">
        <v>252</v>
      </c>
      <c r="Q37" s="596" t="s">
        <v>712</v>
      </c>
      <c r="Z37" s="596" t="s">
        <v>713</v>
      </c>
      <c r="AA37" s="596" t="s">
        <v>714</v>
      </c>
      <c r="AV37" s="596" t="s">
        <v>715</v>
      </c>
      <c r="AW37" s="596" t="s">
        <v>716</v>
      </c>
      <c r="BL37" s="596" t="s">
        <v>717</v>
      </c>
      <c r="BM37" s="596" t="s">
        <v>718</v>
      </c>
    </row>
    <row r="38" spans="1:69">
      <c r="A38" s="596">
        <v>37</v>
      </c>
      <c r="K38" s="596" t="s">
        <v>719</v>
      </c>
      <c r="L38" s="596" t="s">
        <v>720</v>
      </c>
      <c r="O38" s="596" t="s">
        <v>285</v>
      </c>
      <c r="P38" s="596" t="s">
        <v>286</v>
      </c>
      <c r="S38" s="596" t="s">
        <v>721</v>
      </c>
      <c r="T38" s="596" t="s">
        <v>346</v>
      </c>
      <c r="BL38" s="596" t="s">
        <v>722</v>
      </c>
      <c r="BM38" s="596" t="s">
        <v>722</v>
      </c>
      <c r="BP38" s="596" t="s">
        <v>584</v>
      </c>
      <c r="BQ38" s="596" t="s">
        <v>587</v>
      </c>
    </row>
    <row r="39" spans="1:69">
      <c r="A39" s="596">
        <v>38</v>
      </c>
      <c r="O39" s="596" t="s">
        <v>129</v>
      </c>
      <c r="P39" s="596" t="s">
        <v>130</v>
      </c>
      <c r="S39" s="596" t="s">
        <v>724</v>
      </c>
      <c r="T39" s="596" t="s">
        <v>723</v>
      </c>
      <c r="BL39" s="596" t="s">
        <v>846</v>
      </c>
      <c r="BM39" s="596" t="s">
        <v>848</v>
      </c>
      <c r="BP39" s="599" t="s">
        <v>590</v>
      </c>
      <c r="BQ39" s="596" t="s">
        <v>725</v>
      </c>
    </row>
    <row r="40" spans="1:69">
      <c r="A40" s="596">
        <v>39</v>
      </c>
      <c r="O40" s="596" t="s">
        <v>726</v>
      </c>
      <c r="P40" s="596" t="s">
        <v>727</v>
      </c>
      <c r="S40" s="596" t="s">
        <v>729</v>
      </c>
      <c r="T40" s="596" t="s">
        <v>728</v>
      </c>
      <c r="BL40" s="596" t="s">
        <v>847</v>
      </c>
      <c r="BM40" s="596" t="s">
        <v>849</v>
      </c>
    </row>
    <row r="41" spans="1:69">
      <c r="A41" s="596">
        <v>40</v>
      </c>
      <c r="O41" s="596" t="s">
        <v>730</v>
      </c>
      <c r="P41" s="596" t="s">
        <v>82</v>
      </c>
      <c r="BP41" s="596" t="s">
        <v>731</v>
      </c>
      <c r="BQ41" s="596" t="s">
        <v>732</v>
      </c>
    </row>
    <row r="42" spans="1:69">
      <c r="A42" s="596">
        <v>41</v>
      </c>
      <c r="O42" s="596" t="s">
        <v>87</v>
      </c>
      <c r="P42" s="596" t="s">
        <v>88</v>
      </c>
      <c r="BP42" s="596" t="s">
        <v>57</v>
      </c>
      <c r="BQ42" s="596" t="s">
        <v>58</v>
      </c>
    </row>
    <row r="43" spans="1:69">
      <c r="O43" s="596" t="s">
        <v>131</v>
      </c>
      <c r="P43" s="596" t="s">
        <v>132</v>
      </c>
      <c r="BP43" s="596" t="s">
        <v>733</v>
      </c>
      <c r="BQ43" s="596" t="s">
        <v>734</v>
      </c>
    </row>
    <row r="44" spans="1:69">
      <c r="O44" s="596" t="s">
        <v>173</v>
      </c>
      <c r="P44" s="596" t="s">
        <v>174</v>
      </c>
      <c r="BP44" s="596" t="s">
        <v>438</v>
      </c>
      <c r="BQ44" s="596" t="s">
        <v>439</v>
      </c>
    </row>
    <row r="45" spans="1:69">
      <c r="O45" s="596" t="s">
        <v>316</v>
      </c>
      <c r="P45" s="596" t="s">
        <v>735</v>
      </c>
      <c r="BP45" s="596" t="s">
        <v>456</v>
      </c>
      <c r="BQ45" s="596" t="s">
        <v>457</v>
      </c>
    </row>
    <row r="47" spans="1:69">
      <c r="BP47" s="596" t="s">
        <v>709</v>
      </c>
      <c r="BQ47" s="596" t="s">
        <v>710</v>
      </c>
    </row>
    <row r="48" spans="1:69">
      <c r="BP48" s="596" t="s">
        <v>318</v>
      </c>
      <c r="BQ48" s="596" t="s">
        <v>319</v>
      </c>
    </row>
    <row r="49" spans="15:69">
      <c r="BP49" s="596" t="s">
        <v>624</v>
      </c>
      <c r="BQ49" s="596" t="s">
        <v>625</v>
      </c>
    </row>
    <row r="50" spans="15:69">
      <c r="O50" s="596" t="s">
        <v>87</v>
      </c>
      <c r="P50" s="596" t="s">
        <v>88</v>
      </c>
      <c r="BP50" s="596" t="s">
        <v>643</v>
      </c>
      <c r="BQ50" s="596" t="s">
        <v>644</v>
      </c>
    </row>
    <row r="51" spans="15:69">
      <c r="O51" s="596" t="s">
        <v>628</v>
      </c>
      <c r="P51" s="596" t="s">
        <v>178</v>
      </c>
      <c r="BP51" s="596" t="s">
        <v>635</v>
      </c>
      <c r="BQ51" s="596" t="s">
        <v>736</v>
      </c>
    </row>
    <row r="52" spans="15:69">
      <c r="O52" s="596" t="s">
        <v>639</v>
      </c>
      <c r="P52" s="596" t="s">
        <v>640</v>
      </c>
    </row>
    <row r="53" spans="15:69">
      <c r="O53" s="596" t="s">
        <v>737</v>
      </c>
      <c r="P53" s="596" t="s">
        <v>567</v>
      </c>
      <c r="BP53" s="596" t="s">
        <v>76</v>
      </c>
      <c r="BQ53" s="596" t="s">
        <v>738</v>
      </c>
    </row>
    <row r="54" spans="15:69">
      <c r="O54" s="596" t="s">
        <v>739</v>
      </c>
      <c r="P54" s="596" t="s">
        <v>219</v>
      </c>
    </row>
    <row r="55" spans="15:69">
      <c r="O55" s="596" t="s">
        <v>730</v>
      </c>
      <c r="P55" s="596" t="s">
        <v>82</v>
      </c>
      <c r="BP55" s="596" t="s">
        <v>740</v>
      </c>
      <c r="BQ55" s="596" t="s">
        <v>740</v>
      </c>
    </row>
    <row r="56" spans="15:69">
      <c r="O56" s="596" t="s">
        <v>131</v>
      </c>
      <c r="P56" s="596" t="s">
        <v>132</v>
      </c>
      <c r="BP56" s="596" t="s">
        <v>741</v>
      </c>
      <c r="BQ56" s="596" t="s">
        <v>742</v>
      </c>
    </row>
    <row r="57" spans="15:69">
      <c r="O57" s="596" t="s">
        <v>743</v>
      </c>
      <c r="P57" s="596" t="s">
        <v>744</v>
      </c>
      <c r="BP57" s="596" t="s">
        <v>745</v>
      </c>
      <c r="BQ57" s="596" t="s">
        <v>745</v>
      </c>
    </row>
    <row r="58" spans="15:69">
      <c r="O58" s="596" t="s">
        <v>746</v>
      </c>
      <c r="P58" s="596" t="s">
        <v>747</v>
      </c>
      <c r="BP58" s="596" t="s">
        <v>748</v>
      </c>
      <c r="BQ58" s="596" t="s">
        <v>749</v>
      </c>
    </row>
    <row r="59" spans="15:69">
      <c r="O59" s="596" t="s">
        <v>750</v>
      </c>
      <c r="P59" s="596" t="s">
        <v>751</v>
      </c>
    </row>
    <row r="60" spans="15:69">
      <c r="O60" s="596" t="s">
        <v>752</v>
      </c>
      <c r="P60" s="596" t="s">
        <v>753</v>
      </c>
      <c r="BP60" s="596" t="s">
        <v>754</v>
      </c>
      <c r="BQ60" s="596" t="s">
        <v>755</v>
      </c>
    </row>
    <row r="61" spans="15:69">
      <c r="O61" s="596" t="s">
        <v>756</v>
      </c>
      <c r="P61" s="596" t="s">
        <v>757</v>
      </c>
    </row>
    <row r="62" spans="15:69">
      <c r="O62" s="596" t="s">
        <v>758</v>
      </c>
      <c r="P62" s="596" t="s">
        <v>759</v>
      </c>
    </row>
    <row r="63" spans="15:69">
      <c r="O63" s="596" t="s">
        <v>760</v>
      </c>
      <c r="P63" s="596" t="s">
        <v>761</v>
      </c>
      <c r="BP63" s="596" t="s">
        <v>89</v>
      </c>
      <c r="BQ63" s="596" t="s">
        <v>90</v>
      </c>
    </row>
    <row r="64" spans="15:69">
      <c r="O64" s="596" t="s">
        <v>762</v>
      </c>
      <c r="P64" s="596" t="s">
        <v>763</v>
      </c>
      <c r="BP64" s="596" t="s">
        <v>764</v>
      </c>
      <c r="BQ64" s="596" t="s">
        <v>765</v>
      </c>
    </row>
    <row r="65" spans="15:16">
      <c r="O65" s="596" t="s">
        <v>766</v>
      </c>
      <c r="P65" s="596" t="s">
        <v>767</v>
      </c>
    </row>
    <row r="66" spans="15:16">
      <c r="O66" s="596" t="s">
        <v>768</v>
      </c>
      <c r="P66" s="596" t="s">
        <v>769</v>
      </c>
    </row>
    <row r="67" spans="15:16">
      <c r="O67" s="596" t="s">
        <v>770</v>
      </c>
      <c r="P67" s="596" t="s">
        <v>771</v>
      </c>
    </row>
    <row r="69" spans="15:16">
      <c r="O69" s="596" t="s">
        <v>772</v>
      </c>
      <c r="P69" s="596" t="s">
        <v>773</v>
      </c>
    </row>
    <row r="70" spans="15:16">
      <c r="O70" s="596" t="s">
        <v>772</v>
      </c>
      <c r="P70" s="596" t="s">
        <v>773</v>
      </c>
    </row>
    <row r="71" spans="15:16">
      <c r="O71" s="596" t="s">
        <v>774</v>
      </c>
      <c r="P71" s="596" t="s">
        <v>775</v>
      </c>
    </row>
    <row r="72" spans="15:16">
      <c r="O72" s="596" t="s">
        <v>133</v>
      </c>
      <c r="P72" s="596" t="s">
        <v>134</v>
      </c>
    </row>
    <row r="73" spans="15:16">
      <c r="O73" s="596" t="s">
        <v>776</v>
      </c>
      <c r="P73" s="596" t="s">
        <v>777</v>
      </c>
    </row>
    <row r="74" spans="15:16">
      <c r="O74" s="596" t="s">
        <v>778</v>
      </c>
      <c r="P74" s="596" t="s">
        <v>779</v>
      </c>
    </row>
    <row r="75" spans="15:16">
      <c r="O75" s="596" t="s">
        <v>175</v>
      </c>
      <c r="P75" s="596" t="s">
        <v>176</v>
      </c>
    </row>
    <row r="76" spans="15:16">
      <c r="O76" s="596" t="s">
        <v>780</v>
      </c>
      <c r="P76" s="596" t="s">
        <v>781</v>
      </c>
    </row>
    <row r="77" spans="15:16">
      <c r="O77" s="596" t="s">
        <v>216</v>
      </c>
      <c r="P77" s="596" t="s">
        <v>217</v>
      </c>
    </row>
    <row r="78" spans="15:16">
      <c r="O78" s="596" t="s">
        <v>711</v>
      </c>
      <c r="P78" s="596" t="s">
        <v>252</v>
      </c>
    </row>
    <row r="79" spans="15:16">
      <c r="O79" s="596" t="s">
        <v>285</v>
      </c>
      <c r="P79" s="596" t="s">
        <v>286</v>
      </c>
    </row>
    <row r="80" spans="15:16">
      <c r="O80" s="596" t="s">
        <v>316</v>
      </c>
      <c r="P80" s="596" t="s">
        <v>317</v>
      </c>
    </row>
    <row r="82" spans="15:16">
      <c r="O82" s="596" t="s">
        <v>782</v>
      </c>
      <c r="P82" s="596" t="s">
        <v>783</v>
      </c>
    </row>
    <row r="83" spans="15:16">
      <c r="O83" s="596" t="s">
        <v>784</v>
      </c>
      <c r="P83" s="596" t="s">
        <v>785</v>
      </c>
    </row>
    <row r="84" spans="15:16">
      <c r="O84" s="596" t="s">
        <v>786</v>
      </c>
      <c r="P84" s="596" t="s">
        <v>787</v>
      </c>
    </row>
    <row r="85" spans="15:16">
      <c r="O85" s="596" t="s">
        <v>788</v>
      </c>
      <c r="P85" s="596" t="s">
        <v>789</v>
      </c>
    </row>
    <row r="86" spans="15:16">
      <c r="O86" s="596" t="s">
        <v>790</v>
      </c>
      <c r="P86" s="596" t="s">
        <v>791</v>
      </c>
    </row>
    <row r="87" spans="15:16">
      <c r="O87" s="596" t="s">
        <v>792</v>
      </c>
      <c r="P87" s="596" t="s">
        <v>793</v>
      </c>
    </row>
    <row r="88" spans="15:16">
      <c r="O88" s="596" t="s">
        <v>794</v>
      </c>
      <c r="P88" s="596" t="s">
        <v>795</v>
      </c>
    </row>
    <row r="89" spans="15:16">
      <c r="O89" s="596" t="s">
        <v>796</v>
      </c>
      <c r="P89" s="596" t="s">
        <v>797</v>
      </c>
    </row>
    <row r="91" spans="15:16">
      <c r="O91" s="596" t="s">
        <v>798</v>
      </c>
      <c r="P91" s="596" t="s">
        <v>799</v>
      </c>
    </row>
    <row r="92" spans="15:16">
      <c r="O92" s="596" t="s">
        <v>133</v>
      </c>
      <c r="P92" s="596" t="s">
        <v>134</v>
      </c>
    </row>
    <row r="93" spans="15:16">
      <c r="O93" s="596" t="s">
        <v>175</v>
      </c>
      <c r="P93" s="596" t="s">
        <v>176</v>
      </c>
    </row>
    <row r="94" spans="15:16">
      <c r="O94" s="596" t="s">
        <v>216</v>
      </c>
      <c r="P94" s="596" t="s">
        <v>217</v>
      </c>
    </row>
    <row r="95" spans="15:16">
      <c r="O95" s="596" t="s">
        <v>800</v>
      </c>
      <c r="P95" s="596" t="s">
        <v>801</v>
      </c>
    </row>
    <row r="96" spans="15:16">
      <c r="O96" s="596" t="s">
        <v>251</v>
      </c>
      <c r="P96" s="596" t="s">
        <v>252</v>
      </c>
    </row>
    <row r="97" spans="15:16">
      <c r="O97" s="596" t="s">
        <v>802</v>
      </c>
      <c r="P97" s="596" t="s">
        <v>803</v>
      </c>
    </row>
    <row r="98" spans="15:16">
      <c r="O98" s="596" t="s">
        <v>285</v>
      </c>
      <c r="P98" s="596" t="s">
        <v>286</v>
      </c>
    </row>
    <row r="99" spans="15:16">
      <c r="O99" s="596" t="s">
        <v>316</v>
      </c>
      <c r="P99" s="596" t="s">
        <v>317</v>
      </c>
    </row>
    <row r="101" spans="15:16">
      <c r="O101" s="596" t="s">
        <v>804</v>
      </c>
      <c r="P101" s="596" t="s">
        <v>805</v>
      </c>
    </row>
    <row r="102" spans="15:16">
      <c r="O102" s="596" t="s">
        <v>806</v>
      </c>
      <c r="P102" s="596" t="s">
        <v>807</v>
      </c>
    </row>
    <row r="103" spans="15:16">
      <c r="O103" s="596" t="s">
        <v>808</v>
      </c>
      <c r="P103" s="596" t="s">
        <v>809</v>
      </c>
    </row>
    <row r="105" spans="15:16">
      <c r="O105" s="596" t="s">
        <v>810</v>
      </c>
      <c r="P105" s="596" t="s">
        <v>666</v>
      </c>
    </row>
    <row r="106" spans="15:16">
      <c r="O106" s="596" t="s">
        <v>811</v>
      </c>
      <c r="P106" s="596" t="s">
        <v>812</v>
      </c>
    </row>
    <row r="107" spans="15:16">
      <c r="O107" s="596" t="s">
        <v>813</v>
      </c>
      <c r="P107" s="596" t="s">
        <v>814</v>
      </c>
    </row>
    <row r="108" spans="15:16">
      <c r="O108" s="596" t="s">
        <v>815</v>
      </c>
      <c r="P108" s="596" t="s">
        <v>816</v>
      </c>
    </row>
  </sheetData>
  <sheetProtection algorithmName="SHA-512" hashValue="EcZ/XALBbL5+AlCH987I5QK9SRI+vcKTMDFTJz9svWzuQaU9220Mvk1CcbuiYTCcIg22Tij6gxl84uZx8P0P/A==" saltValue="ASv/axJTNBdsdbqp6pnTYg==" spinCount="100000" sheet="1" scenarios="1" selectLockedCells="1" selectUnlockedCells="1"/>
  <phoneticPr fontId="6" type="noConversion"/>
  <hyperlinks>
    <hyperlink ref="AR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35"/>
  <sheetViews>
    <sheetView showGridLines="0" tabSelected="1" zoomScaleNormal="100" workbookViewId="0"/>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2" style="8" customWidth="1"/>
    <col min="8" max="8" width="45.33203125" style="8" customWidth="1"/>
    <col min="9" max="9" width="3.83203125" style="155" customWidth="1"/>
    <col min="10" max="10" width="1.1640625" style="8" customWidth="1"/>
    <col min="11" max="11" width="48" style="8" customWidth="1"/>
    <col min="12" max="12" width="4.83203125" style="8" customWidth="1"/>
    <col min="13" max="16384" width="10.83203125" style="8"/>
  </cols>
  <sheetData>
    <row r="1" spans="1:12" ht="10" customHeight="1">
      <c r="A1" s="127"/>
      <c r="B1" s="127"/>
      <c r="C1" s="127"/>
      <c r="D1" s="127"/>
      <c r="E1" s="127"/>
      <c r="F1" s="128"/>
      <c r="G1" s="128"/>
      <c r="H1" s="127"/>
      <c r="I1" s="129"/>
      <c r="J1" s="128"/>
    </row>
    <row r="2" spans="1:12" ht="11" customHeight="1">
      <c r="A2" s="127"/>
      <c r="B2" s="140"/>
      <c r="C2" s="130"/>
      <c r="D2" s="130"/>
      <c r="E2" s="130"/>
      <c r="F2" s="130"/>
      <c r="G2" s="130"/>
      <c r="H2" s="130"/>
      <c r="I2" s="131"/>
      <c r="J2" s="130"/>
      <c r="K2" s="130"/>
      <c r="L2" s="132"/>
    </row>
    <row r="3" spans="1:12" ht="22" customHeight="1">
      <c r="A3" s="127"/>
      <c r="B3" s="140"/>
      <c r="C3" s="130"/>
      <c r="D3" s="629"/>
      <c r="E3" s="146"/>
      <c r="F3" s="130"/>
      <c r="G3" s="131"/>
      <c r="H3" s="130"/>
      <c r="I3" s="133"/>
      <c r="J3" s="25"/>
      <c r="K3" s="25"/>
      <c r="L3" s="132"/>
    </row>
    <row r="4" spans="1:12" ht="15" customHeight="1">
      <c r="A4" s="127"/>
      <c r="B4" s="140"/>
      <c r="C4" s="130"/>
      <c r="D4" s="130"/>
      <c r="E4" s="130"/>
      <c r="F4" s="134"/>
      <c r="G4" s="134"/>
      <c r="H4" s="134"/>
      <c r="I4" s="135"/>
      <c r="J4" s="134"/>
      <c r="K4" s="134"/>
      <c r="L4" s="132"/>
    </row>
    <row r="5" spans="1:12" ht="9" customHeight="1">
      <c r="A5" s="127"/>
      <c r="B5" s="140"/>
      <c r="C5" s="130"/>
      <c r="D5" s="146"/>
      <c r="E5" s="130"/>
      <c r="F5" s="134"/>
      <c r="G5" s="134"/>
      <c r="H5" s="134"/>
      <c r="I5" s="135"/>
      <c r="J5" s="134"/>
      <c r="K5" s="134"/>
      <c r="L5" s="132"/>
    </row>
    <row r="6" spans="1:12" ht="20" customHeight="1">
      <c r="A6" s="127"/>
      <c r="B6" s="140"/>
      <c r="C6" s="130"/>
      <c r="D6" s="630" t="s">
        <v>78</v>
      </c>
      <c r="E6" s="130"/>
      <c r="F6" s="641" t="str">
        <f>IF('Summary | Sumário'!D6=Names!B3,Names!BB1,Names!BC1)</f>
        <v>2Q24 Historical Data</v>
      </c>
      <c r="G6" s="641"/>
      <c r="H6" s="641"/>
      <c r="I6" s="641"/>
      <c r="J6" s="641"/>
      <c r="K6" s="641"/>
      <c r="L6" s="132"/>
    </row>
    <row r="7" spans="1:12" ht="18" customHeight="1">
      <c r="A7" s="127"/>
      <c r="B7" s="140"/>
      <c r="C7" s="130"/>
      <c r="D7" s="130"/>
      <c r="E7" s="136"/>
      <c r="F7" s="641"/>
      <c r="G7" s="641"/>
      <c r="H7" s="641"/>
      <c r="I7" s="641"/>
      <c r="J7" s="641"/>
      <c r="K7" s="641"/>
      <c r="L7" s="140"/>
    </row>
    <row r="8" spans="1:12" ht="47">
      <c r="A8" s="127"/>
      <c r="B8" s="140"/>
      <c r="C8" s="130"/>
      <c r="D8" s="130"/>
      <c r="E8" s="136"/>
      <c r="F8" s="137"/>
      <c r="G8" s="137"/>
      <c r="H8" s="138"/>
      <c r="I8" s="139"/>
      <c r="J8" s="137"/>
      <c r="K8" s="138"/>
      <c r="L8" s="140"/>
    </row>
    <row r="9" spans="1:12" ht="13" customHeight="1">
      <c r="A9" s="127"/>
      <c r="B9" s="140"/>
      <c r="C9" s="130"/>
      <c r="D9" s="130"/>
      <c r="E9" s="136"/>
      <c r="F9" s="141"/>
      <c r="G9" s="141"/>
      <c r="H9" s="136"/>
      <c r="I9" s="142"/>
      <c r="J9" s="141"/>
      <c r="K9" s="136"/>
      <c r="L9" s="143"/>
    </row>
    <row r="10" spans="1:12" ht="22" customHeight="1">
      <c r="A10" s="127"/>
      <c r="B10" s="140"/>
      <c r="C10" s="130"/>
      <c r="D10" s="130"/>
      <c r="E10" s="144"/>
      <c r="F10" s="145" t="s">
        <v>817</v>
      </c>
      <c r="G10" s="146"/>
      <c r="H10" s="130" t="str">
        <f>IF('Summary | Sumário'!D6=Names!B3,Names!I22,Names!J22)</f>
        <v>Highlights</v>
      </c>
      <c r="I10" s="145" t="s">
        <v>817</v>
      </c>
      <c r="J10" s="147"/>
      <c r="K10" s="130" t="str">
        <f>IF('Summary | Sumário'!D6=Names!B3,Names!I13,Names!J13)</f>
        <v>Inter Invest</v>
      </c>
      <c r="L10" s="132"/>
    </row>
    <row r="11" spans="1:12" ht="15" customHeight="1">
      <c r="A11" s="127"/>
      <c r="B11" s="140"/>
      <c r="C11" s="130"/>
      <c r="D11" s="130"/>
      <c r="E11" s="144"/>
      <c r="F11" s="146"/>
      <c r="G11" s="146"/>
      <c r="H11" s="130"/>
      <c r="I11" s="145"/>
      <c r="J11" s="147"/>
      <c r="K11" s="130"/>
      <c r="L11" s="132"/>
    </row>
    <row r="12" spans="1:12" ht="22" customHeight="1">
      <c r="A12" s="127"/>
      <c r="B12" s="140"/>
      <c r="C12" s="130"/>
      <c r="D12" s="130"/>
      <c r="E12" s="144"/>
      <c r="F12" s="145" t="s">
        <v>818</v>
      </c>
      <c r="G12" s="147"/>
      <c r="H12" s="130" t="str">
        <f>IF('Summary | Sumário'!D6=Names!B3,Names!I2,Names!J2)</f>
        <v>Balance Sheet</v>
      </c>
      <c r="I12" s="145" t="s">
        <v>818</v>
      </c>
      <c r="J12" s="147"/>
      <c r="K12" s="130" t="str">
        <f>IF('Summary | Sumário'!D6=Names!B3,Names!I14,Names!J14)</f>
        <v>Inter Seguros</v>
      </c>
      <c r="L12" s="132"/>
    </row>
    <row r="13" spans="1:12" ht="15" customHeight="1">
      <c r="A13" s="127"/>
      <c r="B13" s="140"/>
      <c r="C13" s="130"/>
      <c r="D13" s="130"/>
      <c r="E13" s="144"/>
      <c r="F13" s="145"/>
      <c r="G13" s="147"/>
      <c r="H13" s="130"/>
      <c r="I13" s="145"/>
      <c r="J13" s="147"/>
      <c r="K13" s="130"/>
      <c r="L13" s="132"/>
    </row>
    <row r="14" spans="1:12" ht="22" customHeight="1">
      <c r="A14" s="127"/>
      <c r="B14" s="140"/>
      <c r="C14" s="130"/>
      <c r="D14" s="130"/>
      <c r="E14" s="144"/>
      <c r="F14" s="145" t="s">
        <v>819</v>
      </c>
      <c r="G14" s="147"/>
      <c r="H14" s="130" t="str">
        <f>IF('Summary | Sumário'!D6=Names!B3,Names!I3,Names!J3)</f>
        <v>Income Statement</v>
      </c>
      <c r="I14" s="145" t="s">
        <v>819</v>
      </c>
      <c r="J14" s="147"/>
      <c r="K14" s="130" t="str">
        <f>IF('Summary | Sumário'!D6=Names!B3,Names!I15,Names!J15)</f>
        <v>Inter Shop</v>
      </c>
      <c r="L14" s="132"/>
    </row>
    <row r="15" spans="1:12" ht="15" customHeight="1">
      <c r="A15" s="127"/>
      <c r="B15" s="140"/>
      <c r="C15" s="130"/>
      <c r="D15" s="130"/>
      <c r="E15" s="144"/>
      <c r="F15" s="145"/>
      <c r="G15" s="147"/>
      <c r="H15" s="130"/>
      <c r="I15" s="145"/>
      <c r="J15" s="147"/>
      <c r="K15" s="130"/>
      <c r="L15" s="146"/>
    </row>
    <row r="16" spans="1:12" ht="22" customHeight="1">
      <c r="A16" s="127"/>
      <c r="B16" s="140"/>
      <c r="C16" s="130"/>
      <c r="D16" s="130"/>
      <c r="E16" s="144"/>
      <c r="F16" s="145" t="s">
        <v>820</v>
      </c>
      <c r="G16" s="147"/>
      <c r="H16" s="130" t="str">
        <f>IF('Summary | Sumário'!D6=Names!B3,Names!I4,Names!J4)</f>
        <v xml:space="preserve">Credit </v>
      </c>
      <c r="I16" s="145" t="s">
        <v>820</v>
      </c>
      <c r="J16" s="147"/>
      <c r="K16" s="130" t="str">
        <f>IF('Summary | Sumário'!D6=Names!B3,Names!I16,Names!J16)</f>
        <v>Digital Account</v>
      </c>
      <c r="L16" s="146"/>
    </row>
    <row r="17" spans="1:12" ht="15" customHeight="1">
      <c r="A17" s="127"/>
      <c r="B17" s="140"/>
      <c r="C17" s="130"/>
      <c r="D17" s="130"/>
      <c r="E17" s="144"/>
      <c r="F17" s="145"/>
      <c r="G17" s="147"/>
      <c r="H17" s="130"/>
      <c r="I17" s="145"/>
      <c r="J17" s="147"/>
      <c r="K17" s="130"/>
      <c r="L17" s="146"/>
    </row>
    <row r="18" spans="1:12" ht="22" customHeight="1">
      <c r="A18" s="127"/>
      <c r="B18" s="140"/>
      <c r="C18" s="130"/>
      <c r="D18" s="130"/>
      <c r="E18" s="144"/>
      <c r="F18" s="145" t="s">
        <v>821</v>
      </c>
      <c r="G18" s="147"/>
      <c r="H18" s="130" t="str">
        <f>IF('Summary | Sumário'!D6=Names!B3,Names!I5,Names!J5)</f>
        <v>Funding</v>
      </c>
      <c r="I18" s="145" t="s">
        <v>821</v>
      </c>
      <c r="J18" s="147"/>
      <c r="K18" s="130" t="str">
        <f>IF('Summary | Sumário'!D6=Names!B3,Names!I17,Names!J17)</f>
        <v>Operational KPIs</v>
      </c>
      <c r="L18" s="146"/>
    </row>
    <row r="19" spans="1:12" ht="10" customHeight="1">
      <c r="B19" s="146"/>
      <c r="C19" s="148"/>
      <c r="D19" s="148"/>
      <c r="E19" s="149"/>
      <c r="F19" s="145"/>
      <c r="G19" s="147"/>
      <c r="H19" s="130"/>
      <c r="I19" s="131"/>
      <c r="J19" s="147"/>
      <c r="K19" s="130"/>
      <c r="L19" s="146"/>
    </row>
    <row r="20" spans="1:12" ht="22" customHeight="1">
      <c r="B20" s="146"/>
      <c r="C20" s="150"/>
      <c r="D20" s="150"/>
      <c r="E20" s="151"/>
      <c r="F20" s="145" t="s">
        <v>822</v>
      </c>
      <c r="G20" s="147"/>
      <c r="H20" s="130" t="str">
        <f>IF('Summary | Sumário'!D6=Names!B3,Names!I6,Names!J6)</f>
        <v>Fee Revenue</v>
      </c>
      <c r="I20" s="131"/>
      <c r="J20" s="147"/>
      <c r="K20" s="130"/>
      <c r="L20" s="146"/>
    </row>
    <row r="21" spans="1:12" ht="10" customHeight="1">
      <c r="B21" s="146"/>
      <c r="C21" s="150"/>
      <c r="D21" s="150"/>
      <c r="E21" s="151"/>
      <c r="F21" s="145"/>
      <c r="G21" s="147"/>
      <c r="H21" s="130"/>
      <c r="I21" s="131"/>
      <c r="J21" s="141"/>
      <c r="K21" s="130"/>
      <c r="L21" s="146"/>
    </row>
    <row r="22" spans="1:12" ht="22" customHeight="1">
      <c r="B22" s="146"/>
      <c r="C22" s="148"/>
      <c r="D22" s="148"/>
      <c r="E22" s="149"/>
      <c r="F22" s="145" t="s">
        <v>823</v>
      </c>
      <c r="G22" s="147"/>
      <c r="H22" s="130" t="str">
        <f>IF('Summary | Sumário'!D6=Names!B3,Names!I7,Names!J7)</f>
        <v>Financial KPIs</v>
      </c>
      <c r="I22" s="131"/>
      <c r="J22" s="141"/>
      <c r="K22" s="130"/>
      <c r="L22" s="146"/>
    </row>
    <row r="23" spans="1:12" ht="10" customHeight="1">
      <c r="B23" s="146"/>
      <c r="C23" s="148"/>
      <c r="D23" s="148"/>
      <c r="E23" s="149"/>
      <c r="F23" s="141"/>
      <c r="G23" s="141"/>
      <c r="H23" s="130"/>
      <c r="I23" s="131"/>
      <c r="J23" s="141"/>
      <c r="K23" s="130"/>
      <c r="L23" s="146"/>
    </row>
    <row r="24" spans="1:12" ht="22" customHeight="1">
      <c r="B24" s="146"/>
      <c r="C24" s="130"/>
      <c r="D24" s="130"/>
      <c r="E24" s="152"/>
      <c r="F24" s="141"/>
      <c r="G24" s="141" t="s">
        <v>824</v>
      </c>
      <c r="H24" s="130" t="str">
        <f>IF('Summary | Sumário'!D6=Names!B3,Names!I8,Names!J8)</f>
        <v>Tier I Ratio</v>
      </c>
      <c r="I24" s="145" t="s">
        <v>817</v>
      </c>
      <c r="J24" s="141"/>
      <c r="K24" s="130" t="str">
        <f>IF('Summary | Sumário'!D6=Names!B3,Names!I27,Names!J27)</f>
        <v>Market Data</v>
      </c>
      <c r="L24" s="146"/>
    </row>
    <row r="25" spans="1:12" ht="10" customHeight="1">
      <c r="B25" s="146"/>
      <c r="C25" s="130"/>
      <c r="D25" s="130"/>
      <c r="E25" s="152"/>
      <c r="F25" s="141"/>
      <c r="G25" s="141"/>
      <c r="H25" s="130"/>
      <c r="I25" s="131"/>
      <c r="J25" s="141"/>
      <c r="K25" s="130"/>
      <c r="L25" s="146"/>
    </row>
    <row r="26" spans="1:12" ht="22" customHeight="1">
      <c r="B26" s="146"/>
      <c r="C26" s="130"/>
      <c r="D26" s="130"/>
      <c r="E26" s="152"/>
      <c r="F26" s="141"/>
      <c r="G26" s="141" t="s">
        <v>825</v>
      </c>
      <c r="H26" s="130" t="str">
        <f>IF('Summary | Sumário'!D6=Names!B3,Names!I9,Names!J9)</f>
        <v>NIMs</v>
      </c>
      <c r="I26" s="145" t="s">
        <v>818</v>
      </c>
      <c r="J26" s="141"/>
      <c r="K26" s="130" t="str">
        <f>IF('Summary | Sumário'!D6=Names!B3,Names!I19,Names!J19)</f>
        <v>Financial Statements Simulation</v>
      </c>
      <c r="L26" s="146"/>
    </row>
    <row r="27" spans="1:12" ht="10" customHeight="1">
      <c r="B27" s="146"/>
      <c r="C27" s="130"/>
      <c r="D27" s="130"/>
      <c r="E27" s="152"/>
      <c r="F27" s="141"/>
      <c r="G27" s="141"/>
      <c r="H27" s="130"/>
      <c r="I27" s="131"/>
      <c r="J27" s="141"/>
      <c r="K27" s="130"/>
      <c r="L27" s="146"/>
    </row>
    <row r="28" spans="1:12" ht="22" customHeight="1">
      <c r="B28" s="146"/>
      <c r="C28" s="130"/>
      <c r="D28" s="130"/>
      <c r="E28" s="152"/>
      <c r="F28" s="141"/>
      <c r="G28" s="141" t="s">
        <v>826</v>
      </c>
      <c r="H28" s="130" t="str">
        <f>IF('Summary | Sumário'!D6=Names!B3,Names!I10,Names!J10)</f>
        <v>Efficiency Ratio</v>
      </c>
      <c r="I28" s="145" t="s">
        <v>819</v>
      </c>
      <c r="J28" s="141"/>
      <c r="K28" s="130" t="str">
        <f>IF('Summary | Sumário'!D6=Names!B3,Names!I20,Names!J20)</f>
        <v>Disclaimer</v>
      </c>
      <c r="L28" s="146"/>
    </row>
    <row r="29" spans="1:12" ht="10" customHeight="1">
      <c r="B29" s="146"/>
      <c r="C29" s="130"/>
      <c r="D29" s="130"/>
      <c r="E29" s="152"/>
      <c r="F29" s="141"/>
      <c r="G29" s="141"/>
      <c r="H29" s="130"/>
      <c r="I29" s="131"/>
      <c r="J29" s="141"/>
      <c r="K29" s="130"/>
      <c r="L29" s="146"/>
    </row>
    <row r="30" spans="1:12" ht="22" customHeight="1">
      <c r="B30" s="146"/>
      <c r="C30" s="130"/>
      <c r="D30" s="130"/>
      <c r="E30" s="152"/>
      <c r="F30" s="141"/>
      <c r="G30" s="141" t="s">
        <v>827</v>
      </c>
      <c r="H30" s="130" t="str">
        <f>IF('Summary | Sumário'!D6=Names!B3,Names!I11,Names!J11)</f>
        <v>Cost-to-Serve</v>
      </c>
      <c r="I30" s="145">
        <v>4</v>
      </c>
      <c r="J30" s="141"/>
      <c r="K30" s="130" t="str">
        <f>IF('Summary | Sumário'!D6=Names!B3,Names!I21,Names!J21)</f>
        <v>Glossary</v>
      </c>
      <c r="L30" s="146"/>
    </row>
    <row r="31" spans="1:12" ht="10" customHeight="1">
      <c r="B31" s="146"/>
      <c r="C31" s="130"/>
      <c r="D31" s="130"/>
      <c r="E31" s="152"/>
      <c r="F31" s="141"/>
      <c r="G31" s="141"/>
      <c r="H31" s="130"/>
      <c r="I31" s="131"/>
      <c r="J31" s="141"/>
      <c r="K31" s="153"/>
      <c r="L31" s="146"/>
    </row>
    <row r="32" spans="1:12" ht="22" customHeight="1">
      <c r="B32" s="146"/>
      <c r="C32" s="130"/>
      <c r="D32" s="130"/>
      <c r="E32" s="152"/>
      <c r="F32" s="141"/>
      <c r="G32" s="141" t="s">
        <v>828</v>
      </c>
      <c r="H32" s="130" t="str">
        <f>IF('Summary | Sumário'!D6=Names!B3,Names!I12,Names!J12)</f>
        <v>ARPAC</v>
      </c>
      <c r="I32" s="131"/>
      <c r="J32" s="141"/>
      <c r="K32" s="153"/>
      <c r="L32" s="146"/>
    </row>
    <row r="33" spans="2:12" ht="10" customHeight="1">
      <c r="B33" s="146"/>
      <c r="C33" s="130"/>
      <c r="D33" s="130"/>
      <c r="E33" s="130"/>
      <c r="F33" s="141"/>
      <c r="G33" s="141"/>
      <c r="H33" s="130"/>
      <c r="I33" s="133"/>
      <c r="J33" s="153"/>
      <c r="K33" s="25"/>
      <c r="L33" s="146"/>
    </row>
    <row r="34" spans="2:12" ht="22" customHeight="1">
      <c r="B34" s="146"/>
      <c r="C34" s="146"/>
      <c r="D34" s="146"/>
      <c r="E34" s="146"/>
      <c r="F34" s="141"/>
      <c r="G34" s="141" t="s">
        <v>829</v>
      </c>
      <c r="H34" s="130" t="str">
        <f>IF('Summary | Sumário'!D6=Names!B3,Names!I18,Names!J18)</f>
        <v>Cost of Risk</v>
      </c>
      <c r="I34" s="154"/>
      <c r="J34" s="146"/>
      <c r="K34" s="146"/>
      <c r="L34" s="146"/>
    </row>
    <row r="35" spans="2:12" ht="22" customHeight="1">
      <c r="B35" s="146"/>
      <c r="C35" s="146"/>
      <c r="D35" s="146"/>
      <c r="E35" s="146"/>
      <c r="F35" s="146"/>
      <c r="G35" s="146"/>
      <c r="H35" s="146"/>
      <c r="I35" s="154"/>
      <c r="J35" s="146"/>
      <c r="K35" s="146"/>
      <c r="L35" s="146"/>
    </row>
  </sheetData>
  <sheetProtection algorithmName="SHA-512" hashValue="eG3UE+Rdvjt46/tvMWuTHAM/2jWwoQN9r0sstIiFYVk6rk5U+HWdB3s7jiv86kbbr4hPY0PvOYQD43GVbDDjuw==" saltValue="MHxfGfcTOLh5CGDkaOsSdg==" spinCount="100000" sheet="1" formatCells="0" formatColumns="0" formatRows="0" insertColumns="0" insertRows="0" insertHyperlinks="0" deleteColumns="0" deleteRows="0" sort="0" autoFilter="0" pivotTables="0"/>
  <mergeCells count="1">
    <mergeCell ref="F6:K7"/>
  </mergeCells>
  <hyperlinks>
    <hyperlink ref="H10" location="'1. Highlights'!A1" display="'1. Highlights'!A1" xr:uid="{8E48E280-F474-E143-B578-3EF91F0D3E2B}"/>
    <hyperlink ref="H12" location="'2. BS | BP'!A1" display="'2. BS | BP'!A1" xr:uid="{883A7A47-B820-B14B-B618-59906C79F422}"/>
    <hyperlink ref="H14" location="'3. IS | DRE'!A1" display="'3. IS | DRE'!A1" xr:uid="{99BD1BA0-1840-9B46-B79B-76C1766D7F5D}"/>
    <hyperlink ref="H16" location="'4. Credit | Crédito'!A1" display="'4. Credit | Crédito'!A1" xr:uid="{C29808B5-5F48-D448-B9BD-567FC9913372}"/>
    <hyperlink ref="H18" location="'5. Funding'!A1" display="'5. Funding'!A1" xr:uid="{B403E988-5EE9-C643-9222-443C2E2475B6}"/>
    <hyperlink ref="H20" location="'6. Fee Revenue | R. de Serviços'!A1" display="'6. Fee Revenue | R. de Serviços'!A1" xr:uid="{DE3C433E-9F7B-5347-BE9C-9AD18E149C71}"/>
    <hyperlink ref="H22" location="'7. Financial KPIs (Financeiros)'!A1" display="'7. Financial KPIs (Financeiros)'!A1" xr:uid="{A8CF38DC-ED88-5D45-A4D2-684A998F1C21}"/>
    <hyperlink ref="H24" location="'7.1. Tier I Ratio | Basileia'!A1" display="'7.1. Tier I Ratio | Basileia'!A1" xr:uid="{921B6869-B461-A841-824D-7EADBA19FDE3}"/>
    <hyperlink ref="H26" location="'7.2. NIMs'!A1" display="'7.2. NIMs'!A1" xr:uid="{9F7F65B2-7EC2-344D-8FED-B9CB604C9459}"/>
    <hyperlink ref="H28" location="'7.3. Efficiency | Eficiência'!A1" display="'7.3. Efficiency | Eficiência'!A1" xr:uid="{5ED1A07E-A398-DA41-83F2-0521A6DA1911}"/>
    <hyperlink ref="H30" location="'7.4. CTS | Custo de servir'!A1" display="'7.4. CTS | Custo de servir'!A1" xr:uid="{1388AE8C-CBF6-5545-987F-9F9C427A8F20}"/>
    <hyperlink ref="H32" location="'7.5. ARPAC'!A1" display="'7.5. ARPAC'!A1" xr:uid="{9436A9C3-F326-8442-A6C1-F3AE099F89EA}"/>
    <hyperlink ref="H34" location="'7.6. Cost of Risk'!A1" display="'7.6. Cost of Risk'!A1" xr:uid="{C60323EE-F308-D140-BCD3-73A866E67917}"/>
    <hyperlink ref="K10" location="'1. Inter Invest'!A1" display="'1. Inter Invest'!A1" xr:uid="{3382F633-162F-E248-A0A9-965CD05207A9}"/>
    <hyperlink ref="K12" location="'2. Inter Seguros'!A1" display="'2. Inter Seguros'!A1" xr:uid="{CDB681BC-324C-FD4C-ADD7-ABE2EAEBC261}"/>
    <hyperlink ref="K14" location="'3. Inter Shop'!A1" display="'3. Inter Shop'!A1" xr:uid="{64350D5A-1D38-8A45-8900-C2CCF435AED4}"/>
    <hyperlink ref="K16" location="'4. Digital Acou. | Conta Dig.'!A1" display="'4. Digital Acou. | Conta Dig.'!A1" xr:uid="{A4B993DC-2068-5F4C-B877-9C6AF563E0F4}"/>
    <hyperlink ref="K18" location="'5. Oper. KPIs | KPIs Oper.'!A1" display="'5. Oper. KPIs | KPIs Oper.'!A1" xr:uid="{52596258-E061-EA44-B02B-7D7457368B89}"/>
    <hyperlink ref="K28" location="'3. Disclaimer'!A1" display="'3. Disclaimer'!A1" xr:uid="{029A650C-647C-9A4B-8AA1-B23C2E9E4EDC}"/>
    <hyperlink ref="K30" location="'4. Glossary | Glossário'!A1" display="'4. Glossary | Glossário'!A1" xr:uid="{BD8514A1-4ECF-114C-972A-2EF33F9B7284}"/>
    <hyperlink ref="K26" location="'2. Simulation | Simulação'!A1" display="'2. Simulation | Simulação'!A1" xr:uid="{D9FC892E-80BD-8E43-A12A-14A8F96C1093}"/>
    <hyperlink ref="K24" location="'1. Market Data | Dado de Mer.'!A1" display="'1. Market Data | Dado de Mer.'!A1" xr:uid="{7D270009-7FC5-2748-B1D6-BBAA6426A338}"/>
  </hyperlinks>
  <pageMargins left="0.511811024" right="0.511811024" top="0.78740157499999996" bottom="0.78740157499999996" header="0.31496062000000002" footer="0.31496062000000002"/>
  <pageSetup paperSize="9" orientation="portrait" horizontalDpi="0" verticalDpi="0"/>
  <ignoredErrors>
    <ignoredError sqref="I10:I18 I24:I28 F10:F22"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X45"/>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250" customWidth="1"/>
    <col min="2" max="2" width="68.33203125" style="15" bestFit="1" customWidth="1"/>
    <col min="3" max="11" width="10.83203125" style="357" customWidth="1"/>
    <col min="12" max="12" width="4.83203125" style="357" customWidth="1"/>
    <col min="13" max="17" width="10.83203125" style="357" customWidth="1"/>
    <col min="18" max="21" width="10.83203125" style="357"/>
    <col min="22" max="16384" width="10.83203125" style="250"/>
  </cols>
  <sheetData>
    <row r="1" spans="1:24" s="345" customFormat="1" ht="13" customHeight="1">
      <c r="B1" s="9"/>
      <c r="C1" s="346"/>
      <c r="D1" s="346"/>
      <c r="E1" s="346"/>
      <c r="F1" s="346"/>
      <c r="G1" s="346"/>
      <c r="H1" s="346"/>
      <c r="I1" s="346"/>
      <c r="J1" s="346"/>
      <c r="K1" s="346"/>
      <c r="L1" s="346"/>
      <c r="M1" s="346"/>
      <c r="N1" s="346"/>
      <c r="O1" s="346"/>
      <c r="P1" s="346"/>
      <c r="Q1" s="346"/>
      <c r="R1" s="346"/>
      <c r="S1" s="346"/>
      <c r="T1" s="346"/>
      <c r="U1" s="346"/>
    </row>
    <row r="2" spans="1:24" s="10" customFormat="1" ht="13" customHeight="1">
      <c r="B2" s="384" t="str">
        <f>IF('Summary | Sumário'!D6=Names!B3,Names!BL1,Names!BM1)</f>
        <v>Highlights of the Quarter | 2Q24</v>
      </c>
      <c r="C2" s="20" t="str">
        <f>IF('Summary | Sumário'!D6=Names!B3,Names!C11,Names!D11)</f>
        <v>2Q22</v>
      </c>
      <c r="D2" s="20" t="str">
        <f>IF('Summary | Sumário'!D6=Names!B3,Names!C12,Names!D12)</f>
        <v>3Q22</v>
      </c>
      <c r="E2" s="20" t="str">
        <f>IF('Summary | Sumário'!D6=Names!B3,Names!C13,Names!D13)</f>
        <v>4Q22</v>
      </c>
      <c r="F2" s="20" t="str">
        <f>IF('Summary | Sumário'!D6=Names!B3,Names!C14,Names!D14)</f>
        <v>1Q23</v>
      </c>
      <c r="G2" s="20" t="str">
        <f>IF('Summary | Sumário'!D6=Names!B3,Names!C15,Names!D15)</f>
        <v>2Q23</v>
      </c>
      <c r="H2" s="20" t="str">
        <f>IF('Summary | Sumário'!D6=Names!B3,Names!C16,Names!D16)</f>
        <v>3Q23</v>
      </c>
      <c r="I2" s="20" t="str">
        <f>IF('Summary | Sumário'!D6=Names!B3,Names!C17,Names!D17)</f>
        <v>4Q23</v>
      </c>
      <c r="J2" s="20" t="str">
        <f>IF('Summary | Sumário'!D6=Names!B3,Names!C19,Names!D19)</f>
        <v>1Q24</v>
      </c>
      <c r="K2" s="386" t="str">
        <f>IF('Summary | Sumário'!D6=Names!B3,Names!C20,Names!D20)</f>
        <v>2Q24</v>
      </c>
      <c r="L2" s="496"/>
      <c r="M2" s="180" t="str">
        <f>IF('Summary | Sumário'!$D$6=Names!$B$3,Names!$I$24,Names!$J$24)</f>
        <v>QoQ Variation</v>
      </c>
      <c r="N2" s="180" t="str">
        <f>IF('Summary | Sumário'!D6=Names!$B$3,Names!$I$25,Names!$J$25)</f>
        <v>YoY Variation</v>
      </c>
      <c r="O2" s="21"/>
      <c r="P2" s="21"/>
      <c r="Q2" s="21"/>
      <c r="R2" s="21"/>
      <c r="S2" s="21"/>
      <c r="T2" s="87"/>
      <c r="U2" s="11"/>
      <c r="W2" s="12"/>
      <c r="X2" s="13"/>
    </row>
    <row r="3" spans="1:24" s="208" customFormat="1" ht="13" customHeight="1">
      <c r="B3" s="19"/>
      <c r="C3" s="203"/>
      <c r="D3" s="203"/>
      <c r="E3" s="203"/>
      <c r="F3" s="203"/>
      <c r="G3" s="204"/>
      <c r="H3" s="204"/>
      <c r="I3" s="204"/>
      <c r="J3" s="204"/>
      <c r="K3" s="204"/>
      <c r="L3" s="204"/>
      <c r="M3" s="203"/>
      <c r="N3" s="203"/>
      <c r="O3" s="204"/>
      <c r="P3" s="204"/>
      <c r="Q3" s="204"/>
      <c r="R3" s="204"/>
      <c r="S3" s="204"/>
      <c r="T3" s="206"/>
      <c r="U3" s="207"/>
      <c r="W3" s="209"/>
      <c r="X3" s="210"/>
    </row>
    <row r="4" spans="1:24" ht="13" customHeight="1">
      <c r="A4" s="341"/>
      <c r="B4" s="387" t="str">
        <f>IF('Summary | Sumário'!D6=Names!B3,Names!BL4,Names!BM4)</f>
        <v>Unit Economics</v>
      </c>
      <c r="C4" s="250"/>
      <c r="D4" s="250"/>
      <c r="E4" s="250"/>
      <c r="F4" s="250"/>
      <c r="G4" s="250"/>
      <c r="H4" s="250"/>
      <c r="I4" s="250"/>
      <c r="J4" s="250"/>
      <c r="K4" s="250"/>
      <c r="L4" s="250"/>
      <c r="M4" s="250"/>
      <c r="N4" s="250"/>
      <c r="P4" s="350"/>
      <c r="Q4" s="350"/>
      <c r="R4" s="350"/>
      <c r="S4" s="350"/>
      <c r="T4" s="350"/>
      <c r="U4" s="350"/>
    </row>
    <row r="5" spans="1:24" ht="13" customHeight="1">
      <c r="A5" s="341"/>
      <c r="B5" s="388" t="str">
        <f>IF('Summary | Sumário'!D6=Names!B3,Names!BL5,Names!BM5)</f>
        <v>Total Clients (mm)</v>
      </c>
      <c r="C5" s="389">
        <f>'5. Oper. KPIs | KPIs Oper.'!J6</f>
        <v>20.724375999999999</v>
      </c>
      <c r="D5" s="389">
        <f>'5. Oper. KPIs | KPIs Oper.'!K6</f>
        <v>22.766031999999999</v>
      </c>
      <c r="E5" s="389">
        <f>'5. Oper. KPIs | KPIs Oper.'!L6</f>
        <v>24.662092999999999</v>
      </c>
      <c r="F5" s="389">
        <f>'5. Oper. KPIs | KPIs Oper.'!M6</f>
        <v>26.288263000000001</v>
      </c>
      <c r="G5" s="389">
        <f>'5. Oper. KPIs | KPIs Oper.'!N6</f>
        <v>27.774601000000001</v>
      </c>
      <c r="H5" s="389">
        <f>'5. Oper. KPIs | KPIs Oper.'!O6</f>
        <v>29.374635000000001</v>
      </c>
      <c r="I5" s="389">
        <f>'5. Oper. KPIs | KPIs Oper.'!P6</f>
        <v>30.363865000000001</v>
      </c>
      <c r="J5" s="389">
        <f>'5. Oper. KPIs | KPIs Oper.'!Q6</f>
        <v>31.722895999999999</v>
      </c>
      <c r="K5" s="389">
        <f>'5. Oper. KPIs | KPIs Oper.'!R6</f>
        <v>33.270463999999997</v>
      </c>
      <c r="L5" s="360"/>
      <c r="M5" s="390">
        <f>K5/J5-1</f>
        <v>4.8783944567986515E-2</v>
      </c>
      <c r="N5" s="390">
        <f>K5/G5-1</f>
        <v>0.19787369762755525</v>
      </c>
      <c r="P5" s="350"/>
      <c r="Q5" s="350"/>
      <c r="R5" s="350"/>
      <c r="S5" s="350"/>
      <c r="T5" s="350"/>
      <c r="U5" s="350"/>
    </row>
    <row r="6" spans="1:24" ht="13" customHeight="1">
      <c r="A6" s="341"/>
      <c r="B6" s="16" t="str">
        <f>IF('Summary | Sumário'!D6=Names!B3,Names!BL6,Names!BM6)</f>
        <v>Active Clients (mm)</v>
      </c>
      <c r="C6" s="360">
        <f>'5. Oper. KPIs | KPIs Oper.'!J7</f>
        <v>10.716208999999999</v>
      </c>
      <c r="D6" s="360">
        <f>'5. Oper. KPIs | KPIs Oper.'!K7</f>
        <v>11.649274</v>
      </c>
      <c r="E6" s="360">
        <f>'5. Oper. KPIs | KPIs Oper.'!L7</f>
        <v>12.584403999999999</v>
      </c>
      <c r="F6" s="360">
        <f>'5. Oper. KPIs | KPIs Oper.'!M7</f>
        <v>13.540568</v>
      </c>
      <c r="G6" s="360">
        <f>'5. Oper. KPIs | KPIs Oper.'!N7</f>
        <v>14.494907</v>
      </c>
      <c r="H6" s="360">
        <f>'5. Oper. KPIs | KPIs Oper.'!O7</f>
        <v>15.47322</v>
      </c>
      <c r="I6" s="360">
        <f>'5. Oper. KPIs | KPIs Oper.'!P7</f>
        <v>16.405394000000001</v>
      </c>
      <c r="J6" s="360">
        <f>'5. Oper. KPIs | KPIs Oper.'!Q7</f>
        <v>17.413702000000001</v>
      </c>
      <c r="K6" s="360">
        <f>'5. Oper. KPIs | KPIs Oper.'!R7</f>
        <v>18.401989</v>
      </c>
      <c r="L6" s="360"/>
      <c r="M6" s="361">
        <f>K6/J6-1</f>
        <v>5.6753411767354267E-2</v>
      </c>
      <c r="N6" s="361">
        <f>K6/G6-1</f>
        <v>0.26954860765922817</v>
      </c>
      <c r="P6" s="350"/>
      <c r="Q6" s="350"/>
      <c r="R6" s="350"/>
      <c r="S6" s="350"/>
      <c r="T6" s="350"/>
      <c r="U6" s="350"/>
    </row>
    <row r="7" spans="1:24" ht="13" customHeight="1">
      <c r="A7" s="341"/>
      <c r="B7" s="22" t="str">
        <f>IF('Summary | Sumário'!D6=Names!B3,Names!BL7,Names!BM7)</f>
        <v>Gross ARPAC (R$)</v>
      </c>
      <c r="C7" s="358">
        <f>'7.5. ARPAC'!M16</f>
        <v>47.272647711128187</v>
      </c>
      <c r="D7" s="358">
        <f>'7.5. ARPAC'!N16</f>
        <v>45.89827789545167</v>
      </c>
      <c r="E7" s="358">
        <f>'7.5. ARPAC'!O16</f>
        <v>46.871330110655649</v>
      </c>
      <c r="F7" s="358">
        <f>'7.5. ARPAC'!P16</f>
        <v>45.928746437189162</v>
      </c>
      <c r="G7" s="358">
        <f>'7.5. ARPAC'!Q16</f>
        <v>46.097358198258931</v>
      </c>
      <c r="H7" s="358">
        <f>'7.5. ARPAC'!R16</f>
        <v>47.683228896709714</v>
      </c>
      <c r="I7" s="358">
        <f>'7.5. ARPAC'!S16</f>
        <v>45.943992190292001</v>
      </c>
      <c r="J7" s="358">
        <f>'7.5. ARPAC'!T16</f>
        <v>45.155479395825644</v>
      </c>
      <c r="K7" s="358">
        <f>'7.5. ARPAC'!U16</f>
        <v>44.745031483246706</v>
      </c>
      <c r="L7" s="360"/>
      <c r="M7" s="359">
        <f>K7/J7-1</f>
        <v>-9.0896590639868435E-3</v>
      </c>
      <c r="N7" s="359">
        <f>K7/G7-1</f>
        <v>-2.933631704437456E-2</v>
      </c>
      <c r="Q7" s="350"/>
      <c r="R7" s="350"/>
      <c r="S7" s="350"/>
      <c r="T7" s="350"/>
      <c r="U7" s="350"/>
    </row>
    <row r="8" spans="1:24" ht="13" customHeight="1">
      <c r="A8" s="341"/>
      <c r="B8" s="16" t="str">
        <f>IF('Summary | Sumário'!D6=Names!B3,Names!BL8,Names!BM8)</f>
        <v>CTS (R$)</v>
      </c>
      <c r="C8" s="360">
        <f>'7.4. CTS | Custo de servir'!M14</f>
        <v>15.659009047475479</v>
      </c>
      <c r="D8" s="360">
        <f>'7.4. CTS | Custo de servir'!N14</f>
        <v>15.811985206549455</v>
      </c>
      <c r="E8" s="360">
        <f>'7.4. CTS | Custo de servir'!O14</f>
        <v>17.144369708964526</v>
      </c>
      <c r="F8" s="360">
        <f>'7.4. CTS | Custo de servir'!P14</f>
        <v>13.841844617734584</v>
      </c>
      <c r="G8" s="360">
        <f>'7.4. CTS | Custo de servir'!Q14</f>
        <v>12.525885414818189</v>
      </c>
      <c r="H8" s="360">
        <f>'7.4. CTS | Custo de servir'!R14</f>
        <v>12.654836511248545</v>
      </c>
      <c r="I8" s="360">
        <f>'7.4. CTS | Custo de servir'!S14</f>
        <v>12.494674203389399</v>
      </c>
      <c r="J8" s="360">
        <f>'7.4. CTS | Custo de servir'!T14</f>
        <v>11.676346720405142</v>
      </c>
      <c r="K8" s="360">
        <f>'7.4. CTS | Custo de servir'!U14</f>
        <v>11.126188449079482</v>
      </c>
      <c r="L8" s="360"/>
      <c r="M8" s="361">
        <f>K8/J8-1</f>
        <v>-4.7117329118381179E-2</v>
      </c>
      <c r="N8" s="361">
        <f>K8/G8-1</f>
        <v>-0.11174435334390476</v>
      </c>
      <c r="Q8" s="350"/>
      <c r="R8" s="350"/>
      <c r="S8" s="350"/>
      <c r="T8" s="350"/>
      <c r="U8" s="350"/>
    </row>
    <row r="9" spans="1:24" ht="13" customHeight="1">
      <c r="A9" s="341"/>
      <c r="B9" s="22" t="str">
        <f>IF('Summary | Sumário'!D6=Names!B3,Names!BL9,Names!BM9)</f>
        <v>CAC (R$)</v>
      </c>
      <c r="C9" s="358">
        <f>'5. Oper. KPIs | KPIs Oper.'!J5</f>
        <v>32.090000000000003</v>
      </c>
      <c r="D9" s="358">
        <f>'5. Oper. KPIs | KPIs Oper.'!K5</f>
        <v>28.25</v>
      </c>
      <c r="E9" s="358">
        <f>'5. Oper. KPIs | KPIs Oper.'!L5</f>
        <v>30.44</v>
      </c>
      <c r="F9" s="358">
        <f>'5. Oper. KPIs | KPIs Oper.'!M5</f>
        <v>29.799999999999997</v>
      </c>
      <c r="G9" s="358">
        <f>'5. Oper. KPIs | KPIs Oper.'!N5</f>
        <v>27.06</v>
      </c>
      <c r="H9" s="358">
        <f>'5. Oper. KPIs | KPIs Oper.'!O5</f>
        <v>25.86</v>
      </c>
      <c r="I9" s="358">
        <f>'5. Oper. KPIs | KPIs Oper.'!P5</f>
        <v>24.645735842009003</v>
      </c>
      <c r="J9" s="358">
        <f>'5. Oper. KPIs | KPIs Oper.'!Q5</f>
        <v>28.91</v>
      </c>
      <c r="K9" s="358">
        <f>'5. Oper. KPIs | KPIs Oper.'!R5</f>
        <v>32.549999999999997</v>
      </c>
      <c r="L9" s="360"/>
      <c r="M9" s="359">
        <f>K9/J9-1</f>
        <v>0.12590799031476996</v>
      </c>
      <c r="N9" s="359">
        <f>K9/G9-1</f>
        <v>0.20288248337028825</v>
      </c>
      <c r="Q9" s="350"/>
      <c r="R9" s="350"/>
      <c r="S9" s="350"/>
      <c r="T9" s="350"/>
      <c r="U9" s="350"/>
    </row>
    <row r="10" spans="1:24" ht="13" customHeight="1">
      <c r="A10" s="341"/>
      <c r="B10" s="16"/>
      <c r="C10" s="350"/>
      <c r="D10" s="350"/>
      <c r="E10" s="350"/>
      <c r="F10" s="350"/>
      <c r="G10" s="350"/>
      <c r="H10" s="350"/>
      <c r="I10" s="350"/>
      <c r="J10" s="350"/>
      <c r="K10" s="350"/>
      <c r="L10" s="350"/>
      <c r="M10" s="362"/>
      <c r="N10" s="362"/>
      <c r="Q10" s="350"/>
      <c r="R10" s="350"/>
      <c r="S10" s="350"/>
      <c r="T10" s="350"/>
      <c r="U10" s="350"/>
    </row>
    <row r="11" spans="1:24" ht="13" customHeight="1">
      <c r="A11" s="341"/>
      <c r="B11" s="391" t="str">
        <f>IF('Summary | Sumário'!$D$6=Names!$B$3,Names!BL11,Names!BM11)</f>
        <v>Income Statement</v>
      </c>
      <c r="C11" s="392"/>
      <c r="D11" s="392"/>
      <c r="E11" s="392"/>
      <c r="F11" s="392"/>
      <c r="G11" s="392"/>
      <c r="H11" s="392"/>
      <c r="I11" s="392"/>
      <c r="J11" s="392"/>
      <c r="K11" s="392"/>
      <c r="M11" s="393"/>
      <c r="N11" s="393"/>
      <c r="Q11" s="350"/>
      <c r="R11" s="350"/>
      <c r="S11" s="350"/>
      <c r="T11" s="350"/>
      <c r="U11" s="350"/>
    </row>
    <row r="12" spans="1:24" ht="13" customHeight="1">
      <c r="A12" s="341"/>
      <c r="B12" s="396" t="str">
        <f>IF('Summary | Sumário'!$D$6=Names!$B$3,Names!BL12,Names!BM12)</f>
        <v>Gross Revenue (R$ mm)</v>
      </c>
      <c r="C12" s="397">
        <f>'7.5. ARPAC'!M6/1000</f>
        <v>1461.2656370000002</v>
      </c>
      <c r="D12" s="397">
        <f>'7.5. ARPAC'!N6/1000</f>
        <v>1539.8057310000002</v>
      </c>
      <c r="E12" s="397">
        <f>'7.5. ARPAC'!O6/1000</f>
        <v>1703.797082</v>
      </c>
      <c r="F12" s="397">
        <f>'7.5. ARPAC'!P6/1000</f>
        <v>1799.8308220000001</v>
      </c>
      <c r="G12" s="397">
        <f>'7.5. ARPAC'!Q6/1000</f>
        <v>1938.5419999999999</v>
      </c>
      <c r="H12" s="397">
        <f>'7.5. ARPAC'!R6/1000</f>
        <v>2143.4655890199997</v>
      </c>
      <c r="I12" s="397">
        <f>'7.5. ARPAC'!S6/1000</f>
        <v>2196.94618898</v>
      </c>
      <c r="J12" s="397">
        <f>'7.5. ARPAC'!T6/1000</f>
        <v>2290.6762389201745</v>
      </c>
      <c r="K12" s="397">
        <f>'7.5. ARPAC'!U6/1000</f>
        <v>2403.861332083854</v>
      </c>
      <c r="L12" s="350"/>
      <c r="M12" s="398">
        <f>K12/J12-1</f>
        <v>4.9411213702131418E-2</v>
      </c>
      <c r="N12" s="398">
        <f>K12/G12-1</f>
        <v>0.24003572379853222</v>
      </c>
      <c r="Q12" s="350"/>
      <c r="R12" s="350"/>
      <c r="S12" s="350"/>
      <c r="T12" s="350"/>
      <c r="U12" s="350"/>
    </row>
    <row r="13" spans="1:24" ht="13" customHeight="1">
      <c r="A13" s="341"/>
      <c r="B13" s="22" t="str">
        <f>IF('Summary | Sumário'!$D$6=Names!$B$3,Names!BL13,Names!BM13)</f>
        <v>Net Revenues (R$ mm)</v>
      </c>
      <c r="C13" s="315">
        <f>'3. IS | DRE'!M12/1000</f>
        <v>877.02063700000008</v>
      </c>
      <c r="D13" s="315">
        <f>'3. IS | DRE'!N12/1000</f>
        <v>850.30373100000008</v>
      </c>
      <c r="E13" s="315">
        <f>'3. IS | DRE'!O12/1000</f>
        <v>1001.8520819999999</v>
      </c>
      <c r="F13" s="315">
        <f>'3. IS | DRE'!P12/1000</f>
        <v>1024.113822</v>
      </c>
      <c r="G13" s="315">
        <f>'3. IS | DRE'!Q12/1000</f>
        <v>1150.0340000000001</v>
      </c>
      <c r="H13" s="315">
        <f>'3. IS | DRE'!R12/1000</f>
        <v>1265.4955890200001</v>
      </c>
      <c r="I13" s="315">
        <f>'3. IS | DRE'!S12/1000</f>
        <v>1312.9341839799997</v>
      </c>
      <c r="J13" s="315">
        <f>'3. IS | DRE'!T12/1000</f>
        <v>1400.9405045515323</v>
      </c>
      <c r="K13" s="315">
        <f>'3. IS | DRE'!U12/1000</f>
        <v>1478.5993320838538</v>
      </c>
      <c r="L13" s="316"/>
      <c r="M13" s="363">
        <f>K13/J13-1</f>
        <v>5.543335158060958E-2</v>
      </c>
      <c r="N13" s="363">
        <f>K13/G13-1</f>
        <v>0.28570053762223879</v>
      </c>
      <c r="Q13" s="350"/>
      <c r="R13" s="350"/>
      <c r="S13" s="350"/>
      <c r="T13" s="350"/>
      <c r="U13" s="350"/>
    </row>
    <row r="14" spans="1:24" ht="13" customHeight="1">
      <c r="A14" s="341"/>
      <c r="B14" s="16" t="str">
        <f>IF('Summary | Sumário'!$D$6=Names!$B$3,Names!BL14,Names!BM14)</f>
        <v>Pre Tax Net Income (R$ mm)</v>
      </c>
      <c r="C14" s="364">
        <f>'3. IS | DRE'!M23/1000</f>
        <v>11.871637000000105</v>
      </c>
      <c r="D14" s="364">
        <f>'3. IS | DRE'!N23/1000</f>
        <v>-70.043268999999967</v>
      </c>
      <c r="E14" s="364">
        <f>'3. IS | DRE'!O23/1000</f>
        <v>-20.306918000000064</v>
      </c>
      <c r="F14" s="364">
        <f>'3. IS | DRE'!P23/1000</f>
        <v>5.8968220000000438</v>
      </c>
      <c r="G14" s="364">
        <f>'3. IS | DRE'!Q23/1000</f>
        <v>80.299000000000007</v>
      </c>
      <c r="H14" s="364">
        <f>'3. IS | DRE'!R23/1000</f>
        <v>145.35400000000001</v>
      </c>
      <c r="I14" s="364">
        <f>'3. IS | DRE'!S23/1000</f>
        <v>208.29117799999995</v>
      </c>
      <c r="J14" s="364">
        <f>'3. IS | DRE'!T23/1000</f>
        <v>273.73200000000003</v>
      </c>
      <c r="K14" s="364">
        <f>'3. IS | DRE'!U23/1000</f>
        <v>297.60733208385392</v>
      </c>
      <c r="L14" s="364"/>
      <c r="M14" s="365">
        <f>K14/J14-1</f>
        <v>8.7221560080129157E-2</v>
      </c>
      <c r="N14" s="365">
        <f>K14/G14-1</f>
        <v>2.7062395806156228</v>
      </c>
      <c r="Q14" s="350"/>
      <c r="R14" s="350"/>
      <c r="S14" s="350"/>
      <c r="T14" s="350"/>
      <c r="U14" s="350"/>
    </row>
    <row r="15" spans="1:24" ht="13" customHeight="1">
      <c r="A15" s="341"/>
      <c r="B15" s="22" t="str">
        <f>IF('Summary | Sumário'!$D$6=Names!$B$3,Names!BL15,Names!BM15)</f>
        <v>Net Income (R$ mm)</v>
      </c>
      <c r="C15" s="315">
        <f>'3. IS | DRE'!M26/1000</f>
        <v>15.525637000000104</v>
      </c>
      <c r="D15" s="315">
        <f>'3. IS | DRE'!N26/1000</f>
        <v>-29.59526899999997</v>
      </c>
      <c r="E15" s="315">
        <f>'3. IS | DRE'!O26/1000</f>
        <v>28.813081999999355</v>
      </c>
      <c r="F15" s="315">
        <f>'3. IS | DRE'!P26/1000</f>
        <v>24.216000000000001</v>
      </c>
      <c r="G15" s="315">
        <f>'3. IS | DRE'!Q26/1000</f>
        <v>64.171999999999997</v>
      </c>
      <c r="H15" s="315">
        <f>'3. IS | DRE'!R26/1000</f>
        <v>104.161</v>
      </c>
      <c r="I15" s="315">
        <f>'3. IS | DRE'!S26/1000</f>
        <v>159.71217799999997</v>
      </c>
      <c r="J15" s="315">
        <f>'3. IS | DRE'!T26/1000</f>
        <v>195.22</v>
      </c>
      <c r="K15" s="315">
        <f>'3. IS | DRE'!U26/1000</f>
        <v>222.66433208385391</v>
      </c>
      <c r="L15" s="316"/>
      <c r="M15" s="363">
        <f>K15/J15-1</f>
        <v>0.14058155969600405</v>
      </c>
      <c r="N15" s="363">
        <f>K15/G15-1</f>
        <v>2.4698050876371926</v>
      </c>
      <c r="Q15" s="316"/>
      <c r="R15" s="316"/>
      <c r="S15" s="316"/>
      <c r="T15" s="316"/>
      <c r="U15" s="316"/>
    </row>
    <row r="16" spans="1:24" ht="13" customHeight="1">
      <c r="A16" s="341"/>
      <c r="B16" s="181"/>
      <c r="C16" s="350"/>
      <c r="D16" s="350"/>
      <c r="E16" s="350"/>
      <c r="F16" s="350"/>
      <c r="G16" s="350"/>
      <c r="H16" s="350"/>
      <c r="I16" s="350"/>
      <c r="J16" s="350"/>
      <c r="K16" s="350"/>
      <c r="L16" s="350"/>
      <c r="M16" s="366"/>
      <c r="N16" s="367"/>
      <c r="Q16" s="354"/>
      <c r="R16" s="354"/>
      <c r="S16" s="354"/>
      <c r="T16" s="354"/>
      <c r="U16" s="328"/>
    </row>
    <row r="17" spans="1:22" ht="13" customHeight="1">
      <c r="A17" s="341"/>
      <c r="B17" s="24" t="str">
        <f>IF('Summary | Sumário'!$D$6=Names!$B$3,Names!BL17,Names!BM17)</f>
        <v>Balance Sheet &amp; Capital</v>
      </c>
      <c r="C17" s="392"/>
      <c r="D17" s="392"/>
      <c r="E17" s="392"/>
      <c r="F17" s="392"/>
      <c r="G17" s="392"/>
      <c r="H17" s="392"/>
      <c r="I17" s="392"/>
      <c r="J17" s="392"/>
      <c r="K17" s="392"/>
      <c r="M17" s="394"/>
      <c r="N17" s="394"/>
      <c r="Q17" s="328"/>
      <c r="R17" s="328"/>
      <c r="S17" s="328"/>
      <c r="T17" s="328"/>
      <c r="U17" s="328"/>
      <c r="V17" s="351"/>
    </row>
    <row r="18" spans="1:22" ht="13" customHeight="1">
      <c r="A18" s="341"/>
      <c r="B18" s="399" t="str">
        <f>IF('Summary | Sumário'!$D$6=Names!$B$3,Names!BL18,Names!BM18)</f>
        <v>Gross Loan Portfolio (R$ bn)</v>
      </c>
      <c r="C18" s="480">
        <f>'4. Credit | Crédito'!J12/1000000</f>
        <v>19.864563610000001</v>
      </c>
      <c r="D18" s="480">
        <f>'4. Credit | Crédito'!K12/1000000</f>
        <v>22.035053999999999</v>
      </c>
      <c r="E18" s="480">
        <f>'4. Credit | Crédito'!L12/1000000</f>
        <v>24.543993</v>
      </c>
      <c r="F18" s="480">
        <f>'4. Credit | Crédito'!M12/1000000</f>
        <v>25.129297999999999</v>
      </c>
      <c r="G18" s="480">
        <f>'4. Credit | Crédito'!N12/1000000</f>
        <v>26.474360000000001</v>
      </c>
      <c r="H18" s="480">
        <f>'4. Credit | Crédito'!O12/1000000</f>
        <v>28.258742999999999</v>
      </c>
      <c r="I18" s="480">
        <f>'4. Credit | Crédito'!P12/1000000</f>
        <v>31.020837</v>
      </c>
      <c r="J18" s="480">
        <f>'4. Credit | Crédito'!Q12/1000000</f>
        <v>32.143623531950205</v>
      </c>
      <c r="K18" s="480">
        <f>'4. Credit | Crédito'!R12/1000000</f>
        <v>35.674371416580001</v>
      </c>
      <c r="L18" s="360"/>
      <c r="M18" s="398">
        <f>K18/J18-1</f>
        <v>0.10984287073672006</v>
      </c>
      <c r="N18" s="400">
        <f>K18/G18-1</f>
        <v>0.34750647103763788</v>
      </c>
      <c r="Q18" s="328"/>
      <c r="R18" s="328"/>
      <c r="S18" s="328"/>
      <c r="T18" s="328"/>
      <c r="U18" s="328"/>
    </row>
    <row r="19" spans="1:22" ht="13" customHeight="1">
      <c r="A19" s="341"/>
      <c r="B19" s="22" t="str">
        <f>IF('Summary | Sumário'!$D$6=Names!$B$3,Names!BL19,Names!BM19)</f>
        <v>Funding (R$ bn)</v>
      </c>
      <c r="C19" s="358">
        <f>'5. Funding'!M15/1000000</f>
        <v>27.678137</v>
      </c>
      <c r="D19" s="358">
        <f>'5. Funding'!N15/1000000</f>
        <v>30.688589</v>
      </c>
      <c r="E19" s="358">
        <f>'5. Funding'!O15/1000000</f>
        <v>32.516818000000001</v>
      </c>
      <c r="F19" s="358">
        <f>'5. Funding'!P15/1000000</f>
        <v>33.532685000000001</v>
      </c>
      <c r="G19" s="358">
        <f>'5. Funding'!Q15/1000000</f>
        <v>35.665087040739998</v>
      </c>
      <c r="H19" s="358">
        <f>'5. Funding'!R15/1000000</f>
        <v>39.571626560479999</v>
      </c>
      <c r="I19" s="358">
        <f>'5. Funding'!S15/1000000</f>
        <v>43.513032000000003</v>
      </c>
      <c r="J19" s="358">
        <f>'5. Funding'!T15/1000000</f>
        <v>43.783581005715945</v>
      </c>
      <c r="K19" s="358">
        <f>'5. Funding'!U15/1000000</f>
        <v>47.759600856010003</v>
      </c>
      <c r="L19" s="360"/>
      <c r="M19" s="359">
        <f>K19/J19-1</f>
        <v>9.0810750490577519E-2</v>
      </c>
      <c r="N19" s="363">
        <f>K19/G19-1</f>
        <v>0.33911353704126723</v>
      </c>
      <c r="Q19" s="316"/>
      <c r="R19" s="316"/>
      <c r="S19" s="316"/>
      <c r="T19" s="316"/>
      <c r="U19" s="316"/>
    </row>
    <row r="20" spans="1:22" ht="13" customHeight="1">
      <c r="A20" s="341"/>
      <c r="B20" s="16" t="str">
        <f>IF('Summary | Sumário'!$D$6=Names!$B$3,Names!BL20,Names!BM20)</f>
        <v>Shareholders` Equity (R$ bn)</v>
      </c>
      <c r="C20" s="360">
        <f>'2. BS | BP'!M38/1000000</f>
        <v>7.1153810000000002</v>
      </c>
      <c r="D20" s="360">
        <f>'2. BS | BP'!N38/1000000</f>
        <v>7.1403949999999998</v>
      </c>
      <c r="E20" s="360">
        <f>'2. BS | BP'!O38/1000000</f>
        <v>7.0891039999999998</v>
      </c>
      <c r="F20" s="360">
        <f>'2. BS | BP'!P38/1000000</f>
        <v>7.1399059999999999</v>
      </c>
      <c r="G20" s="360">
        <f>'2. BS | BP'!Q38/1000000</f>
        <v>7.3176579999999998</v>
      </c>
      <c r="H20" s="360">
        <f>'2. BS | BP'!R38/1000000</f>
        <v>7.3682270000000001</v>
      </c>
      <c r="I20" s="360">
        <f>'2. BS | BP'!S38/1000000</f>
        <v>7.5966909999999999</v>
      </c>
      <c r="J20" s="360">
        <f>'2. BS | BP'!T38/1000000</f>
        <v>8.5384530009060331</v>
      </c>
      <c r="K20" s="360">
        <f>'2. BS | BP'!U38/1000000</f>
        <v>8.6075360009060393</v>
      </c>
      <c r="L20" s="360"/>
      <c r="M20" s="361">
        <f>K20/J20-1</f>
        <v>8.090809891753814E-3</v>
      </c>
      <c r="N20" s="368">
        <f>K20/G20-1</f>
        <v>0.17626923817784856</v>
      </c>
      <c r="Q20" s="316"/>
      <c r="R20" s="316"/>
      <c r="S20" s="316"/>
      <c r="T20" s="316"/>
      <c r="U20" s="316"/>
      <c r="V20" s="352"/>
    </row>
    <row r="21" spans="1:22" ht="13" customHeight="1">
      <c r="A21" s="341"/>
      <c r="B21" s="22" t="str">
        <f>IF('Summary | Sumário'!$D$6=Names!$B$3,Names!BL21,Names!BM21)</f>
        <v>Tier 1 Ratio (%)</v>
      </c>
      <c r="C21" s="369">
        <f>'7.1. Tier I Ratio | Basileia'!M20</f>
        <v>0.32900000000000001</v>
      </c>
      <c r="D21" s="369">
        <f>'7.1. Tier I Ratio | Basileia'!N20</f>
        <v>0.29799999999999999</v>
      </c>
      <c r="E21" s="369">
        <f>'7.1. Tier I Ratio | Basileia'!O20</f>
        <v>0.24099999999999999</v>
      </c>
      <c r="F21" s="369">
        <f>'7.1. Tier I Ratio | Basileia'!P20</f>
        <v>0.23</v>
      </c>
      <c r="G21" s="369">
        <f>'7.1. Tier I Ratio | Basileia'!Q20</f>
        <v>0.22800000000000001</v>
      </c>
      <c r="H21" s="369">
        <f>'7.1. Tier I Ratio | Basileia'!R20</f>
        <v>0.2374</v>
      </c>
      <c r="I21" s="369">
        <f>'7.1. Tier I Ratio | Basileia'!S20</f>
        <v>0.229501027251763</v>
      </c>
      <c r="J21" s="369">
        <f>'7.1. Tier I Ratio | Basileia'!T20</f>
        <v>0.20276529979036845</v>
      </c>
      <c r="K21" s="369">
        <f>'7.1. Tier I Ratio | Basileia'!U20</f>
        <v>0.19289246116070838</v>
      </c>
      <c r="L21" s="375"/>
      <c r="M21" s="370">
        <f>(K21-J21)*100</f>
        <v>-0.9872838629660069</v>
      </c>
      <c r="N21" s="371">
        <f>(K21-G21)*100</f>
        <v>-3.510753883929163</v>
      </c>
      <c r="Q21" s="316"/>
      <c r="R21" s="316"/>
      <c r="S21" s="316"/>
      <c r="T21" s="316"/>
      <c r="U21" s="316"/>
    </row>
    <row r="22" spans="1:22" ht="13" customHeight="1">
      <c r="A22" s="341"/>
      <c r="B22" s="16"/>
      <c r="C22" s="350"/>
      <c r="D22" s="350"/>
      <c r="E22" s="350"/>
      <c r="F22" s="350"/>
      <c r="G22" s="350"/>
      <c r="H22" s="350"/>
      <c r="I22" s="350"/>
      <c r="J22" s="350"/>
      <c r="K22" s="350"/>
      <c r="L22" s="350"/>
      <c r="M22" s="362"/>
      <c r="N22" s="372"/>
      <c r="Q22" s="316"/>
      <c r="R22" s="316"/>
      <c r="S22" s="316"/>
      <c r="T22" s="316"/>
      <c r="U22" s="316"/>
    </row>
    <row r="23" spans="1:22" ht="13" customHeight="1">
      <c r="A23" s="341"/>
      <c r="B23" s="391" t="str">
        <f>IF('Summary | Sumário'!$D$6=Names!$B$3,Names!BL23,Names!BM23)</f>
        <v>Volume KPIs</v>
      </c>
      <c r="C23" s="392"/>
      <c r="D23" s="392"/>
      <c r="E23" s="392"/>
      <c r="F23" s="392"/>
      <c r="G23" s="392"/>
      <c r="H23" s="392"/>
      <c r="I23" s="392"/>
      <c r="J23" s="392"/>
      <c r="K23" s="392"/>
      <c r="M23" s="393"/>
      <c r="N23" s="393"/>
      <c r="Q23" s="316"/>
      <c r="R23" s="316"/>
      <c r="S23" s="316"/>
      <c r="T23" s="316"/>
      <c r="U23" s="316"/>
    </row>
    <row r="24" spans="1:22" ht="13" customHeight="1">
      <c r="A24" s="341"/>
      <c r="B24" s="396" t="str">
        <f>IF('Summary | Sumário'!$D$6=Names!$B$3,Names!BL24,Names!BM24)</f>
        <v>Cards + PIX TPV (R$ bn)</v>
      </c>
      <c r="C24" s="397">
        <f>'4. Digital Acou. | Conta Dig.'!J13/1000</f>
        <v>133.96884775699999</v>
      </c>
      <c r="D24" s="397">
        <f>'4. Digital Acou. | Conta Dig.'!K13/1000</f>
        <v>155.436500177</v>
      </c>
      <c r="E24" s="397">
        <f>'4. Digital Acou. | Conta Dig.'!L13/1000</f>
        <v>177.51524952346</v>
      </c>
      <c r="F24" s="397">
        <f>'4. Digital Acou. | Conta Dig.'!M13/1000</f>
        <v>181.36133153205003</v>
      </c>
      <c r="G24" s="397">
        <f>'4. Digital Acou. | Conta Dig.'!N13/1000</f>
        <v>196.99198220933999</v>
      </c>
      <c r="H24" s="397">
        <f>'4. Digital Acou. | Conta Dig.'!O13/1000</f>
        <v>219.41885998934995</v>
      </c>
      <c r="I24" s="397">
        <f>'4. Digital Acou. | Conta Dig.'!P13/1000</f>
        <v>253.47963343943999</v>
      </c>
      <c r="J24" s="397">
        <f>'4. Digital Acou. | Conta Dig.'!Q13/1000</f>
        <v>257.10899231503004</v>
      </c>
      <c r="K24" s="397">
        <f>'4. Digital Acou. | Conta Dig.'!R13/1000</f>
        <v>290.18742066855003</v>
      </c>
      <c r="L24" s="350"/>
      <c r="M24" s="398">
        <f>K24/J24-1</f>
        <v>0.12865527594223436</v>
      </c>
      <c r="N24" s="400">
        <f>K24/G24-1</f>
        <v>0.47309254627517205</v>
      </c>
      <c r="Q24" s="316"/>
      <c r="R24" s="316"/>
      <c r="S24" s="316"/>
      <c r="T24" s="316"/>
      <c r="U24" s="316"/>
    </row>
    <row r="25" spans="1:22" ht="13" customHeight="1">
      <c r="A25" s="341"/>
      <c r="B25" s="22" t="str">
        <f>IF('Summary | Sumário'!$D$6=Names!$B$3,Names!BL25,Names!BM25)</f>
        <v>GMV Inter Shop (R$ mm)</v>
      </c>
      <c r="C25" s="315">
        <f>'3. Inter Shop'!I5</f>
        <v>990.06993699999998</v>
      </c>
      <c r="D25" s="315">
        <f>'3. Inter Shop'!J5</f>
        <v>938.66564000000005</v>
      </c>
      <c r="E25" s="315">
        <f>'3. Inter Shop'!K5</f>
        <v>1003.4261218400001</v>
      </c>
      <c r="F25" s="315">
        <f>'3. Inter Shop'!L5</f>
        <v>829.25831872000003</v>
      </c>
      <c r="G25" s="315">
        <f>'3. Inter Shop'!M5</f>
        <v>755.63938086500002</v>
      </c>
      <c r="H25" s="315">
        <f>'3. Inter Shop'!N5</f>
        <v>869.35878100000002</v>
      </c>
      <c r="I25" s="315">
        <f>'3. Inter Shop'!O5</f>
        <v>1049.8873619999999</v>
      </c>
      <c r="J25" s="315">
        <f>'3. Inter Shop'!P5</f>
        <v>993.72802863999993</v>
      </c>
      <c r="K25" s="315">
        <f>'3. Inter Shop'!Q5</f>
        <v>1136.3548290000001</v>
      </c>
      <c r="L25" s="316"/>
      <c r="M25" s="363">
        <f>K25/J25-1</f>
        <v>0.14352699757819742</v>
      </c>
      <c r="N25" s="363">
        <f>K25/G25-1</f>
        <v>0.5038321953246867</v>
      </c>
      <c r="Q25" s="316"/>
      <c r="R25" s="316"/>
      <c r="S25" s="316"/>
      <c r="T25" s="316"/>
      <c r="U25" s="316"/>
    </row>
    <row r="26" spans="1:22" ht="13" customHeight="1">
      <c r="A26" s="341"/>
      <c r="B26" s="16" t="str">
        <f>IF('Summary | Sumário'!$D$6=Names!$B$3,Names!BL26,Names!BM26)</f>
        <v>AUC  (R$ bn)</v>
      </c>
      <c r="C26" s="373">
        <f>'1. Inter Invest'!J5/1000</f>
        <v>54.559794571609999</v>
      </c>
      <c r="D26" s="373">
        <f>'1. Inter Invest'!K5/1000</f>
        <v>62.349211153180001</v>
      </c>
      <c r="E26" s="373">
        <f>'1. Inter Invest'!L5/1000</f>
        <v>66.723736438719996</v>
      </c>
      <c r="F26" s="373">
        <f>'1. Inter Invest'!M5/1000</f>
        <v>67.986417997459967</v>
      </c>
      <c r="G26" s="373">
        <f>'1. Inter Invest'!N5/1000</f>
        <v>76.842170568875446</v>
      </c>
      <c r="H26" s="373">
        <f>'1. Inter Invest'!O5/1000</f>
        <v>82.892927662269997</v>
      </c>
      <c r="I26" s="373">
        <f>'1. Inter Invest'!P5/1000</f>
        <v>91.798553433999999</v>
      </c>
      <c r="J26" s="373">
        <f>'1. Inter Invest'!Q5/1000</f>
        <v>94.882291527389754</v>
      </c>
      <c r="K26" s="373">
        <f>'1. Inter Invest'!R5/1000</f>
        <v>105.21894666796135</v>
      </c>
      <c r="L26" s="373"/>
      <c r="M26" s="365">
        <f>K26/J26-1</f>
        <v>0.10894187918709464</v>
      </c>
      <c r="N26" s="365">
        <f>K26/G26-1</f>
        <v>0.369286498403258</v>
      </c>
      <c r="Q26" s="316"/>
      <c r="R26" s="316"/>
      <c r="S26" s="316"/>
      <c r="T26" s="316"/>
      <c r="U26" s="316"/>
    </row>
    <row r="27" spans="1:22" ht="13" customHeight="1">
      <c r="A27" s="341"/>
      <c r="B27" s="22"/>
      <c r="C27" s="315"/>
      <c r="D27" s="315"/>
      <c r="E27" s="315"/>
      <c r="F27" s="315"/>
      <c r="G27" s="315"/>
      <c r="H27" s="315"/>
      <c r="I27" s="315"/>
      <c r="J27" s="315"/>
      <c r="K27" s="315"/>
      <c r="L27" s="316"/>
      <c r="M27" s="374"/>
      <c r="N27" s="374"/>
      <c r="Q27" s="316"/>
      <c r="R27" s="316"/>
      <c r="S27" s="316"/>
      <c r="T27" s="316"/>
      <c r="U27" s="316"/>
    </row>
    <row r="28" spans="1:22" ht="13" customHeight="1">
      <c r="A28" s="341"/>
      <c r="B28" s="181" t="str">
        <f>IF('Summary | Sumário'!$D$6=Names!$B$3,Names!BL28,Names!BM28)</f>
        <v>Asset Quality</v>
      </c>
      <c r="M28" s="395"/>
      <c r="N28" s="395"/>
      <c r="Q28" s="354"/>
      <c r="R28" s="354"/>
      <c r="S28" s="354"/>
      <c r="T28" s="354"/>
      <c r="U28" s="328"/>
    </row>
    <row r="29" spans="1:22" ht="13" customHeight="1">
      <c r="A29" s="341"/>
      <c r="B29" s="401" t="str">
        <f>IF('Summary | Sumário'!$D$6=Names!$B$3,Names!BL29,Names!BM29)</f>
        <v>NPL &gt; 90 days (%)</v>
      </c>
      <c r="C29" s="402">
        <f>'4. Credit | Crédito'!J22</f>
        <v>3.8004014778354349E-2</v>
      </c>
      <c r="D29" s="402">
        <f>'4. Credit | Crédito'!K22</f>
        <v>3.8069376847907885E-2</v>
      </c>
      <c r="E29" s="402">
        <f>'4. Credit | Crédito'!L22</f>
        <v>4.07236995153967E-2</v>
      </c>
      <c r="F29" s="402">
        <f>'4. Credit | Crédito'!M22</f>
        <v>4.425561390533074E-2</v>
      </c>
      <c r="G29" s="402">
        <f>'4. Credit | Crédito'!N22</f>
        <v>4.6937273988870744E-2</v>
      </c>
      <c r="H29" s="402">
        <f>'4. Credit | Crédito'!O22</f>
        <v>4.6873218175344886E-2</v>
      </c>
      <c r="I29" s="402">
        <f>'4. Credit | Crédito'!P22</f>
        <v>4.5948866208864708E-2</v>
      </c>
      <c r="J29" s="402">
        <f>'4. Credit | Crédito'!Q22</f>
        <v>4.8307930395170035E-2</v>
      </c>
      <c r="K29" s="402">
        <f>'4. Credit | Crédito'!R22</f>
        <v>4.6618172011492563E-2</v>
      </c>
      <c r="L29" s="375"/>
      <c r="M29" s="403">
        <f>(K29-J29)*100</f>
        <v>-0.16897583836774713</v>
      </c>
      <c r="N29" s="404">
        <f>(K29-G29)*100</f>
        <v>-3.1910197737818058E-2</v>
      </c>
      <c r="Q29" s="328"/>
      <c r="R29" s="328"/>
      <c r="S29" s="328"/>
      <c r="T29" s="328"/>
      <c r="U29" s="328"/>
    </row>
    <row r="30" spans="1:22" ht="13" customHeight="1">
      <c r="A30" s="341"/>
      <c r="B30" s="187" t="str">
        <f>IF('Summary | Sumário'!$D$6=Names!$B$3,Names!BL30,Names!BM30)</f>
        <v>NPL 15-90 days (%)</v>
      </c>
      <c r="C30" s="375">
        <f>'4. Credit | Crédito'!J28</f>
        <v>4.5433557125597483E-2</v>
      </c>
      <c r="D30" s="375">
        <f>'4. Credit | Crédito'!K28</f>
        <v>4.314105737204002E-2</v>
      </c>
      <c r="E30" s="375">
        <f>'4. Credit | Crédito'!L28</f>
        <v>4.1430841865461747E-2</v>
      </c>
      <c r="F30" s="375">
        <f>'4. Credit | Crédito'!M28</f>
        <v>4.3458095606172524E-2</v>
      </c>
      <c r="G30" s="375">
        <f>'4. Credit | Crédito'!N28</f>
        <v>4.1964720582480561E-2</v>
      </c>
      <c r="H30" s="375">
        <f>'4. Credit | Crédito'!O28</f>
        <v>4.2636576262433189E-2</v>
      </c>
      <c r="I30" s="375">
        <f>'4. Credit | Crédito'!P28</f>
        <v>4.0071198175600488E-2</v>
      </c>
      <c r="J30" s="375">
        <f>'4. Credit | Crédito'!Q28</f>
        <v>4.4087392795071748E-2</v>
      </c>
      <c r="K30" s="375">
        <f>'4. Credit | Crédito'!R28</f>
        <v>3.9289590020879214E-2</v>
      </c>
      <c r="L30" s="375"/>
      <c r="M30" s="376">
        <f>(K30-J30)*100</f>
        <v>-0.47978027741925333</v>
      </c>
      <c r="N30" s="377">
        <f>(K30-G30)*100</f>
        <v>-0.26751305616013465</v>
      </c>
      <c r="Q30" s="328"/>
      <c r="R30" s="328"/>
      <c r="S30" s="328"/>
      <c r="T30" s="328"/>
      <c r="U30" s="328"/>
    </row>
    <row r="31" spans="1:22" ht="13" customHeight="1">
      <c r="A31" s="341"/>
      <c r="B31" s="22" t="str">
        <f>IF('Summary | Sumário'!$D$6=Names!$B$3,Names!BL31,Names!BM31)</f>
        <v>Coverage Ratio (%)</v>
      </c>
      <c r="C31" s="369">
        <f>'4. Credit | Crédito'!J23</f>
        <v>1.2907857808006844</v>
      </c>
      <c r="D31" s="369">
        <f>'4. Credit | Crédito'!K23</f>
        <v>1.4118731449552733</v>
      </c>
      <c r="E31" s="369">
        <f>'4. Credit | Crédito'!L23</f>
        <v>1.3190422438713376</v>
      </c>
      <c r="F31" s="369">
        <f>'4. Credit | Crédito'!M23</f>
        <v>1.3143517286753656</v>
      </c>
      <c r="G31" s="369">
        <f>'4. Credit | Crédito'!N23</f>
        <v>1.3015905116392614</v>
      </c>
      <c r="H31" s="369">
        <f>'4. Credit | Crédito'!O23</f>
        <v>1.3188960574080884</v>
      </c>
      <c r="I31" s="369">
        <f>'4. Credit | Crédito'!P23</f>
        <v>1.3215901659780338</v>
      </c>
      <c r="J31" s="369">
        <f>'4. Credit | Crédito'!Q23</f>
        <v>1.3083710464130354</v>
      </c>
      <c r="K31" s="369">
        <f>'4. Credit | Crédito'!R23</f>
        <v>1.3017532725540957</v>
      </c>
      <c r="L31" s="375"/>
      <c r="M31" s="370">
        <f>(K31-J31)*100</f>
        <v>-0.66177738589396906</v>
      </c>
      <c r="N31" s="371">
        <f>(K31-G31)*100</f>
        <v>1.6276091483424793E-2</v>
      </c>
      <c r="Q31" s="350"/>
      <c r="R31" s="350"/>
      <c r="S31" s="350"/>
      <c r="T31" s="350"/>
      <c r="U31" s="350"/>
    </row>
    <row r="32" spans="1:22" ht="13" customHeight="1">
      <c r="A32" s="341"/>
      <c r="B32" s="188"/>
      <c r="C32" s="350"/>
      <c r="D32" s="350"/>
      <c r="E32" s="350"/>
      <c r="F32" s="350"/>
      <c r="G32" s="350"/>
      <c r="H32" s="350"/>
      <c r="I32" s="350"/>
      <c r="J32" s="350"/>
      <c r="K32" s="350"/>
      <c r="L32" s="350"/>
      <c r="M32" s="362"/>
      <c r="N32" s="372"/>
      <c r="Q32" s="316"/>
      <c r="R32" s="316"/>
      <c r="S32" s="316"/>
      <c r="T32" s="316"/>
      <c r="U32" s="316"/>
    </row>
    <row r="33" spans="1:21" ht="13" customHeight="1">
      <c r="A33" s="341"/>
      <c r="B33" s="391" t="str">
        <f>IF('Summary | Sumário'!$D$6=Names!$B$3,Names!BL33,Names!BM33)</f>
        <v>Performance KPIs</v>
      </c>
      <c r="C33" s="392"/>
      <c r="D33" s="392"/>
      <c r="E33" s="392"/>
      <c r="F33" s="392"/>
      <c r="G33" s="392"/>
      <c r="H33" s="392"/>
      <c r="I33" s="392"/>
      <c r="J33" s="392"/>
      <c r="K33" s="392"/>
      <c r="M33" s="393"/>
      <c r="N33" s="393"/>
      <c r="Q33" s="316"/>
      <c r="R33" s="316"/>
      <c r="S33" s="316"/>
      <c r="T33" s="316"/>
      <c r="U33" s="316"/>
    </row>
    <row r="34" spans="1:21" ht="13" customHeight="1">
      <c r="A34" s="341"/>
      <c r="B34" s="396" t="str">
        <f>IF('Summary | Sumário'!$D$6=Names!$B$3,Names!BL34,Names!BM34)</f>
        <v>NIM 1.0 (%)</v>
      </c>
      <c r="C34" s="405">
        <f>'7.2. NIMs'!M14</f>
        <v>6.9509885601935162E-2</v>
      </c>
      <c r="D34" s="405">
        <f>'7.2. NIMs'!N14</f>
        <v>6.3804563889878999E-2</v>
      </c>
      <c r="E34" s="405">
        <f>'7.2. NIMs'!O14</f>
        <v>7.2326106208657676E-2</v>
      </c>
      <c r="F34" s="405">
        <f>'7.2. NIMs'!P14</f>
        <v>7.4154768372393848E-2</v>
      </c>
      <c r="G34" s="405">
        <f>'7.2. NIMs'!Q14</f>
        <v>8.1292947827274115E-2</v>
      </c>
      <c r="H34" s="405">
        <f>'7.2. NIMs'!R14</f>
        <v>7.8011077819640784E-2</v>
      </c>
      <c r="I34" s="405">
        <f>'7.2. NIMs'!S14</f>
        <v>7.6016105585943614E-2</v>
      </c>
      <c r="J34" s="405">
        <f>'7.2. NIMs'!T14</f>
        <v>7.8008672381001329E-2</v>
      </c>
      <c r="K34" s="405">
        <f>'7.2. NIMs'!U14</f>
        <v>7.8135776863962711E-2</v>
      </c>
      <c r="L34" s="375"/>
      <c r="M34" s="406">
        <f t="shared" ref="M34:M40" si="0">(K34-J34)*100</f>
        <v>1.271044829613821E-2</v>
      </c>
      <c r="N34" s="407">
        <f t="shared" ref="N34:N40" si="1">(K34-G34)*100</f>
        <v>-0.31571709633114037</v>
      </c>
      <c r="Q34" s="316"/>
      <c r="R34" s="316"/>
      <c r="S34" s="316"/>
      <c r="T34" s="316"/>
      <c r="U34" s="316"/>
    </row>
    <row r="35" spans="1:21" ht="13" customHeight="1">
      <c r="A35" s="341"/>
      <c r="B35" s="488" t="str">
        <f>IF('Summary | Sumário'!$D$6=Names!$B$3,Names!BL39,Names!BM39)</f>
        <v>Risk-Adjusted NIM 1.0 (%)</v>
      </c>
      <c r="C35" s="489">
        <f>'7.2. NIMs'!M41</f>
        <v>3.9472430147204467E-2</v>
      </c>
      <c r="D35" s="489">
        <f>'7.2. NIMs'!N41</f>
        <v>3.3588255497788655E-2</v>
      </c>
      <c r="E35" s="489">
        <f>'7.2. NIMs'!O41</f>
        <v>4.3976466759891378E-2</v>
      </c>
      <c r="F35" s="489">
        <f>'7.2. NIMs'!P41</f>
        <v>3.7608866774543018E-2</v>
      </c>
      <c r="G35" s="489">
        <f>'7.2. NIMs'!Q41</f>
        <v>4.0897576713552368E-2</v>
      </c>
      <c r="H35" s="489">
        <f>'7.2. NIMs'!R41</f>
        <v>3.9137013848690422E-2</v>
      </c>
      <c r="I35" s="489">
        <f>'7.2. NIMs'!S41</f>
        <v>4.2651452420236727E-2</v>
      </c>
      <c r="J35" s="489">
        <f>'7.2. NIMs'!T41</f>
        <v>4.4974304044865139E-2</v>
      </c>
      <c r="K35" s="489">
        <f>'7.2. NIMs'!U41</f>
        <v>4.6169619697821879E-2</v>
      </c>
      <c r="L35" s="375"/>
      <c r="M35" s="490">
        <f t="shared" si="0"/>
        <v>0.11953156529567396</v>
      </c>
      <c r="N35" s="491">
        <f t="shared" si="1"/>
        <v>0.52720429842695105</v>
      </c>
      <c r="Q35" s="316"/>
      <c r="R35" s="316"/>
      <c r="S35" s="316"/>
      <c r="T35" s="316"/>
      <c r="U35" s="316"/>
    </row>
    <row r="36" spans="1:21" ht="13" customHeight="1">
      <c r="A36" s="341"/>
      <c r="B36" s="16" t="str">
        <f>IF('Summary | Sumário'!$D$6=Names!$B$3,Names!BL35,Names!BM35)</f>
        <v>NIM 2.0 - IEP Only (%)</v>
      </c>
      <c r="C36" s="487">
        <f>'7.2. NIMs'!M28</f>
        <v>8.1316997280889425E-2</v>
      </c>
      <c r="D36" s="487">
        <f>'7.2. NIMs'!N28</f>
        <v>7.4497874078582174E-2</v>
      </c>
      <c r="E36" s="487">
        <f>'7.2. NIMs'!O28</f>
        <v>8.4173192464300134E-2</v>
      </c>
      <c r="F36" s="487">
        <f>'7.2. NIMs'!P28</f>
        <v>8.6679395326141259E-2</v>
      </c>
      <c r="G36" s="487">
        <f>'7.2. NIMs'!Q28</f>
        <v>9.5275870614249816E-2</v>
      </c>
      <c r="H36" s="487">
        <f>'7.2. NIMs'!R28</f>
        <v>9.1881395447457576E-2</v>
      </c>
      <c r="I36" s="487">
        <f>'7.2. NIMs'!S28</f>
        <v>8.9925313340997362E-2</v>
      </c>
      <c r="J36" s="487">
        <f>'7.2. NIMs'!T28</f>
        <v>9.2313259386583371E-2</v>
      </c>
      <c r="K36" s="487">
        <f>'7.2. NIMs'!U28</f>
        <v>9.2300945548336719E-2</v>
      </c>
      <c r="L36" s="487"/>
      <c r="M36" s="376">
        <f t="shared" si="0"/>
        <v>-1.2313838246652553E-3</v>
      </c>
      <c r="N36" s="377">
        <f t="shared" si="1"/>
        <v>-0.29749250659130977</v>
      </c>
      <c r="Q36" s="316"/>
      <c r="R36" s="316"/>
      <c r="S36" s="316"/>
      <c r="T36" s="316"/>
      <c r="U36" s="316"/>
    </row>
    <row r="37" spans="1:21" ht="13" customHeight="1">
      <c r="A37" s="341"/>
      <c r="B37" s="488" t="str">
        <f>IF('Summary | Sumário'!$D$6=Names!$B$3,Names!BL40,Names!BM40)</f>
        <v>Risk-Adjusted NIM 2.0 (%)</v>
      </c>
      <c r="C37" s="492">
        <f>'7.2. NIMs'!M56</f>
        <v>4.617730941656107E-2</v>
      </c>
      <c r="D37" s="492">
        <f>'7.2. NIMs'!N56</f>
        <v>3.9217470914967335E-2</v>
      </c>
      <c r="E37" s="492">
        <f>'7.2. NIMs'!O56</f>
        <v>5.1179854612954906E-2</v>
      </c>
      <c r="F37" s="492">
        <f>'7.2. NIMs'!P56</f>
        <v>4.3960946847652567E-2</v>
      </c>
      <c r="G37" s="492">
        <f>'7.2. NIMs'!Q56</f>
        <v>4.7932229443517146E-2</v>
      </c>
      <c r="H37" s="492">
        <f>'7.2. NIMs'!R56</f>
        <v>4.6095548819078042E-2</v>
      </c>
      <c r="I37" s="492">
        <f>'7.2. NIMs'!S56</f>
        <v>5.0455692169103339E-2</v>
      </c>
      <c r="J37" s="492">
        <f>'7.2. NIMs'!T56</f>
        <v>5.3221321018608131E-2</v>
      </c>
      <c r="K37" s="492">
        <f>'7.2. NIMs'!U56</f>
        <v>5.4539670874911766E-2</v>
      </c>
      <c r="L37" s="487"/>
      <c r="M37" s="490">
        <f t="shared" si="0"/>
        <v>0.13183498563036355</v>
      </c>
      <c r="N37" s="491">
        <f t="shared" si="1"/>
        <v>0.66074414313946206</v>
      </c>
      <c r="Q37" s="316"/>
      <c r="R37" s="316"/>
      <c r="S37" s="316"/>
      <c r="T37" s="316"/>
      <c r="U37" s="316"/>
    </row>
    <row r="38" spans="1:21" ht="13" customHeight="1">
      <c r="A38" s="341"/>
      <c r="B38" s="16" t="str">
        <f>IF('Summary | Sumário'!$D$6=Names!$B$3,Names!BL36,Names!BM36)</f>
        <v>All-in Cost of Funding (% of CDI)</v>
      </c>
      <c r="C38" s="323">
        <f>'5. Funding'!M25</f>
        <v>0.57342847772445593</v>
      </c>
      <c r="D38" s="323">
        <f>'5. Funding'!N25</f>
        <v>0.59005529184779504</v>
      </c>
      <c r="E38" s="323">
        <f>'5. Funding'!O25</f>
        <v>0.54834646565066081</v>
      </c>
      <c r="F38" s="323">
        <f>'5. Funding'!P25</f>
        <v>0.59697348816995932</v>
      </c>
      <c r="G38" s="323">
        <f>'5. Funding'!Q25</f>
        <v>0.5862739307988849</v>
      </c>
      <c r="H38" s="323">
        <f>'5. Funding'!R25</f>
        <v>0.61707902823666128</v>
      </c>
      <c r="I38" s="323">
        <f>'5. Funding'!S25</f>
        <v>0.59171705967014232</v>
      </c>
      <c r="J38" s="323">
        <f>'5. Funding'!T25</f>
        <v>0.61920574215306567</v>
      </c>
      <c r="K38" s="323">
        <f>'5. Funding'!U25</f>
        <v>0.64262589346663457</v>
      </c>
      <c r="L38" s="323"/>
      <c r="M38" s="376">
        <f t="shared" si="0"/>
        <v>2.3420151313568893</v>
      </c>
      <c r="N38" s="377">
        <f t="shared" si="1"/>
        <v>5.6351962667749671</v>
      </c>
      <c r="Q38" s="316"/>
      <c r="R38" s="316"/>
      <c r="S38" s="316"/>
      <c r="T38" s="316"/>
      <c r="U38" s="316"/>
    </row>
    <row r="39" spans="1:21" ht="13" customHeight="1">
      <c r="A39" s="341"/>
      <c r="B39" s="493" t="str">
        <f>IF('Summary | Sumário'!$D$6=Names!$B$3,Names!BL37,Names!BM37)</f>
        <v>Efficiency Ratio (%)</v>
      </c>
      <c r="C39" s="494">
        <f>'7.3. Efficiency | Eficiência'!M14</f>
        <v>0.68258635450748339</v>
      </c>
      <c r="D39" s="494">
        <f>'7.3. Efficiency | Eficiência'!N14</f>
        <v>0.75028931719132097</v>
      </c>
      <c r="E39" s="494">
        <f>'7.3. Efficiency | Eficiência'!O14</f>
        <v>0.73439417574268773</v>
      </c>
      <c r="F39" s="494">
        <f>'7.3. Efficiency | Eficiência'!P14</f>
        <v>0.62351057373347107</v>
      </c>
      <c r="G39" s="494">
        <f>'7.3. Efficiency | Eficiência'!Q14</f>
        <v>0.53383674950420901</v>
      </c>
      <c r="H39" s="494">
        <f>'7.3. Efficiency | Eficiência'!R14</f>
        <v>0.52425869323134722</v>
      </c>
      <c r="I39" s="494">
        <f>'7.3. Efficiency | Eficiência'!S14</f>
        <v>0.51364339974584727</v>
      </c>
      <c r="J39" s="494">
        <f>'7.3. Efficiency | Eficiência'!T14</f>
        <v>0.47740981275189825</v>
      </c>
      <c r="K39" s="494">
        <f>'7.3. Efficiency | Eficiência'!U14</f>
        <v>0.47859478999957056</v>
      </c>
      <c r="L39" s="378"/>
      <c r="M39" s="490">
        <f t="shared" si="0"/>
        <v>0.11849772476723031</v>
      </c>
      <c r="N39" s="491">
        <f t="shared" si="1"/>
        <v>-5.5241959504638452</v>
      </c>
      <c r="Q39" s="354"/>
      <c r="R39" s="354"/>
      <c r="S39" s="354"/>
      <c r="T39" s="354"/>
      <c r="U39" s="328"/>
    </row>
    <row r="40" spans="1:21" ht="13" customHeight="1">
      <c r="A40" s="341"/>
      <c r="B40" s="187" t="str">
        <f>IF('Summary | Sumário'!$D$6=Names!$B$3,Names!BL38,Names!BM38)</f>
        <v>ROE (%)</v>
      </c>
      <c r="C40" s="378">
        <f>'7. Financial KPIs (Financeiros)'!M13</f>
        <v>8.0289028644101833E-3</v>
      </c>
      <c r="D40" s="378">
        <f>'7. Financial KPIs (Financeiros)'!N13</f>
        <v>-1.6608156020408833E-2</v>
      </c>
      <c r="E40" s="378">
        <f>'7. Financial KPIs (Financeiros)'!O13</f>
        <v>1.6199070395942601E-2</v>
      </c>
      <c r="F40" s="378">
        <f>'7. Financial KPIs (Financeiros)'!P13</f>
        <v>1.3615002027547946E-2</v>
      </c>
      <c r="G40" s="378">
        <f>'7. Financial KPIs (Financeiros)'!Q13</f>
        <v>3.5509163231094806E-2</v>
      </c>
      <c r="H40" s="378">
        <f>'7. Financial KPIs (Financeiros)'!R13</f>
        <v>5.6740741194691365E-2</v>
      </c>
      <c r="I40" s="378">
        <f>'7. Financial KPIs (Financeiros)'!S13</f>
        <v>8.537951387371448E-2</v>
      </c>
      <c r="J40" s="378">
        <f>'7. Financial KPIs (Financeiros)'!T13</f>
        <v>9.6792442627862685E-2</v>
      </c>
      <c r="K40" s="378">
        <f>'7. Financial KPIs (Financeiros)'!U13</f>
        <v>0.10389104160060836</v>
      </c>
      <c r="L40" s="378"/>
      <c r="M40" s="376">
        <f t="shared" si="0"/>
        <v>0.70985989727456733</v>
      </c>
      <c r="N40" s="377">
        <f t="shared" si="1"/>
        <v>6.8381878369513549</v>
      </c>
      <c r="Q40" s="354"/>
      <c r="R40" s="354"/>
      <c r="S40" s="354"/>
      <c r="T40" s="354"/>
      <c r="U40" s="328"/>
    </row>
    <row r="41" spans="1:21" ht="13" customHeight="1">
      <c r="A41" s="341"/>
      <c r="B41" s="18"/>
      <c r="Q41" s="354"/>
      <c r="R41" s="354"/>
      <c r="S41" s="354"/>
      <c r="T41" s="354"/>
      <c r="U41" s="328"/>
    </row>
    <row r="42" spans="1:21" ht="13" customHeight="1">
      <c r="B42" s="18"/>
      <c r="C42" s="355"/>
      <c r="D42" s="355"/>
      <c r="E42" s="355"/>
      <c r="F42" s="355"/>
      <c r="G42" s="355"/>
      <c r="H42" s="355"/>
      <c r="I42" s="355"/>
      <c r="J42" s="355"/>
      <c r="K42" s="355"/>
      <c r="L42" s="355"/>
      <c r="M42" s="355"/>
      <c r="N42" s="355"/>
      <c r="O42" s="355"/>
      <c r="P42" s="355"/>
      <c r="Q42" s="355"/>
      <c r="R42" s="355"/>
      <c r="S42" s="355"/>
      <c r="T42" s="355"/>
      <c r="U42" s="355"/>
    </row>
    <row r="43" spans="1:21" ht="13" customHeight="1">
      <c r="B43" s="18"/>
      <c r="C43" s="355"/>
      <c r="D43" s="355"/>
      <c r="E43" s="355"/>
      <c r="F43" s="355"/>
      <c r="G43" s="355"/>
      <c r="H43" s="355"/>
      <c r="I43" s="355"/>
      <c r="J43" s="355"/>
      <c r="K43" s="355"/>
      <c r="L43" s="355"/>
      <c r="M43" s="355"/>
      <c r="N43" s="355"/>
      <c r="O43" s="355"/>
      <c r="P43" s="355"/>
      <c r="Q43" s="355"/>
      <c r="R43" s="355"/>
      <c r="S43" s="355"/>
      <c r="T43" s="355"/>
      <c r="U43" s="355"/>
    </row>
    <row r="45" spans="1:21" ht="13" customHeight="1">
      <c r="F45" s="356"/>
    </row>
  </sheetData>
  <sheetProtection algorithmName="SHA-512" hashValue="vb024Jf51qys1E0SoBi3+83oxPgtkOad1nODy8b7WrSjXuhD6lPmc9ae4+aL7+acfeOqHn1Xwxhx9HKnE4cJ7A==" saltValue="C6Fqc7YYa8gI0gdbkpR7x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B4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50" customWidth="1"/>
    <col min="2" max="2" width="68.33203125" style="15" bestFit="1" customWidth="1"/>
    <col min="3" max="21" width="10.83203125" style="357" customWidth="1"/>
    <col min="22" max="22" width="4.83203125" style="357" customWidth="1"/>
    <col min="23" max="25" width="10.83203125" style="357" customWidth="1"/>
    <col min="26" max="26" width="10.83203125" style="250"/>
    <col min="27" max="28" width="10.83203125" style="250" customWidth="1"/>
    <col min="29" max="16384" width="10.83203125" style="250"/>
  </cols>
  <sheetData>
    <row r="1" spans="1:28" s="345" customFormat="1" ht="13" customHeight="1">
      <c r="B1" s="9"/>
      <c r="C1" s="346"/>
      <c r="D1" s="346"/>
      <c r="E1" s="346"/>
      <c r="F1" s="346"/>
      <c r="G1" s="346"/>
      <c r="H1" s="346"/>
      <c r="I1" s="346"/>
      <c r="J1" s="346"/>
      <c r="K1" s="346"/>
      <c r="L1" s="346"/>
      <c r="M1" s="346"/>
      <c r="N1" s="346"/>
      <c r="O1" s="346"/>
      <c r="P1" s="346"/>
      <c r="Q1" s="346"/>
      <c r="R1" s="346"/>
      <c r="S1" s="346"/>
      <c r="T1" s="346"/>
      <c r="U1" s="346"/>
      <c r="V1" s="346"/>
      <c r="W1" s="346"/>
      <c r="X1" s="346"/>
      <c r="Y1" s="346"/>
    </row>
    <row r="2" spans="1:28" s="10" customFormat="1" ht="13" customHeight="1">
      <c r="B2" s="384" t="str">
        <f>IF('Summary | Sumário'!D6=Names!B3,Names!K1,Names!L1)</f>
        <v>Balance Sheet (IFRS, R$ Thousands)</v>
      </c>
      <c r="C2" s="197">
        <f>IF('Summary | Sumário'!D6=Names!B3,Names!C2,Names!D2)</f>
        <v>2019</v>
      </c>
      <c r="D2" s="197">
        <f>IF('Summary | Sumário'!D6=Names!B3,Names!C3,Names!D3)</f>
        <v>2020</v>
      </c>
      <c r="E2" s="197">
        <f>IF('Summary | Sumário'!D6=Names!B3,Names!C4,Names!D4)</f>
        <v>2021</v>
      </c>
      <c r="F2" s="197">
        <f>IF('Summary | Sumário'!D6=Names!B3,Names!C5,Names!D5)</f>
        <v>2022</v>
      </c>
      <c r="G2" s="413">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6"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1:28" s="345" customFormat="1" ht="13" customHeight="1">
      <c r="B3" s="14"/>
      <c r="C3" s="212"/>
      <c r="D3" s="212"/>
      <c r="E3" s="212"/>
      <c r="F3" s="212"/>
      <c r="G3" s="213"/>
      <c r="H3" s="213"/>
      <c r="I3" s="213"/>
      <c r="J3" s="213"/>
      <c r="K3" s="213"/>
      <c r="L3" s="213"/>
      <c r="M3" s="213"/>
      <c r="N3" s="213"/>
      <c r="O3" s="213"/>
      <c r="P3" s="213"/>
      <c r="Q3" s="213"/>
      <c r="R3" s="213"/>
      <c r="S3" s="213"/>
      <c r="T3" s="213"/>
      <c r="U3" s="213"/>
      <c r="V3" s="213"/>
      <c r="W3" s="203"/>
      <c r="X3" s="203"/>
      <c r="Y3" s="213"/>
    </row>
    <row r="4" spans="1:28" ht="13" customHeight="1">
      <c r="A4" s="341"/>
      <c r="B4" s="9" t="str">
        <f>IF('Summary | Sumário'!D6=Names!B3,Names!K2,Names!L2)</f>
        <v>Assets</v>
      </c>
      <c r="C4" s="347"/>
      <c r="D4" s="347"/>
      <c r="E4" s="347"/>
      <c r="F4" s="347"/>
      <c r="G4" s="348"/>
      <c r="H4" s="347"/>
      <c r="I4" s="347"/>
      <c r="J4" s="347"/>
      <c r="K4" s="347"/>
      <c r="L4" s="347"/>
      <c r="M4" s="347"/>
      <c r="N4" s="348"/>
      <c r="O4" s="348"/>
      <c r="P4" s="348"/>
      <c r="Q4" s="348"/>
      <c r="R4" s="348"/>
      <c r="S4" s="348"/>
      <c r="T4" s="348"/>
      <c r="U4" s="348"/>
      <c r="V4" s="348"/>
      <c r="W4" s="250"/>
      <c r="X4" s="250"/>
      <c r="Y4" s="348"/>
    </row>
    <row r="5" spans="1:28" ht="13" customHeight="1">
      <c r="A5" s="341"/>
      <c r="B5" s="22" t="str">
        <f>IF('Summary | Sumário'!D6=Names!B3,Names!K3,Names!L3)</f>
        <v>Cash and cash equivalents</v>
      </c>
      <c r="C5" s="349">
        <v>3114789</v>
      </c>
      <c r="D5" s="349">
        <v>2154687</v>
      </c>
      <c r="E5" s="349">
        <f>K5</f>
        <v>500446</v>
      </c>
      <c r="F5" s="349">
        <f>O5</f>
        <v>1331648</v>
      </c>
      <c r="G5" s="349">
        <f>S5</f>
        <v>4259379</v>
      </c>
      <c r="H5" s="349">
        <v>906123</v>
      </c>
      <c r="I5" s="349">
        <v>5731007.0010000002</v>
      </c>
      <c r="J5" s="349">
        <v>451774.29800000001</v>
      </c>
      <c r="K5" s="349">
        <v>500446</v>
      </c>
      <c r="L5" s="349">
        <v>1171654</v>
      </c>
      <c r="M5" s="349">
        <v>1549158</v>
      </c>
      <c r="N5" s="349">
        <v>838310</v>
      </c>
      <c r="O5" s="349">
        <v>1331648</v>
      </c>
      <c r="P5" s="349">
        <v>1791707</v>
      </c>
      <c r="Q5" s="349">
        <v>3672219</v>
      </c>
      <c r="R5" s="349">
        <v>4297077.8057988677</v>
      </c>
      <c r="S5" s="349">
        <v>4259379</v>
      </c>
      <c r="T5" s="349">
        <v>2830309.989293688</v>
      </c>
      <c r="U5" s="349">
        <v>2797339</v>
      </c>
      <c r="V5" s="350"/>
      <c r="W5" s="369">
        <f>U5/T5-1</f>
        <v>-1.1649250229977759E-2</v>
      </c>
      <c r="X5" s="369">
        <f>U5/Q5-1</f>
        <v>-0.23824287168058333</v>
      </c>
      <c r="Y5" s="350"/>
    </row>
    <row r="6" spans="1:28" ht="13" customHeight="1">
      <c r="A6" s="341"/>
      <c r="B6" s="16" t="str">
        <f>IF('Summary | Sumário'!D6=Names!B3,Names!K4,Names!L4)</f>
        <v>Amounts due from financial institutions</v>
      </c>
      <c r="C6" s="350">
        <v>256097</v>
      </c>
      <c r="D6" s="350">
        <v>502369</v>
      </c>
      <c r="E6" s="350">
        <f t="shared" ref="E6:E17" si="0">K6</f>
        <v>2051862</v>
      </c>
      <c r="F6" s="350">
        <f t="shared" ref="F6:F17" si="1">O6</f>
        <v>4258856</v>
      </c>
      <c r="G6" s="350">
        <f t="shared" ref="G6:G17" si="2">S6</f>
        <v>3718505.7949100002</v>
      </c>
      <c r="H6" s="350">
        <v>578499</v>
      </c>
      <c r="I6" s="350">
        <v>646905</v>
      </c>
      <c r="J6" s="350">
        <v>1408183</v>
      </c>
      <c r="K6" s="350">
        <v>2051862</v>
      </c>
      <c r="L6" s="350">
        <v>1807258</v>
      </c>
      <c r="M6" s="350">
        <v>1825289</v>
      </c>
      <c r="N6" s="350">
        <v>3417500</v>
      </c>
      <c r="O6" s="350">
        <v>4258856</v>
      </c>
      <c r="P6" s="350">
        <v>3770074</v>
      </c>
      <c r="Q6" s="350">
        <v>2556811</v>
      </c>
      <c r="R6" s="350">
        <v>3474243.8523399998</v>
      </c>
      <c r="S6" s="350">
        <v>3718505.7949100002</v>
      </c>
      <c r="T6" s="350">
        <v>4051287.3041199995</v>
      </c>
      <c r="U6" s="350">
        <v>5280321.9577800008</v>
      </c>
      <c r="V6" s="350"/>
      <c r="W6" s="375">
        <f t="shared" ref="W6:W17" si="3">U6/T6-1</f>
        <v>0.30336891990111914</v>
      </c>
      <c r="X6" s="375">
        <f t="shared" ref="X6:X17" si="4">U6/Q6-1</f>
        <v>1.0651983888445415</v>
      </c>
      <c r="Y6" s="350"/>
    </row>
    <row r="7" spans="1:28" ht="13" customHeight="1">
      <c r="A7" s="341"/>
      <c r="B7" s="22" t="str">
        <f>IF('Summary | Sumário'!D6=Names!B3,Names!K5,Names!L5)</f>
        <v>Compulsory deposits at Central Bank of Brazil</v>
      </c>
      <c r="C7" s="349">
        <v>392280</v>
      </c>
      <c r="D7" s="349">
        <v>1709729</v>
      </c>
      <c r="E7" s="349">
        <f t="shared" si="0"/>
        <v>2399488</v>
      </c>
      <c r="F7" s="349">
        <f t="shared" si="1"/>
        <v>2854778</v>
      </c>
      <c r="G7" s="349">
        <f t="shared" si="2"/>
        <v>2664415</v>
      </c>
      <c r="H7" s="349">
        <v>1644359</v>
      </c>
      <c r="I7" s="349">
        <v>1593298</v>
      </c>
      <c r="J7" s="349">
        <v>2331697</v>
      </c>
      <c r="K7" s="349">
        <v>2399488</v>
      </c>
      <c r="L7" s="349">
        <v>2361774</v>
      </c>
      <c r="M7" s="349">
        <v>2580989</v>
      </c>
      <c r="N7" s="349">
        <v>2686243</v>
      </c>
      <c r="O7" s="349">
        <v>2854778</v>
      </c>
      <c r="P7" s="349">
        <v>2993616</v>
      </c>
      <c r="Q7" s="349">
        <v>1703869</v>
      </c>
      <c r="R7" s="349">
        <v>2190872.3033499997</v>
      </c>
      <c r="S7" s="349">
        <v>2664415</v>
      </c>
      <c r="T7" s="349">
        <v>2925658.3690599999</v>
      </c>
      <c r="U7" s="349">
        <v>3725774.7714499999</v>
      </c>
      <c r="V7" s="350"/>
      <c r="W7" s="369">
        <f t="shared" si="3"/>
        <v>0.27348251280858649</v>
      </c>
      <c r="X7" s="369">
        <f t="shared" si="4"/>
        <v>1.1866556474998959</v>
      </c>
      <c r="Y7" s="350"/>
    </row>
    <row r="8" spans="1:28" ht="13" customHeight="1">
      <c r="A8" s="341"/>
      <c r="B8" s="16" t="str">
        <f>IF('Summary | Sumário'!D6=Names!B3,Names!K6,Names!L6)</f>
        <v>Securities</v>
      </c>
      <c r="C8" s="350">
        <v>1155094</v>
      </c>
      <c r="D8" s="350">
        <v>5812622</v>
      </c>
      <c r="E8" s="350">
        <f t="shared" si="0"/>
        <v>12757687</v>
      </c>
      <c r="F8" s="350">
        <f t="shared" si="1"/>
        <v>12448565</v>
      </c>
      <c r="G8" s="350">
        <f t="shared" si="2"/>
        <v>16868112</v>
      </c>
      <c r="H8" s="350">
        <v>6619726</v>
      </c>
      <c r="I8" s="350">
        <v>8230481</v>
      </c>
      <c r="J8" s="350">
        <v>13241180</v>
      </c>
      <c r="K8" s="350">
        <v>12757687</v>
      </c>
      <c r="L8" s="350">
        <v>12335401</v>
      </c>
      <c r="M8" s="350">
        <v>12710051</v>
      </c>
      <c r="N8" s="350">
        <v>13373465</v>
      </c>
      <c r="O8" s="350">
        <v>12448565</v>
      </c>
      <c r="P8" s="350">
        <v>12535351</v>
      </c>
      <c r="Q8" s="350">
        <v>14169684</v>
      </c>
      <c r="R8" s="350">
        <v>14908297</v>
      </c>
      <c r="S8" s="350">
        <v>16868112</v>
      </c>
      <c r="T8" s="350">
        <v>18167251</v>
      </c>
      <c r="U8" s="350">
        <v>18276426</v>
      </c>
      <c r="V8" s="350"/>
      <c r="W8" s="375">
        <f t="shared" si="3"/>
        <v>6.0094397330670013E-3</v>
      </c>
      <c r="X8" s="375">
        <f t="shared" si="4"/>
        <v>0.2898259410725037</v>
      </c>
      <c r="Y8" s="350"/>
    </row>
    <row r="9" spans="1:28" ht="13" customHeight="1">
      <c r="A9" s="341"/>
      <c r="B9" s="22" t="str">
        <f>IF('Summary | Sumário'!D6=Names!B3,Names!K7,Names!L7)</f>
        <v>Derivative financial assets</v>
      </c>
      <c r="C9" s="349">
        <v>0</v>
      </c>
      <c r="D9" s="349">
        <v>27513</v>
      </c>
      <c r="E9" s="349">
        <f t="shared" si="0"/>
        <v>86948</v>
      </c>
      <c r="F9" s="349">
        <f t="shared" si="1"/>
        <v>0</v>
      </c>
      <c r="G9" s="349">
        <f t="shared" si="2"/>
        <v>4238</v>
      </c>
      <c r="H9" s="349">
        <v>18603</v>
      </c>
      <c r="I9" s="349">
        <v>11684</v>
      </c>
      <c r="J9" s="349">
        <v>7643</v>
      </c>
      <c r="K9" s="349">
        <v>86948</v>
      </c>
      <c r="L9" s="349">
        <v>10410</v>
      </c>
      <c r="M9" s="349">
        <v>3212</v>
      </c>
      <c r="N9" s="349">
        <v>581</v>
      </c>
      <c r="O9" s="349">
        <v>0</v>
      </c>
      <c r="P9" s="349">
        <v>1122</v>
      </c>
      <c r="Q9" s="349">
        <v>3625</v>
      </c>
      <c r="R9" s="349">
        <v>9388.5369900000005</v>
      </c>
      <c r="S9" s="349">
        <v>4238</v>
      </c>
      <c r="T9" s="349">
        <v>7392.1129600000004</v>
      </c>
      <c r="U9" s="349">
        <v>7177.425780000005</v>
      </c>
      <c r="V9" s="350"/>
      <c r="W9" s="369">
        <f t="shared" si="3"/>
        <v>-2.9042735299325773E-2</v>
      </c>
      <c r="X9" s="369">
        <f t="shared" si="4"/>
        <v>0.97997952551724277</v>
      </c>
      <c r="Y9" s="350"/>
    </row>
    <row r="10" spans="1:28" ht="13" customHeight="1">
      <c r="A10" s="341"/>
      <c r="B10" s="16" t="str">
        <f>IF('Summary | Sumário'!D$6=Names!B$3,Names!K8,Names!L8)</f>
        <v>Net loans and advances to customers</v>
      </c>
      <c r="C10" s="350">
        <v>4561824</v>
      </c>
      <c r="D10" s="350">
        <v>8507703</v>
      </c>
      <c r="E10" s="350">
        <f t="shared" si="0"/>
        <v>16535430</v>
      </c>
      <c r="F10" s="350">
        <f t="shared" si="1"/>
        <v>21379916</v>
      </c>
      <c r="G10" s="350">
        <f t="shared" si="2"/>
        <v>27900543</v>
      </c>
      <c r="H10" s="350">
        <v>9908120</v>
      </c>
      <c r="I10" s="350">
        <v>12040483</v>
      </c>
      <c r="J10" s="350">
        <v>14301537</v>
      </c>
      <c r="K10" s="350">
        <v>16535430</v>
      </c>
      <c r="L10" s="350">
        <v>17374632</v>
      </c>
      <c r="M10" s="350">
        <v>18510189</v>
      </c>
      <c r="N10" s="350">
        <v>19820903</v>
      </c>
      <c r="O10" s="350">
        <v>21379916</v>
      </c>
      <c r="P10" s="350">
        <v>22371167</v>
      </c>
      <c r="Q10" s="350">
        <v>23523982</v>
      </c>
      <c r="R10" s="350">
        <v>25296620</v>
      </c>
      <c r="S10" s="350">
        <v>27900543</v>
      </c>
      <c r="T10" s="350">
        <v>28826998.881090201</v>
      </c>
      <c r="U10" s="350">
        <v>30806640</v>
      </c>
      <c r="V10" s="350"/>
      <c r="W10" s="375">
        <f t="shared" si="3"/>
        <v>6.8673160431153901E-2</v>
      </c>
      <c r="X10" s="375">
        <f t="shared" si="4"/>
        <v>0.30958440624550732</v>
      </c>
      <c r="Y10" s="350"/>
    </row>
    <row r="11" spans="1:28" ht="13" customHeight="1">
      <c r="A11" s="341"/>
      <c r="B11" s="22" t="str">
        <f>IF('Summary | Sumário'!D$6=Names!B$3,Names!K9,Names!L9)</f>
        <v>Non-current assets held for sale</v>
      </c>
      <c r="C11" s="349">
        <v>121632</v>
      </c>
      <c r="D11" s="349">
        <v>119929</v>
      </c>
      <c r="E11" s="349">
        <f t="shared" si="0"/>
        <v>129793</v>
      </c>
      <c r="F11" s="349">
        <f t="shared" si="1"/>
        <v>166943</v>
      </c>
      <c r="G11" s="349">
        <f t="shared" si="2"/>
        <v>174355</v>
      </c>
      <c r="H11" s="349">
        <v>114385</v>
      </c>
      <c r="I11" s="349">
        <v>136305</v>
      </c>
      <c r="J11" s="349">
        <v>134931</v>
      </c>
      <c r="K11" s="349">
        <v>129793</v>
      </c>
      <c r="L11" s="349">
        <v>136641</v>
      </c>
      <c r="M11" s="349">
        <v>161254</v>
      </c>
      <c r="N11" s="349">
        <v>165703</v>
      </c>
      <c r="O11" s="349">
        <v>166943</v>
      </c>
      <c r="P11" s="349">
        <v>178413</v>
      </c>
      <c r="Q11" s="349">
        <v>176866</v>
      </c>
      <c r="R11" s="349">
        <v>169346.87808000002</v>
      </c>
      <c r="S11" s="349">
        <v>174355</v>
      </c>
      <c r="T11" s="349">
        <v>173712.38881</v>
      </c>
      <c r="U11" s="349">
        <v>179954.22278000001</v>
      </c>
      <c r="V11" s="350"/>
      <c r="W11" s="369">
        <f t="shared" si="3"/>
        <v>3.5932002390612894E-2</v>
      </c>
      <c r="X11" s="369">
        <f t="shared" si="4"/>
        <v>1.7460805242387023E-2</v>
      </c>
      <c r="Y11" s="350"/>
    </row>
    <row r="12" spans="1:28" ht="13" customHeight="1">
      <c r="A12" s="341"/>
      <c r="B12" s="16" t="str">
        <f>IF('Summary | Sumário'!D$6=Names!B$3,Names!K10,Names!L10)</f>
        <v>Equity accounted investees</v>
      </c>
      <c r="C12" s="350">
        <v>0</v>
      </c>
      <c r="D12" s="350">
        <v>0</v>
      </c>
      <c r="E12" s="350">
        <f t="shared" si="0"/>
        <v>82445</v>
      </c>
      <c r="F12" s="350">
        <f t="shared" si="1"/>
        <v>72090</v>
      </c>
      <c r="G12" s="350">
        <f t="shared" si="2"/>
        <v>90634</v>
      </c>
      <c r="H12" s="350">
        <v>91162</v>
      </c>
      <c r="I12" s="350">
        <v>95055</v>
      </c>
      <c r="J12" s="350">
        <v>148434</v>
      </c>
      <c r="K12" s="350">
        <v>82445</v>
      </c>
      <c r="L12" s="350">
        <v>85231</v>
      </c>
      <c r="M12" s="350">
        <v>80741</v>
      </c>
      <c r="N12" s="350">
        <v>76849</v>
      </c>
      <c r="O12" s="350">
        <v>72090</v>
      </c>
      <c r="P12" s="350">
        <v>70820</v>
      </c>
      <c r="Q12" s="350">
        <v>71900</v>
      </c>
      <c r="R12" s="350">
        <v>71884.022609999229</v>
      </c>
      <c r="S12" s="350">
        <v>90634</v>
      </c>
      <c r="T12" s="350">
        <v>89569</v>
      </c>
      <c r="U12" s="350">
        <v>88155</v>
      </c>
      <c r="V12" s="350"/>
      <c r="W12" s="375">
        <f t="shared" si="3"/>
        <v>-1.5786711920418917E-2</v>
      </c>
      <c r="X12" s="375">
        <f t="shared" si="4"/>
        <v>0.22607788595271217</v>
      </c>
      <c r="Y12" s="350"/>
    </row>
    <row r="13" spans="1:28" ht="13" customHeight="1">
      <c r="A13" s="341"/>
      <c r="B13" s="22" t="str">
        <f>IF('Summary | Sumário'!D$6=Names!B$3,Names!K11,Names!L11)</f>
        <v>Property and equipment</v>
      </c>
      <c r="C13" s="349">
        <v>91851</v>
      </c>
      <c r="D13" s="349">
        <v>137846</v>
      </c>
      <c r="E13" s="349">
        <f t="shared" si="0"/>
        <v>163475</v>
      </c>
      <c r="F13" s="349">
        <f t="shared" si="1"/>
        <v>188019</v>
      </c>
      <c r="G13" s="349">
        <f t="shared" si="2"/>
        <v>167547</v>
      </c>
      <c r="H13" s="349">
        <v>149132</v>
      </c>
      <c r="I13" s="349">
        <v>158686</v>
      </c>
      <c r="J13" s="349">
        <v>379252</v>
      </c>
      <c r="K13" s="349">
        <v>163475</v>
      </c>
      <c r="L13" s="349">
        <v>204039</v>
      </c>
      <c r="M13" s="349">
        <v>200804</v>
      </c>
      <c r="N13" s="349">
        <v>193905</v>
      </c>
      <c r="O13" s="349">
        <v>188019</v>
      </c>
      <c r="P13" s="349">
        <v>180923</v>
      </c>
      <c r="Q13" s="349">
        <v>179317</v>
      </c>
      <c r="R13" s="349">
        <v>173677</v>
      </c>
      <c r="S13" s="349">
        <v>167547</v>
      </c>
      <c r="T13" s="349">
        <v>187076.45079360603</v>
      </c>
      <c r="U13" s="349">
        <v>193646.72361747202</v>
      </c>
      <c r="V13" s="350"/>
      <c r="W13" s="369">
        <f t="shared" si="3"/>
        <v>3.5120790436176774E-2</v>
      </c>
      <c r="X13" s="369">
        <f t="shared" si="4"/>
        <v>7.9912800333889145E-2</v>
      </c>
      <c r="Y13" s="350"/>
    </row>
    <row r="14" spans="1:28" ht="13" customHeight="1">
      <c r="A14" s="341"/>
      <c r="B14" s="16" t="str">
        <f>IF('Summary | Sumário'!D$6=Names!B$3,Names!K12,Names!L12)</f>
        <v>Intangible assets</v>
      </c>
      <c r="C14" s="350">
        <v>79248</v>
      </c>
      <c r="D14" s="350">
        <v>224516</v>
      </c>
      <c r="E14" s="350">
        <f t="shared" si="0"/>
        <v>430504</v>
      </c>
      <c r="F14" s="350">
        <f t="shared" si="1"/>
        <v>1238629</v>
      </c>
      <c r="G14" s="350">
        <f t="shared" si="2"/>
        <v>1345304</v>
      </c>
      <c r="H14" s="350">
        <v>303418</v>
      </c>
      <c r="I14" s="350">
        <v>348745</v>
      </c>
      <c r="J14" s="350">
        <v>569127.75</v>
      </c>
      <c r="K14" s="350">
        <v>430504</v>
      </c>
      <c r="L14" s="350">
        <v>1316366</v>
      </c>
      <c r="M14" s="350">
        <v>1189909</v>
      </c>
      <c r="N14" s="350">
        <v>1209471</v>
      </c>
      <c r="O14" s="350">
        <v>1238629</v>
      </c>
      <c r="P14" s="350">
        <v>1274423</v>
      </c>
      <c r="Q14" s="350">
        <v>1303182</v>
      </c>
      <c r="R14" s="350">
        <v>1322350</v>
      </c>
      <c r="S14" s="350">
        <v>1345304</v>
      </c>
      <c r="T14" s="350">
        <v>1398792.2814018102</v>
      </c>
      <c r="U14" s="350">
        <v>1661858.0236931695</v>
      </c>
      <c r="V14" s="350"/>
      <c r="W14" s="375">
        <f t="shared" si="3"/>
        <v>0.18806633821837071</v>
      </c>
      <c r="X14" s="375">
        <f t="shared" si="4"/>
        <v>0.27523095292381994</v>
      </c>
      <c r="Y14" s="350"/>
    </row>
    <row r="15" spans="1:28" ht="13" customHeight="1">
      <c r="A15" s="341"/>
      <c r="B15" s="22" t="str">
        <f>IF('Summary | Sumário'!D$6=Names!B$3,Names!K13,Names!L13)</f>
        <v>Deferred tax assets</v>
      </c>
      <c r="C15" s="349">
        <v>112217</v>
      </c>
      <c r="D15" s="349">
        <v>206018</v>
      </c>
      <c r="E15" s="349">
        <f t="shared" si="0"/>
        <v>695525.47689649905</v>
      </c>
      <c r="F15" s="349">
        <f t="shared" si="1"/>
        <v>978148</v>
      </c>
      <c r="G15" s="349">
        <f t="shared" si="2"/>
        <v>1033535</v>
      </c>
      <c r="H15" s="349">
        <v>374673</v>
      </c>
      <c r="I15" s="349">
        <v>512637</v>
      </c>
      <c r="J15" s="349">
        <v>89648</v>
      </c>
      <c r="K15" s="349">
        <v>695525.47689649905</v>
      </c>
      <c r="L15" s="349">
        <v>831698</v>
      </c>
      <c r="M15" s="349">
        <v>931537</v>
      </c>
      <c r="N15" s="349">
        <v>872798</v>
      </c>
      <c r="O15" s="349">
        <v>978148</v>
      </c>
      <c r="P15" s="349">
        <v>1008370</v>
      </c>
      <c r="Q15" s="349">
        <v>940399</v>
      </c>
      <c r="R15" s="349">
        <v>1071248</v>
      </c>
      <c r="S15" s="349">
        <v>1033535</v>
      </c>
      <c r="T15" s="349">
        <v>1082102</v>
      </c>
      <c r="U15" s="349">
        <v>1218264.6107360399</v>
      </c>
      <c r="V15" s="350"/>
      <c r="W15" s="369">
        <f t="shared" si="3"/>
        <v>0.12583158587271814</v>
      </c>
      <c r="X15" s="369">
        <f t="shared" si="4"/>
        <v>0.29547629329257052</v>
      </c>
      <c r="Y15" s="350"/>
    </row>
    <row r="16" spans="1:28" ht="13" customHeight="1">
      <c r="A16" s="341"/>
      <c r="B16" s="16" t="str">
        <f>IF('Summary | Sumário'!D$6=Names!B$3,Names!K14,Names!L14)</f>
        <v>Other assets</v>
      </c>
      <c r="C16" s="316">
        <v>192054</v>
      </c>
      <c r="D16" s="316">
        <v>518681</v>
      </c>
      <c r="E16" s="316">
        <f t="shared" si="0"/>
        <v>792734.63349000004</v>
      </c>
      <c r="F16" s="316">
        <f t="shared" si="1"/>
        <v>1425508</v>
      </c>
      <c r="G16" s="316">
        <f t="shared" si="2"/>
        <v>2125231</v>
      </c>
      <c r="H16" s="316">
        <v>728467</v>
      </c>
      <c r="I16" s="316">
        <v>804207.20399999991</v>
      </c>
      <c r="J16" s="316">
        <v>699185.75381999998</v>
      </c>
      <c r="K16" s="316">
        <v>792734.63349000004</v>
      </c>
      <c r="L16" s="316">
        <v>977090</v>
      </c>
      <c r="M16" s="316">
        <v>1190646</v>
      </c>
      <c r="N16" s="316">
        <v>1188339</v>
      </c>
      <c r="O16" s="316">
        <v>1425508</v>
      </c>
      <c r="P16" s="316">
        <v>1525108</v>
      </c>
      <c r="Q16" s="316">
        <v>1701475</v>
      </c>
      <c r="R16" s="316">
        <v>2093833</v>
      </c>
      <c r="S16" s="316">
        <v>2125231</v>
      </c>
      <c r="T16" s="316">
        <v>2609029</v>
      </c>
      <c r="U16" s="316">
        <v>2337903</v>
      </c>
      <c r="V16" s="316"/>
      <c r="W16" s="323">
        <f t="shared" si="3"/>
        <v>-0.10391835429962637</v>
      </c>
      <c r="X16" s="323">
        <f t="shared" si="4"/>
        <v>0.37404487283092602</v>
      </c>
      <c r="Y16" s="316"/>
    </row>
    <row r="17" spans="1:26" ht="13" customHeight="1">
      <c r="A17" s="341"/>
      <c r="B17" s="408" t="str">
        <f>IF('Summary | Sumário'!D$6=Names!B$3,Names!K15,Names!L15)</f>
        <v>Total assets</v>
      </c>
      <c r="C17" s="409">
        <v>10077086</v>
      </c>
      <c r="D17" s="409">
        <v>19921613</v>
      </c>
      <c r="E17" s="409">
        <f t="shared" si="0"/>
        <v>36626337.428616509</v>
      </c>
      <c r="F17" s="409">
        <f t="shared" si="1"/>
        <v>46343100</v>
      </c>
      <c r="G17" s="409">
        <f t="shared" si="2"/>
        <v>60351796.794909999</v>
      </c>
      <c r="H17" s="409">
        <v>21436667</v>
      </c>
      <c r="I17" s="409">
        <v>30309493.204999998</v>
      </c>
      <c r="J17" s="409">
        <v>33762592.801820002</v>
      </c>
      <c r="K17" s="409">
        <v>36626337.428616509</v>
      </c>
      <c r="L17" s="409">
        <v>38612194</v>
      </c>
      <c r="M17" s="409">
        <v>40933779</v>
      </c>
      <c r="N17" s="409">
        <v>43844067</v>
      </c>
      <c r="O17" s="409">
        <v>46343100</v>
      </c>
      <c r="P17" s="409">
        <v>47701094</v>
      </c>
      <c r="Q17" s="409">
        <v>50003329</v>
      </c>
      <c r="R17" s="409">
        <v>55078840</v>
      </c>
      <c r="S17" s="409">
        <v>60351796.794909999</v>
      </c>
      <c r="T17" s="409">
        <v>62349178.777529307</v>
      </c>
      <c r="U17" s="409">
        <v>66573459.735836677</v>
      </c>
      <c r="V17" s="354"/>
      <c r="W17" s="504">
        <f t="shared" si="3"/>
        <v>6.7751990341046842E-2</v>
      </c>
      <c r="X17" s="504">
        <f t="shared" si="4"/>
        <v>0.3313805513996213</v>
      </c>
      <c r="Y17" s="328"/>
    </row>
    <row r="18" spans="1:26" ht="13" customHeight="1">
      <c r="A18" s="341"/>
      <c r="B18" s="3"/>
      <c r="C18" s="328"/>
      <c r="D18" s="328"/>
      <c r="E18" s="328"/>
      <c r="F18" s="328"/>
      <c r="G18" s="328"/>
      <c r="H18" s="328"/>
      <c r="I18" s="328"/>
      <c r="J18" s="328"/>
      <c r="K18" s="328"/>
      <c r="L18" s="328"/>
      <c r="M18" s="328"/>
      <c r="N18" s="328"/>
      <c r="O18" s="328"/>
      <c r="P18" s="328"/>
      <c r="Q18" s="328"/>
      <c r="R18" s="328"/>
      <c r="S18" s="328"/>
      <c r="T18" s="328"/>
      <c r="U18" s="328"/>
      <c r="V18" s="328"/>
      <c r="W18" s="505"/>
      <c r="X18" s="505"/>
      <c r="Y18" s="328"/>
      <c r="Z18" s="351"/>
    </row>
    <row r="19" spans="1:26" ht="13" customHeight="1">
      <c r="A19" s="341"/>
      <c r="B19" s="35" t="str">
        <f>IF('Summary | Sumário'!D$6=Names!B$3,Names!K16,Names!L16)</f>
        <v>Liabilities</v>
      </c>
      <c r="C19" s="342"/>
      <c r="D19" s="342"/>
      <c r="E19" s="342"/>
      <c r="F19" s="342"/>
      <c r="G19" s="342"/>
      <c r="H19" s="342"/>
      <c r="I19" s="342"/>
      <c r="J19" s="342"/>
      <c r="K19" s="342"/>
      <c r="L19" s="342"/>
      <c r="M19" s="342"/>
      <c r="N19" s="342"/>
      <c r="O19" s="342"/>
      <c r="P19" s="342"/>
      <c r="Q19" s="342"/>
      <c r="R19" s="342"/>
      <c r="S19" s="342"/>
      <c r="T19" s="342"/>
      <c r="U19" s="342"/>
      <c r="V19" s="328"/>
      <c r="W19" s="500"/>
      <c r="X19" s="500"/>
      <c r="Y19" s="328"/>
    </row>
    <row r="20" spans="1:26" ht="13" customHeight="1">
      <c r="A20" s="341"/>
      <c r="B20" s="16" t="str">
        <f>IF('Summary | Sumário'!D$6=Names!B$3,Names!K17,Names!L17)</f>
        <v xml:space="preserve">Liabilities with financial and similar institutions </v>
      </c>
      <c r="C20" s="350">
        <v>1152492</v>
      </c>
      <c r="D20" s="350">
        <v>1756913</v>
      </c>
      <c r="E20" s="350">
        <f t="shared" ref="E20:E28" si="5">K20</f>
        <v>5341464</v>
      </c>
      <c r="F20" s="350">
        <f t="shared" ref="F20:F28" si="6">O20</f>
        <v>7906897</v>
      </c>
      <c r="G20" s="316">
        <f t="shared" ref="G20:G29" si="7">S20</f>
        <v>9522469</v>
      </c>
      <c r="H20" s="350">
        <v>2236178</v>
      </c>
      <c r="I20" s="350">
        <v>3003367</v>
      </c>
      <c r="J20" s="350">
        <v>4235618</v>
      </c>
      <c r="K20" s="350">
        <v>5341464</v>
      </c>
      <c r="L20" s="350">
        <v>5917844</v>
      </c>
      <c r="M20" s="316">
        <v>6945236</v>
      </c>
      <c r="N20" s="316">
        <v>7349464</v>
      </c>
      <c r="O20" s="316">
        <v>7906897</v>
      </c>
      <c r="P20" s="316">
        <v>8216538</v>
      </c>
      <c r="Q20" s="316">
        <v>8023953</v>
      </c>
      <c r="R20" s="316">
        <v>9418244.5561900008</v>
      </c>
      <c r="S20" s="316">
        <v>9522469</v>
      </c>
      <c r="T20" s="316">
        <v>10483086.949449999</v>
      </c>
      <c r="U20" s="316">
        <v>10913779.061690001</v>
      </c>
      <c r="V20" s="316"/>
      <c r="W20" s="323">
        <f t="shared" ref="W20" si="8">U20/T20-1</f>
        <v>4.1084473907048835E-2</v>
      </c>
      <c r="X20" s="323">
        <f t="shared" ref="X20" si="9">U20/Q20-1</f>
        <v>0.36014992382059074</v>
      </c>
      <c r="Y20" s="316"/>
    </row>
    <row r="21" spans="1:26" ht="13" customHeight="1">
      <c r="A21" s="341"/>
      <c r="B21" s="22" t="str">
        <f>IF('Summary | Sumário'!D$6=Names!B$3,Names!K18,Names!L18)</f>
        <v>Liabilities with customers</v>
      </c>
      <c r="C21" s="349">
        <v>4714439</v>
      </c>
      <c r="D21" s="349">
        <v>12436632</v>
      </c>
      <c r="E21" s="349">
        <f t="shared" si="5"/>
        <v>18333543</v>
      </c>
      <c r="F21" s="349">
        <f t="shared" si="6"/>
        <v>23642804</v>
      </c>
      <c r="G21" s="315">
        <f t="shared" si="7"/>
        <v>32651620</v>
      </c>
      <c r="H21" s="349">
        <v>13392679</v>
      </c>
      <c r="I21" s="349">
        <v>15629130.619999999</v>
      </c>
      <c r="J21" s="349">
        <v>17093473.298</v>
      </c>
      <c r="K21" s="349">
        <v>18333543</v>
      </c>
      <c r="L21" s="349">
        <v>18958118</v>
      </c>
      <c r="M21" s="315">
        <v>19746409</v>
      </c>
      <c r="N21" s="315">
        <v>21452026</v>
      </c>
      <c r="O21" s="315">
        <v>23642804</v>
      </c>
      <c r="P21" s="315">
        <v>24182006</v>
      </c>
      <c r="Q21" s="315">
        <v>26299326</v>
      </c>
      <c r="R21" s="315">
        <v>29063988</v>
      </c>
      <c r="S21" s="315">
        <v>32651620</v>
      </c>
      <c r="T21" s="315">
        <v>32643444.086135942</v>
      </c>
      <c r="U21" s="315">
        <v>35978317.836610004</v>
      </c>
      <c r="V21" s="316"/>
      <c r="W21" s="326">
        <f t="shared" ref="W21:W29" si="10">U21/T21-1</f>
        <v>0.10216059744414108</v>
      </c>
      <c r="X21" s="326">
        <f t="shared" ref="X21:X29" si="11">U21/Q21-1</f>
        <v>0.36803193498609077</v>
      </c>
      <c r="Y21" s="316"/>
      <c r="Z21" s="352"/>
    </row>
    <row r="22" spans="1:26" ht="13" customHeight="1">
      <c r="A22" s="341"/>
      <c r="B22" s="16" t="str">
        <f>IF('Summary | Sumário'!D$6=Names!B$3,Names!K19,Names!L19)</f>
        <v>Securities issued</v>
      </c>
      <c r="C22" s="350">
        <v>1719580</v>
      </c>
      <c r="D22" s="350">
        <v>1729436</v>
      </c>
      <c r="E22" s="350">
        <f t="shared" si="5"/>
        <v>3572093</v>
      </c>
      <c r="F22" s="350">
        <f t="shared" si="6"/>
        <v>6202165</v>
      </c>
      <c r="G22" s="316">
        <f t="shared" si="7"/>
        <v>8095042</v>
      </c>
      <c r="H22" s="350">
        <v>1704892</v>
      </c>
      <c r="I22" s="350">
        <v>2081723</v>
      </c>
      <c r="J22" s="350">
        <v>3093320</v>
      </c>
      <c r="K22" s="350">
        <v>3572093</v>
      </c>
      <c r="L22" s="350">
        <v>4280956</v>
      </c>
      <c r="M22" s="316">
        <v>6104223</v>
      </c>
      <c r="N22" s="316">
        <v>6916919</v>
      </c>
      <c r="O22" s="316">
        <v>6202165</v>
      </c>
      <c r="P22" s="316">
        <v>6640557</v>
      </c>
      <c r="Q22" s="316">
        <v>7006191.0407400001</v>
      </c>
      <c r="R22" s="316">
        <v>7462564.5372699993</v>
      </c>
      <c r="S22" s="316">
        <v>8095042</v>
      </c>
      <c r="T22" s="316">
        <v>8249142.2142699994</v>
      </c>
      <c r="U22" s="316">
        <v>8543248.1731000002</v>
      </c>
      <c r="V22" s="316"/>
      <c r="W22" s="323">
        <f t="shared" si="10"/>
        <v>3.5652914107994649E-2</v>
      </c>
      <c r="X22" s="323">
        <f t="shared" si="11"/>
        <v>0.21938555820448413</v>
      </c>
      <c r="Y22" s="316"/>
    </row>
    <row r="23" spans="1:26" ht="13" customHeight="1">
      <c r="A23" s="341"/>
      <c r="B23" s="22" t="str">
        <f>IF('Summary | Sumário'!D$6=Names!B$3,Names!K20,Names!L20)</f>
        <v>Derivative financial liabilities</v>
      </c>
      <c r="C23" s="349">
        <v>20941</v>
      </c>
      <c r="D23" s="349">
        <v>56758</v>
      </c>
      <c r="E23" s="349">
        <f t="shared" si="5"/>
        <v>66545</v>
      </c>
      <c r="F23" s="349">
        <f t="shared" si="6"/>
        <v>37768</v>
      </c>
      <c r="G23" s="315">
        <f t="shared" si="7"/>
        <v>15063</v>
      </c>
      <c r="H23" s="349">
        <v>83222</v>
      </c>
      <c r="I23" s="349">
        <v>78887</v>
      </c>
      <c r="J23" s="349">
        <v>81359</v>
      </c>
      <c r="K23" s="349">
        <v>66545</v>
      </c>
      <c r="L23" s="349">
        <v>76042</v>
      </c>
      <c r="M23" s="315">
        <v>65888</v>
      </c>
      <c r="N23" s="315">
        <v>40347</v>
      </c>
      <c r="O23" s="315">
        <v>37768</v>
      </c>
      <c r="P23" s="315">
        <v>32614</v>
      </c>
      <c r="Q23" s="315">
        <v>27996</v>
      </c>
      <c r="R23" s="315">
        <v>21058.658820000001</v>
      </c>
      <c r="S23" s="315">
        <v>15063</v>
      </c>
      <c r="T23" s="315">
        <v>13892.998310000001</v>
      </c>
      <c r="U23" s="315">
        <v>14039.200530000002</v>
      </c>
      <c r="V23" s="316"/>
      <c r="W23" s="326">
        <f t="shared" si="10"/>
        <v>1.0523446180423557E-2</v>
      </c>
      <c r="X23" s="326">
        <f t="shared" si="11"/>
        <v>-0.49852834226318044</v>
      </c>
      <c r="Y23" s="316"/>
    </row>
    <row r="24" spans="1:26" ht="13" customHeight="1">
      <c r="A24" s="341"/>
      <c r="B24" s="16" t="str">
        <f>IF('Summary | Sumário'!D$6=Names!B$3,Names!K21,Names!L21)</f>
        <v>Borrowing and onlending</v>
      </c>
      <c r="C24" s="350">
        <v>29800</v>
      </c>
      <c r="D24" s="350">
        <v>27405</v>
      </c>
      <c r="E24" s="350">
        <f t="shared" si="5"/>
        <v>25071</v>
      </c>
      <c r="F24" s="350">
        <f t="shared" si="6"/>
        <v>36448</v>
      </c>
      <c r="G24" s="316">
        <f t="shared" si="7"/>
        <v>107412</v>
      </c>
      <c r="H24" s="350">
        <v>27179</v>
      </c>
      <c r="I24" s="350">
        <v>26325</v>
      </c>
      <c r="J24" s="350">
        <v>25580</v>
      </c>
      <c r="K24" s="350">
        <v>25071</v>
      </c>
      <c r="L24" s="350">
        <v>33002</v>
      </c>
      <c r="M24" s="316">
        <v>31855</v>
      </c>
      <c r="N24" s="316">
        <v>33119</v>
      </c>
      <c r="O24" s="316">
        <v>36448</v>
      </c>
      <c r="P24" s="316">
        <v>36632</v>
      </c>
      <c r="Q24" s="316">
        <v>38753</v>
      </c>
      <c r="R24" s="316">
        <v>87649</v>
      </c>
      <c r="S24" s="316">
        <v>107412</v>
      </c>
      <c r="T24" s="316">
        <v>102019.6489</v>
      </c>
      <c r="U24" s="316">
        <v>101630.08156999999</v>
      </c>
      <c r="V24" s="316"/>
      <c r="W24" s="323">
        <f t="shared" si="10"/>
        <v>-3.8185519573965543E-3</v>
      </c>
      <c r="X24" s="323">
        <f t="shared" si="11"/>
        <v>1.6225087495161663</v>
      </c>
      <c r="Y24" s="316"/>
    </row>
    <row r="25" spans="1:26" ht="13" customHeight="1">
      <c r="A25" s="341"/>
      <c r="B25" s="22" t="str">
        <f>IF('Summary | Sumário'!D$6=Names!B$3,Names!K22,Names!L22)</f>
        <v>Tax liabilities</v>
      </c>
      <c r="C25" s="349">
        <v>18202</v>
      </c>
      <c r="D25" s="349">
        <v>30271</v>
      </c>
      <c r="E25" s="349">
        <f t="shared" si="5"/>
        <v>78406</v>
      </c>
      <c r="F25" s="349">
        <f t="shared" si="6"/>
        <v>166865</v>
      </c>
      <c r="G25" s="315">
        <f t="shared" si="7"/>
        <v>363262</v>
      </c>
      <c r="H25" s="349">
        <v>50880</v>
      </c>
      <c r="I25" s="349">
        <v>42517</v>
      </c>
      <c r="J25" s="349">
        <v>55514.155149999999</v>
      </c>
      <c r="K25" s="349">
        <v>78406</v>
      </c>
      <c r="L25" s="349">
        <v>102495</v>
      </c>
      <c r="M25" s="315">
        <v>163665</v>
      </c>
      <c r="N25" s="315">
        <v>153726</v>
      </c>
      <c r="O25" s="315">
        <v>166865</v>
      </c>
      <c r="P25" s="315">
        <v>154341</v>
      </c>
      <c r="Q25" s="315">
        <v>206021</v>
      </c>
      <c r="R25" s="315">
        <v>332844.93984000006</v>
      </c>
      <c r="S25" s="315">
        <v>363262</v>
      </c>
      <c r="T25" s="315">
        <v>439126</v>
      </c>
      <c r="U25" s="315">
        <v>357818</v>
      </c>
      <c r="V25" s="316"/>
      <c r="W25" s="326">
        <f t="shared" si="10"/>
        <v>-0.18515870160272907</v>
      </c>
      <c r="X25" s="326">
        <f t="shared" si="11"/>
        <v>0.73680352973725971</v>
      </c>
      <c r="Y25" s="316"/>
    </row>
    <row r="26" spans="1:26" ht="13" customHeight="1">
      <c r="A26" s="341"/>
      <c r="B26" s="16" t="str">
        <f>IF('Summary | Sumário'!D$6=Names!B$3,Names!K25,Names!L25)</f>
        <v>Provisions</v>
      </c>
      <c r="C26" s="350">
        <v>22055</v>
      </c>
      <c r="D26" s="350">
        <v>23637</v>
      </c>
      <c r="E26" s="350">
        <f t="shared" si="5"/>
        <v>52848</v>
      </c>
      <c r="F26" s="350">
        <f t="shared" si="6"/>
        <v>57449</v>
      </c>
      <c r="G26" s="316">
        <f t="shared" si="7"/>
        <v>70452</v>
      </c>
      <c r="H26" s="350">
        <v>25182</v>
      </c>
      <c r="I26" s="350">
        <v>37558</v>
      </c>
      <c r="J26" s="350">
        <v>41873</v>
      </c>
      <c r="K26" s="350">
        <v>52848</v>
      </c>
      <c r="L26" s="350">
        <v>55607</v>
      </c>
      <c r="M26" s="316">
        <v>61118</v>
      </c>
      <c r="N26" s="316">
        <v>59219</v>
      </c>
      <c r="O26" s="316">
        <v>57449</v>
      </c>
      <c r="P26" s="316">
        <v>63213</v>
      </c>
      <c r="Q26" s="316">
        <v>65931</v>
      </c>
      <c r="R26" s="316">
        <v>35040.451930000003</v>
      </c>
      <c r="S26" s="316">
        <v>70452</v>
      </c>
      <c r="T26" s="316">
        <v>70003.378370004008</v>
      </c>
      <c r="U26" s="316">
        <v>45712.062899999997</v>
      </c>
      <c r="V26" s="316"/>
      <c r="W26" s="323">
        <f t="shared" si="10"/>
        <v>-0.34700204526718503</v>
      </c>
      <c r="X26" s="323">
        <f t="shared" si="11"/>
        <v>-0.30666813941848303</v>
      </c>
      <c r="Y26" s="316"/>
    </row>
    <row r="27" spans="1:26" ht="13" customHeight="1">
      <c r="A27" s="341"/>
      <c r="B27" s="22" t="str">
        <f>IF('Summary | Sumário'!D$6=Names!B$3,Names!K26,Names!L26)</f>
        <v>Deferred tax liabilities</v>
      </c>
      <c r="C27" s="349">
        <v>21524</v>
      </c>
      <c r="D27" s="349">
        <v>60926</v>
      </c>
      <c r="E27" s="349">
        <f t="shared" si="5"/>
        <v>89235</v>
      </c>
      <c r="F27" s="349">
        <f t="shared" si="6"/>
        <v>30073</v>
      </c>
      <c r="G27" s="315">
        <f t="shared" si="7"/>
        <v>32539</v>
      </c>
      <c r="H27" s="349">
        <v>90691</v>
      </c>
      <c r="I27" s="349">
        <v>85656</v>
      </c>
      <c r="J27" s="349">
        <v>27373.95</v>
      </c>
      <c r="K27" s="349">
        <v>89235</v>
      </c>
      <c r="L27" s="349">
        <v>92379</v>
      </c>
      <c r="M27" s="315">
        <v>81915</v>
      </c>
      <c r="N27" s="315">
        <v>0</v>
      </c>
      <c r="O27" s="315">
        <v>30073</v>
      </c>
      <c r="P27" s="315">
        <v>29638</v>
      </c>
      <c r="Q27" s="315">
        <v>32670</v>
      </c>
      <c r="R27" s="315">
        <v>28894.89588</v>
      </c>
      <c r="S27" s="315">
        <v>32539</v>
      </c>
      <c r="T27" s="315">
        <v>49912</v>
      </c>
      <c r="U27" s="315">
        <v>29640</v>
      </c>
      <c r="V27" s="316"/>
      <c r="W27" s="326">
        <f t="shared" si="10"/>
        <v>-0.40615483250520912</v>
      </c>
      <c r="X27" s="326">
        <f t="shared" si="11"/>
        <v>-9.2745638200183667E-2</v>
      </c>
      <c r="Y27" s="316"/>
    </row>
    <row r="28" spans="1:26" ht="13" customHeight="1">
      <c r="A28" s="341"/>
      <c r="B28" s="16" t="str">
        <f>IF('Summary | Sumário'!D$6=Names!B$3,Names!K27,Names!L27)</f>
        <v>Other liabilities</v>
      </c>
      <c r="C28" s="316">
        <v>216115</v>
      </c>
      <c r="D28" s="316">
        <v>475420</v>
      </c>
      <c r="E28" s="316">
        <f t="shared" si="5"/>
        <v>617348.59181000001</v>
      </c>
      <c r="F28" s="316">
        <f t="shared" si="6"/>
        <v>1173527</v>
      </c>
      <c r="G28" s="316">
        <f t="shared" si="7"/>
        <v>1897248</v>
      </c>
      <c r="H28" s="316">
        <v>575148</v>
      </c>
      <c r="I28" s="316">
        <v>631703.80099999998</v>
      </c>
      <c r="J28" s="316">
        <v>570154</v>
      </c>
      <c r="K28" s="316">
        <v>617348.59181000001</v>
      </c>
      <c r="L28" s="316">
        <v>741385</v>
      </c>
      <c r="M28" s="316">
        <v>618089</v>
      </c>
      <c r="N28" s="316">
        <v>698852</v>
      </c>
      <c r="O28" s="316">
        <v>1173527</v>
      </c>
      <c r="P28" s="316">
        <v>1205649</v>
      </c>
      <c r="Q28" s="316">
        <v>984830</v>
      </c>
      <c r="R28" s="316">
        <v>1260329</v>
      </c>
      <c r="S28" s="316">
        <v>1897248</v>
      </c>
      <c r="T28" s="316">
        <v>1760099</v>
      </c>
      <c r="U28" s="316">
        <v>1981740</v>
      </c>
      <c r="V28" s="316"/>
      <c r="W28" s="323">
        <f t="shared" si="10"/>
        <v>0.12592530306533889</v>
      </c>
      <c r="X28" s="323">
        <f t="shared" si="11"/>
        <v>1.0122660763786642</v>
      </c>
      <c r="Y28" s="316"/>
    </row>
    <row r="29" spans="1:26" ht="13" customHeight="1">
      <c r="A29" s="341"/>
      <c r="B29" s="408" t="str">
        <f>IF('Summary | Sumário'!D$6=Names!B$3,Names!K28,Names!L28)</f>
        <v>Total liabilities</v>
      </c>
      <c r="C29" s="409">
        <v>7915148</v>
      </c>
      <c r="D29" s="409">
        <v>16597398</v>
      </c>
      <c r="E29" s="409">
        <f>K29</f>
        <v>28176553.591809999</v>
      </c>
      <c r="F29" s="409">
        <f>O29</f>
        <v>39253996</v>
      </c>
      <c r="G29" s="409">
        <f t="shared" si="7"/>
        <v>52755107</v>
      </c>
      <c r="H29" s="409">
        <v>18186051</v>
      </c>
      <c r="I29" s="409">
        <v>21616867.421</v>
      </c>
      <c r="J29" s="409">
        <v>25224265.40315</v>
      </c>
      <c r="K29" s="409">
        <v>28176553.591809999</v>
      </c>
      <c r="L29" s="409">
        <v>30257828</v>
      </c>
      <c r="M29" s="409">
        <v>33818398</v>
      </c>
      <c r="N29" s="409">
        <v>36703672</v>
      </c>
      <c r="O29" s="409">
        <v>39253996</v>
      </c>
      <c r="P29" s="409">
        <v>40561188</v>
      </c>
      <c r="Q29" s="409">
        <v>42685671</v>
      </c>
      <c r="R29" s="409">
        <v>47710613</v>
      </c>
      <c r="S29" s="409">
        <v>52755107</v>
      </c>
      <c r="T29" s="409">
        <v>53810726.275435939</v>
      </c>
      <c r="U29" s="409">
        <v>57965924.416400008</v>
      </c>
      <c r="V29" s="354"/>
      <c r="W29" s="504">
        <f t="shared" si="10"/>
        <v>7.7218770839390771E-2</v>
      </c>
      <c r="X29" s="504">
        <f t="shared" si="11"/>
        <v>0.35797149390951377</v>
      </c>
      <c r="Y29" s="328"/>
    </row>
    <row r="30" spans="1:26" ht="13" customHeight="1">
      <c r="A30" s="341"/>
      <c r="B30" s="3"/>
      <c r="C30" s="328"/>
      <c r="D30" s="328"/>
      <c r="E30" s="328"/>
      <c r="F30" s="328"/>
      <c r="G30" s="328"/>
      <c r="H30" s="328"/>
      <c r="I30" s="328"/>
      <c r="J30" s="328"/>
      <c r="K30" s="328"/>
      <c r="L30" s="328"/>
      <c r="M30" s="328"/>
      <c r="N30" s="328"/>
      <c r="O30" s="328"/>
      <c r="P30" s="328"/>
      <c r="Q30" s="328"/>
      <c r="R30" s="328"/>
      <c r="S30" s="328"/>
      <c r="T30" s="328"/>
      <c r="U30" s="328"/>
      <c r="V30" s="328"/>
      <c r="W30" s="505"/>
      <c r="X30" s="505"/>
      <c r="Y30" s="328"/>
    </row>
    <row r="31" spans="1:26" ht="13" customHeight="1">
      <c r="A31" s="341"/>
      <c r="B31" s="35" t="str">
        <f>IF('Summary | Sumário'!D$6=Names!B$3,Names!K29,Names!L29)</f>
        <v>Equity</v>
      </c>
      <c r="C31" s="342"/>
      <c r="D31" s="342"/>
      <c r="E31" s="342"/>
      <c r="F31" s="342"/>
      <c r="G31" s="342"/>
      <c r="H31" s="342"/>
      <c r="I31" s="342"/>
      <c r="J31" s="342"/>
      <c r="K31" s="342"/>
      <c r="L31" s="342"/>
      <c r="M31" s="342"/>
      <c r="N31" s="342"/>
      <c r="O31" s="342"/>
      <c r="P31" s="342"/>
      <c r="Q31" s="342"/>
      <c r="R31" s="342"/>
      <c r="S31" s="342"/>
      <c r="T31" s="342"/>
      <c r="U31" s="342"/>
      <c r="V31" s="328"/>
      <c r="W31" s="500"/>
      <c r="X31" s="500"/>
      <c r="Y31" s="328"/>
    </row>
    <row r="32" spans="1:26" ht="13" customHeight="1">
      <c r="A32" s="341"/>
      <c r="B32" s="16" t="str">
        <f>IF('Summary | Sumário'!D$6=Names!B$3,Names!K30,Names!L30)</f>
        <v>Equity attributable to owners of the Company</v>
      </c>
      <c r="C32" s="350">
        <f>SUM(C33:C36)</f>
        <v>2157761</v>
      </c>
      <c r="D32" s="350">
        <f t="shared" ref="D32:O32" si="12">SUM(D33:D36)</f>
        <v>3275634</v>
      </c>
      <c r="E32" s="350">
        <f t="shared" si="12"/>
        <v>2656124.8541782</v>
      </c>
      <c r="F32" s="350">
        <f t="shared" si="12"/>
        <v>6992382</v>
      </c>
      <c r="G32" s="350">
        <f t="shared" ref="G32:G38" si="13">S32</f>
        <v>7471810</v>
      </c>
      <c r="H32" s="350">
        <f t="shared" si="12"/>
        <v>3200971</v>
      </c>
      <c r="I32" s="350">
        <f t="shared" si="12"/>
        <v>2725582.0000000005</v>
      </c>
      <c r="J32" s="350">
        <f t="shared" si="12"/>
        <v>2684449.7805932802</v>
      </c>
      <c r="K32" s="350">
        <f t="shared" si="12"/>
        <v>2656124.8541782</v>
      </c>
      <c r="L32" s="350">
        <f t="shared" si="12"/>
        <v>2615835.2391781998</v>
      </c>
      <c r="M32" s="350">
        <f t="shared" si="12"/>
        <v>7034059</v>
      </c>
      <c r="N32" s="350">
        <f t="shared" si="12"/>
        <v>7044410</v>
      </c>
      <c r="O32" s="350">
        <f t="shared" si="12"/>
        <v>6992382</v>
      </c>
      <c r="P32" s="350">
        <f t="shared" ref="P32:U32" si="14">SUM(P33:P36)</f>
        <v>7030966</v>
      </c>
      <c r="Q32" s="350">
        <f t="shared" si="14"/>
        <v>7203957</v>
      </c>
      <c r="R32" s="350">
        <f t="shared" si="14"/>
        <v>7260368</v>
      </c>
      <c r="S32" s="350">
        <f t="shared" si="14"/>
        <v>7471810</v>
      </c>
      <c r="T32" s="350">
        <f t="shared" si="14"/>
        <v>8392475.0009060334</v>
      </c>
      <c r="U32" s="350">
        <f t="shared" si="14"/>
        <v>8461991.000906039</v>
      </c>
      <c r="V32" s="350"/>
      <c r="W32" s="375">
        <f t="shared" ref="W32" si="15">U32/T32-1</f>
        <v>8.2831345928944256E-3</v>
      </c>
      <c r="X32" s="375">
        <f t="shared" ref="X32" si="16">U32/Q32-1</f>
        <v>0.17463097029952279</v>
      </c>
      <c r="Y32" s="350"/>
    </row>
    <row r="33" spans="1:25" ht="13" customHeight="1">
      <c r="A33" s="341"/>
      <c r="B33" s="23" t="str">
        <f>IF('Summary | Sumário'!D$6=Names!B$3,Names!K31,Names!L31)</f>
        <v>Share capital</v>
      </c>
      <c r="C33" s="349">
        <v>2068305</v>
      </c>
      <c r="D33" s="349">
        <v>3216455</v>
      </c>
      <c r="E33" s="349">
        <f t="shared" ref="E33:E38" si="17">K33</f>
        <v>13.23917819999042</v>
      </c>
      <c r="F33" s="349">
        <f t="shared" ref="F33:F38" si="18">O33</f>
        <v>13</v>
      </c>
      <c r="G33" s="315">
        <f t="shared" si="13"/>
        <v>13</v>
      </c>
      <c r="H33" s="349">
        <v>3216455</v>
      </c>
      <c r="I33" s="349">
        <v>12.78059328001109</v>
      </c>
      <c r="J33" s="349">
        <v>12.78059328001109</v>
      </c>
      <c r="K33" s="349">
        <v>13.23917819999042</v>
      </c>
      <c r="L33" s="349">
        <v>13.23917819999042</v>
      </c>
      <c r="M33" s="315">
        <v>13</v>
      </c>
      <c r="N33" s="315">
        <v>13</v>
      </c>
      <c r="O33" s="315">
        <v>13</v>
      </c>
      <c r="P33" s="315">
        <v>13</v>
      </c>
      <c r="Q33" s="315">
        <v>13</v>
      </c>
      <c r="R33" s="315">
        <v>13</v>
      </c>
      <c r="S33" s="315">
        <v>13</v>
      </c>
      <c r="T33" s="315">
        <v>13.000906033441424</v>
      </c>
      <c r="U33" s="315">
        <v>13.00090603902936</v>
      </c>
      <c r="V33" s="316"/>
      <c r="W33" s="326">
        <f t="shared" ref="W33:W38" si="19">U33/T33-1</f>
        <v>4.2981129766417325E-10</v>
      </c>
      <c r="X33" s="326">
        <f t="shared" ref="X33:X38" si="20">U33/Q33-1</f>
        <v>6.9695309950823514E-5</v>
      </c>
      <c r="Y33" s="316"/>
    </row>
    <row r="34" spans="1:25" ht="13" customHeight="1">
      <c r="A34" s="341"/>
      <c r="B34" s="17" t="str">
        <f>IF('Summary | Sumário'!D$6=Names!B$3,Names!K32,Names!L32)</f>
        <v>Reserves</v>
      </c>
      <c r="C34" s="350">
        <v>90152</v>
      </c>
      <c r="D34" s="350">
        <v>150709</v>
      </c>
      <c r="E34" s="350">
        <f t="shared" si="17"/>
        <v>2728396</v>
      </c>
      <c r="F34" s="350">
        <f t="shared" si="18"/>
        <v>7817670</v>
      </c>
      <c r="G34" s="316">
        <f t="shared" si="13"/>
        <v>8147285</v>
      </c>
      <c r="H34" s="350">
        <v>57846</v>
      </c>
      <c r="I34" s="350">
        <v>2744512.2194067203</v>
      </c>
      <c r="J34" s="350">
        <v>2733223</v>
      </c>
      <c r="K34" s="350">
        <v>2728396</v>
      </c>
      <c r="L34" s="350">
        <v>2700579</v>
      </c>
      <c r="M34" s="316">
        <v>7842630</v>
      </c>
      <c r="N34" s="316">
        <v>7870186</v>
      </c>
      <c r="O34" s="316">
        <v>7817670</v>
      </c>
      <c r="P34" s="316">
        <v>7855472</v>
      </c>
      <c r="Q34" s="316">
        <v>7902577</v>
      </c>
      <c r="R34" s="316">
        <v>7998214</v>
      </c>
      <c r="S34" s="316">
        <v>8147285</v>
      </c>
      <c r="T34" s="316">
        <v>9116496</v>
      </c>
      <c r="U34" s="316">
        <v>9232290</v>
      </c>
      <c r="V34" s="316"/>
      <c r="W34" s="323">
        <f t="shared" si="19"/>
        <v>1.2701590611129632E-2</v>
      </c>
      <c r="X34" s="323">
        <f t="shared" si="20"/>
        <v>0.16826321337963557</v>
      </c>
      <c r="Y34" s="316"/>
    </row>
    <row r="35" spans="1:25" ht="13" customHeight="1">
      <c r="A35" s="341"/>
      <c r="B35" s="23" t="str">
        <f>IF('Summary | Sumário'!D$6=Names!B$3,Names!K33,Names!L33)</f>
        <v>Other comprehensive income</v>
      </c>
      <c r="C35" s="349">
        <v>-696</v>
      </c>
      <c r="D35" s="349">
        <v>25991</v>
      </c>
      <c r="E35" s="349">
        <f t="shared" si="17"/>
        <v>-72284.384999999995</v>
      </c>
      <c r="F35" s="349">
        <f t="shared" si="18"/>
        <v>-825301</v>
      </c>
      <c r="G35" s="315">
        <f t="shared" si="13"/>
        <v>-675488</v>
      </c>
      <c r="H35" s="349">
        <v>-36968</v>
      </c>
      <c r="I35" s="349">
        <v>-18943</v>
      </c>
      <c r="J35" s="349">
        <v>-48786</v>
      </c>
      <c r="K35" s="349">
        <v>-72284.384999999995</v>
      </c>
      <c r="L35" s="349">
        <v>-84757</v>
      </c>
      <c r="M35" s="315">
        <v>-808584</v>
      </c>
      <c r="N35" s="315">
        <v>-825789</v>
      </c>
      <c r="O35" s="315">
        <v>-825301</v>
      </c>
      <c r="P35" s="315">
        <v>-808110</v>
      </c>
      <c r="Q35" s="315">
        <v>-682224</v>
      </c>
      <c r="R35" s="315">
        <v>-729442</v>
      </c>
      <c r="S35" s="315">
        <v>-675488</v>
      </c>
      <c r="T35" s="315">
        <v>-711251</v>
      </c>
      <c r="U35" s="315">
        <v>-756625</v>
      </c>
      <c r="V35" s="316"/>
      <c r="W35" s="326">
        <f t="shared" si="19"/>
        <v>6.3794637898575868E-2</v>
      </c>
      <c r="X35" s="326">
        <f t="shared" si="20"/>
        <v>0.1090565562044139</v>
      </c>
      <c r="Y35" s="316"/>
    </row>
    <row r="36" spans="1:25" ht="13" customHeight="1">
      <c r="A36" s="341"/>
      <c r="B36" s="17" t="str">
        <f>IF('Summary | Sumário'!D$6=Names!B$3,Names!K34,Names!L34)</f>
        <v>Treasury shares</v>
      </c>
      <c r="C36" s="350">
        <v>0</v>
      </c>
      <c r="D36" s="350">
        <v>-117521</v>
      </c>
      <c r="E36" s="350">
        <f t="shared" si="17"/>
        <v>0</v>
      </c>
      <c r="F36" s="350">
        <f t="shared" si="18"/>
        <v>0</v>
      </c>
      <c r="G36" s="316">
        <f t="shared" si="13"/>
        <v>0</v>
      </c>
      <c r="H36" s="350">
        <v>-36362</v>
      </c>
      <c r="I36" s="350">
        <v>0</v>
      </c>
      <c r="J36" s="350">
        <v>0</v>
      </c>
      <c r="K36" s="350">
        <v>0</v>
      </c>
      <c r="L36" s="350">
        <v>0</v>
      </c>
      <c r="M36" s="316">
        <v>0</v>
      </c>
      <c r="N36" s="316">
        <v>0</v>
      </c>
      <c r="O36" s="316">
        <v>0</v>
      </c>
      <c r="P36" s="316">
        <v>-16409</v>
      </c>
      <c r="Q36" s="316">
        <v>-16409</v>
      </c>
      <c r="R36" s="316">
        <v>-8417</v>
      </c>
      <c r="S36" s="316">
        <v>0</v>
      </c>
      <c r="T36" s="316">
        <v>-12783</v>
      </c>
      <c r="U36" s="316">
        <v>-13687</v>
      </c>
      <c r="V36" s="316"/>
      <c r="W36" s="323">
        <f t="shared" si="19"/>
        <v>7.0718923570366909E-2</v>
      </c>
      <c r="X36" s="323">
        <f t="shared" si="20"/>
        <v>-0.16588457553781466</v>
      </c>
      <c r="Y36" s="316"/>
    </row>
    <row r="37" spans="1:25" ht="13" customHeight="1">
      <c r="A37" s="341"/>
      <c r="B37" s="22" t="str">
        <f>IF('Summary | Sumário'!D$6=Names!B$3,Names!K35,Names!L35)</f>
        <v>Non-controlling interest</v>
      </c>
      <c r="C37" s="349">
        <v>4177</v>
      </c>
      <c r="D37" s="349">
        <v>48581</v>
      </c>
      <c r="E37" s="349">
        <f t="shared" si="17"/>
        <v>5793658.7330626091</v>
      </c>
      <c r="F37" s="349">
        <f t="shared" si="18"/>
        <v>96722</v>
      </c>
      <c r="G37" s="315">
        <f t="shared" si="13"/>
        <v>124881</v>
      </c>
      <c r="H37" s="349">
        <v>49645</v>
      </c>
      <c r="I37" s="349">
        <v>5967043.7920000013</v>
      </c>
      <c r="J37" s="349">
        <v>5853877.4000000004</v>
      </c>
      <c r="K37" s="349">
        <v>5793658.7330626091</v>
      </c>
      <c r="L37" s="349">
        <v>5738531</v>
      </c>
      <c r="M37" s="315">
        <v>81322</v>
      </c>
      <c r="N37" s="315">
        <v>95985</v>
      </c>
      <c r="O37" s="315">
        <v>96722</v>
      </c>
      <c r="P37" s="315">
        <v>108940</v>
      </c>
      <c r="Q37" s="315">
        <v>113701</v>
      </c>
      <c r="R37" s="315">
        <v>107859</v>
      </c>
      <c r="S37" s="315">
        <v>124881</v>
      </c>
      <c r="T37" s="315">
        <v>145978</v>
      </c>
      <c r="U37" s="315">
        <v>145545</v>
      </c>
      <c r="V37" s="316"/>
      <c r="W37" s="326">
        <f t="shared" si="19"/>
        <v>-2.9662003863596409E-3</v>
      </c>
      <c r="X37" s="326">
        <f t="shared" si="20"/>
        <v>0.28006789737997018</v>
      </c>
      <c r="Y37" s="316"/>
    </row>
    <row r="38" spans="1:25" ht="13" customHeight="1">
      <c r="A38" s="341"/>
      <c r="B38" s="14" t="str">
        <f>IF('Summary | Sumário'!D$6=Names!B$3,Names!K36,Names!L36)</f>
        <v>Total equity</v>
      </c>
      <c r="C38" s="353">
        <v>2161938</v>
      </c>
      <c r="D38" s="353">
        <v>3324215</v>
      </c>
      <c r="E38" s="353">
        <f t="shared" si="17"/>
        <v>8449783.5872408096</v>
      </c>
      <c r="F38" s="353">
        <f t="shared" si="18"/>
        <v>7089104</v>
      </c>
      <c r="G38" s="354">
        <f t="shared" si="13"/>
        <v>7596691</v>
      </c>
      <c r="H38" s="353">
        <v>3250616</v>
      </c>
      <c r="I38" s="353">
        <v>8692625.7920000013</v>
      </c>
      <c r="J38" s="353">
        <v>8538327.1805932801</v>
      </c>
      <c r="K38" s="353">
        <v>8449783.5872408096</v>
      </c>
      <c r="L38" s="353">
        <v>8354366</v>
      </c>
      <c r="M38" s="354">
        <v>7115381</v>
      </c>
      <c r="N38" s="354">
        <v>7140395</v>
      </c>
      <c r="O38" s="354">
        <v>7089104</v>
      </c>
      <c r="P38" s="354">
        <v>7139906</v>
      </c>
      <c r="Q38" s="354">
        <v>7317658</v>
      </c>
      <c r="R38" s="354">
        <v>7368227</v>
      </c>
      <c r="S38" s="354">
        <v>7596691</v>
      </c>
      <c r="T38" s="354">
        <v>8538453.0009060334</v>
      </c>
      <c r="U38" s="354">
        <v>8607536.000906039</v>
      </c>
      <c r="V38" s="354"/>
      <c r="W38" s="506">
        <f t="shared" si="19"/>
        <v>8.090809891753814E-3</v>
      </c>
      <c r="X38" s="506">
        <f t="shared" si="20"/>
        <v>0.17626923817784856</v>
      </c>
      <c r="Y38" s="328"/>
    </row>
    <row r="39" spans="1:25" ht="13" customHeight="1">
      <c r="A39" s="341"/>
      <c r="B39" s="24"/>
      <c r="C39" s="342"/>
      <c r="D39" s="342"/>
      <c r="E39" s="342"/>
      <c r="F39" s="342"/>
      <c r="G39" s="342"/>
      <c r="H39" s="342"/>
      <c r="I39" s="342"/>
      <c r="J39" s="342"/>
      <c r="K39" s="342"/>
      <c r="L39" s="342"/>
      <c r="M39" s="342"/>
      <c r="N39" s="342"/>
      <c r="O39" s="342"/>
      <c r="P39" s="342"/>
      <c r="Q39" s="342"/>
      <c r="R39" s="342"/>
      <c r="S39" s="342"/>
      <c r="T39" s="342"/>
      <c r="U39" s="342"/>
      <c r="V39" s="328"/>
      <c r="W39" s="500"/>
      <c r="X39" s="500"/>
      <c r="Y39" s="328"/>
    </row>
    <row r="40" spans="1:25" ht="13" customHeight="1">
      <c r="A40" s="341"/>
      <c r="B40" s="9" t="str">
        <f>IF('Summary | Sumário'!D$6=Names!B$3,Names!K37,Names!L37)</f>
        <v>Liabilities + equity</v>
      </c>
      <c r="C40" s="354"/>
      <c r="D40" s="354"/>
      <c r="E40" s="354"/>
      <c r="F40" s="354"/>
      <c r="G40" s="354"/>
      <c r="H40" s="354"/>
      <c r="I40" s="354"/>
      <c r="J40" s="354"/>
      <c r="K40" s="354"/>
      <c r="L40" s="354"/>
      <c r="M40" s="354"/>
      <c r="N40" s="354"/>
      <c r="O40" s="354"/>
      <c r="P40" s="354"/>
      <c r="Q40" s="354"/>
      <c r="R40" s="354"/>
      <c r="S40" s="354"/>
      <c r="T40" s="354"/>
      <c r="U40" s="354"/>
      <c r="V40" s="354"/>
      <c r="W40" s="506"/>
      <c r="X40" s="506"/>
      <c r="Y40" s="328"/>
    </row>
    <row r="41" spans="1:25" ht="13" customHeight="1">
      <c r="A41" s="341"/>
      <c r="B41" s="410" t="str">
        <f>IF('Summary | Sumário'!D$6=Names!B$3,Names!K38,Names!L38)</f>
        <v>Total liabilities and total equity</v>
      </c>
      <c r="C41" s="411">
        <v>10077086</v>
      </c>
      <c r="D41" s="411">
        <v>19921613</v>
      </c>
      <c r="E41" s="411">
        <f>K41</f>
        <v>36626337.179050811</v>
      </c>
      <c r="F41" s="411">
        <f>O41</f>
        <v>46343100</v>
      </c>
      <c r="G41" s="409">
        <f>S41</f>
        <v>60351797</v>
      </c>
      <c r="H41" s="411">
        <v>21436667</v>
      </c>
      <c r="I41" s="411">
        <v>30309493.213</v>
      </c>
      <c r="J41" s="411">
        <v>33762592.583743282</v>
      </c>
      <c r="K41" s="411">
        <v>36626337.179050811</v>
      </c>
      <c r="L41" s="411">
        <v>38612194</v>
      </c>
      <c r="M41" s="409">
        <v>40933779</v>
      </c>
      <c r="N41" s="409">
        <v>43844067</v>
      </c>
      <c r="O41" s="409">
        <v>46343100</v>
      </c>
      <c r="P41" s="409">
        <v>47701094</v>
      </c>
      <c r="Q41" s="409">
        <v>50003329</v>
      </c>
      <c r="R41" s="409">
        <v>55078840</v>
      </c>
      <c r="S41" s="409">
        <v>60351797</v>
      </c>
      <c r="T41" s="409">
        <v>62349179.276341975</v>
      </c>
      <c r="U41" s="409">
        <v>66573460.417306051</v>
      </c>
      <c r="V41" s="354"/>
      <c r="W41" s="504">
        <f t="shared" ref="W41" si="21">U41/T41-1</f>
        <v>6.7751992728586785E-2</v>
      </c>
      <c r="X41" s="504">
        <f t="shared" ref="X41" si="22">U41/Q41-1</f>
        <v>0.33138056502810143</v>
      </c>
      <c r="Y41" s="328"/>
    </row>
    <row r="42" spans="1:25" ht="13" customHeight="1">
      <c r="B42" s="14"/>
      <c r="C42" s="355"/>
      <c r="D42" s="355"/>
      <c r="E42" s="355"/>
      <c r="F42" s="355"/>
      <c r="G42" s="355"/>
      <c r="H42" s="355"/>
      <c r="I42" s="355"/>
      <c r="J42" s="355"/>
      <c r="K42" s="355"/>
      <c r="L42" s="355"/>
      <c r="M42" s="355"/>
      <c r="N42" s="355"/>
      <c r="O42" s="355"/>
      <c r="P42" s="355"/>
      <c r="Q42" s="355"/>
      <c r="R42" s="355"/>
      <c r="S42" s="355"/>
      <c r="T42" s="355"/>
      <c r="U42" s="355"/>
      <c r="V42" s="355"/>
      <c r="W42" s="355"/>
      <c r="X42" s="355"/>
      <c r="Y42" s="355"/>
    </row>
    <row r="43" spans="1:25" ht="13" customHeight="1">
      <c r="B43" s="18"/>
      <c r="C43" s="355"/>
      <c r="D43" s="355"/>
      <c r="E43" s="355"/>
      <c r="F43" s="355"/>
      <c r="G43" s="355"/>
      <c r="H43" s="355"/>
      <c r="I43" s="355"/>
      <c r="J43" s="355"/>
      <c r="K43" s="355"/>
      <c r="L43" s="355"/>
      <c r="M43" s="355"/>
      <c r="N43" s="355"/>
      <c r="O43" s="355"/>
      <c r="P43" s="355"/>
      <c r="Q43" s="355"/>
      <c r="R43" s="355"/>
      <c r="S43" s="355"/>
      <c r="T43" s="355"/>
      <c r="U43" s="355"/>
      <c r="V43" s="355"/>
      <c r="W43" s="355"/>
      <c r="X43" s="355"/>
      <c r="Y43" s="355"/>
    </row>
    <row r="44" spans="1:25" ht="13" customHeight="1">
      <c r="C44" s="356"/>
      <c r="O44" s="356"/>
      <c r="P44" s="356"/>
      <c r="Q44" s="356"/>
      <c r="R44" s="356"/>
      <c r="S44" s="356"/>
      <c r="T44" s="356"/>
      <c r="U44" s="356"/>
      <c r="V44" s="356"/>
      <c r="W44" s="356"/>
      <c r="X44" s="356"/>
    </row>
    <row r="45" spans="1:25" ht="13" customHeight="1">
      <c r="H45" s="356"/>
      <c r="O45" s="356"/>
      <c r="P45" s="356"/>
      <c r="Q45" s="356"/>
      <c r="R45" s="356"/>
      <c r="S45" s="356"/>
      <c r="T45" s="356"/>
      <c r="U45" s="356"/>
      <c r="V45" s="356"/>
      <c r="W45" s="356"/>
      <c r="X45" s="356"/>
    </row>
    <row r="46" spans="1:25" ht="13" customHeight="1">
      <c r="O46" s="356"/>
      <c r="P46" s="356"/>
      <c r="Q46" s="356"/>
      <c r="R46" s="356"/>
      <c r="S46" s="356"/>
      <c r="T46" s="356"/>
      <c r="U46" s="356"/>
      <c r="V46" s="356"/>
      <c r="W46" s="356"/>
      <c r="X46" s="356"/>
    </row>
    <row r="47" spans="1:25" ht="13" customHeight="1">
      <c r="O47" s="356"/>
      <c r="P47" s="356"/>
      <c r="Q47" s="356"/>
      <c r="R47" s="356"/>
      <c r="S47" s="356"/>
      <c r="T47" s="356"/>
      <c r="U47" s="356"/>
      <c r="V47" s="356"/>
      <c r="W47" s="356"/>
      <c r="X47" s="356"/>
    </row>
  </sheetData>
  <sheetProtection algorithmName="SHA-512" hashValue="NRgd29PwS5zZl3Fycw+znQW9FD2VVFlv0OwgH3s2knfdkt291NQkk76OHzKXNlWRJ1OHWvdlFYhfWsO9jrgKHg==" saltValue="nqK0SImkiUey+VZ6U8E61w=="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EX2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21" width="10.83203125" style="201" customWidth="1"/>
    <col min="22" max="22" width="4.83203125" style="201" customWidth="1"/>
    <col min="23" max="24" width="10.83203125" style="201" customWidth="1"/>
    <col min="25" max="16384" width="10.83203125" style="201"/>
  </cols>
  <sheetData>
    <row r="1" spans="1:1012 1025:2039 2052:3066 3079:4093 4106:5120 5133:6134 6147:7161 7174:8188 8201:9215 9228:10229 10242:11256 11269:12283 12296:13310 13323:14324 14337:15351 15364:16378" ht="13" customHeight="1">
      <c r="C1" s="202"/>
      <c r="D1" s="202"/>
      <c r="E1" s="202"/>
      <c r="F1" s="202"/>
      <c r="G1" s="202"/>
      <c r="H1" s="202"/>
      <c r="I1" s="202"/>
      <c r="J1" s="202"/>
      <c r="K1" s="202"/>
      <c r="L1" s="202"/>
      <c r="M1" s="202"/>
      <c r="N1" s="202"/>
      <c r="O1" s="202"/>
      <c r="P1" s="202"/>
      <c r="Q1" s="202"/>
      <c r="R1" s="202"/>
      <c r="S1" s="202"/>
      <c r="T1" s="202"/>
      <c r="U1" s="202"/>
      <c r="V1" s="202"/>
      <c r="W1" s="202"/>
      <c r="X1" s="202"/>
    </row>
    <row r="2" spans="1:1012 1025:2039 2052:3066 3079:4093 4106:5120 5133:6134 6147:7161 7174:8188 8201:9215 9228:10229 10242:11256 11269:12283 12296:13310 13323:14324 14337:15351 15364:16378" s="10" customFormat="1" ht="13" customHeight="1">
      <c r="B2" s="384" t="str">
        <f>IF('Summary | Sumário'!D$6=Names!B$3,Names!M1,Names!N1)</f>
        <v>Income Statement (IFRS, R$ Thousands)</v>
      </c>
      <c r="C2" s="197">
        <f>IF('Summary | Sumário'!D6=Names!B3,Names!C2,Names!D2)</f>
        <v>2019</v>
      </c>
      <c r="D2" s="197">
        <f>IF('Summary | Sumário'!D6=Names!B3,Names!C3,Names!D3)</f>
        <v>2020</v>
      </c>
      <c r="E2" s="197">
        <f>IF('Summary | Sumário'!D6=Names!B3,Names!C4,Names!D4)</f>
        <v>2021</v>
      </c>
      <c r="F2" s="197">
        <f>IF('Summary | Sumário'!D6=Names!B3,Names!C5,Names!D5)</f>
        <v>2022</v>
      </c>
      <c r="G2" s="413">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486" t="str">
        <f>IF('Summary | Sumário'!D6=Names!B3,Names!C20,Names!D20)</f>
        <v>2Q24</v>
      </c>
      <c r="V2" s="497"/>
      <c r="W2" s="180" t="str">
        <f>IF('Summary | Sumário'!$D$6=Names!$B$3,Names!$I$24,Names!$J$24)</f>
        <v>QoQ Variation</v>
      </c>
      <c r="X2" s="180" t="str">
        <f>IF('Summary | Sumário'!D6=Names!$B$3,Names!$I$25,Names!$J$25)</f>
        <v>YoY Variation</v>
      </c>
      <c r="Y2" s="11"/>
      <c r="AA2" s="12"/>
      <c r="AB2" s="13"/>
    </row>
    <row r="3" spans="1:1012 1025:2039 2052:3066 3079:4093 4106:5120 5133:6134 6147:7161 7174:8188 8201:9215 9228:10229 10242:11256 11269:12283 12296:13310 13323:14324 14337:15351 15364:16378" ht="13" customHeight="1">
      <c r="B3" s="14"/>
      <c r="C3" s="213"/>
      <c r="D3" s="213"/>
      <c r="E3" s="213"/>
      <c r="F3" s="213"/>
      <c r="G3" s="213"/>
      <c r="H3" s="213"/>
      <c r="I3" s="213"/>
      <c r="J3" s="213"/>
      <c r="K3" s="213"/>
      <c r="L3" s="213"/>
      <c r="M3" s="213"/>
      <c r="N3" s="213"/>
      <c r="O3" s="213"/>
      <c r="P3" s="213"/>
      <c r="Q3" s="213"/>
      <c r="R3" s="213"/>
      <c r="S3" s="213"/>
      <c r="T3" s="213"/>
      <c r="U3" s="213"/>
      <c r="V3" s="213"/>
      <c r="W3" s="213"/>
      <c r="X3" s="213"/>
    </row>
    <row r="4" spans="1:1012 1025:2039 2052:3066 3079:4093 4106:5120 5133:6134 6147:7161 7174:8188 8201:9215 9228:10229 10242:11256 11269:12283 12296:13310 13323:14324 14337:15351 15364:16378" ht="13" customHeight="1">
      <c r="A4" s="312"/>
      <c r="B4" s="16" t="str">
        <f>IF('Summary | Sumário'!D$6=Names!B$3,Names!M2,Names!N2)</f>
        <v>Interest income</v>
      </c>
      <c r="C4" s="283">
        <v>775515</v>
      </c>
      <c r="D4" s="283">
        <v>942655.89517999999</v>
      </c>
      <c r="E4" s="283">
        <v>1435428.2459999998</v>
      </c>
      <c r="F4" s="283">
        <v>2802658.0819999995</v>
      </c>
      <c r="G4" s="283">
        <v>4549827</v>
      </c>
      <c r="H4" s="283">
        <v>289003.935</v>
      </c>
      <c r="I4" s="283">
        <v>305659.75100000005</v>
      </c>
      <c r="J4" s="283">
        <v>367405.88</v>
      </c>
      <c r="K4" s="283">
        <v>473357.68</v>
      </c>
      <c r="L4" s="283">
        <v>521159.63199999993</v>
      </c>
      <c r="M4" s="283">
        <v>622312.6370000001</v>
      </c>
      <c r="N4" s="283">
        <v>788342.73100000003</v>
      </c>
      <c r="O4" s="283">
        <v>870843.08199999994</v>
      </c>
      <c r="P4" s="283">
        <v>1012926.822</v>
      </c>
      <c r="Q4" s="283">
        <v>1151105</v>
      </c>
      <c r="R4" s="283">
        <v>1106935.08874</v>
      </c>
      <c r="S4" s="283">
        <v>1278860.08926</v>
      </c>
      <c r="T4" s="283">
        <v>1217531</v>
      </c>
      <c r="U4" s="283">
        <v>1172415</v>
      </c>
      <c r="V4" s="283"/>
      <c r="W4" s="507">
        <f>U4/T4-1</f>
        <v>-3.7055319330678183E-2</v>
      </c>
      <c r="X4" s="507">
        <f>U4/Q4-1</f>
        <v>1.8512646543972888E-2</v>
      </c>
    </row>
    <row r="5" spans="1:1012 1025:2039 2052:3066 3079:4093 4106:5120 5133:6134 6147:7161 7174:8188 8201:9215 9228:10229 10242:11256 11269:12283 12296:13310 13323:14324 14337:15351 15364:16378" s="313" customFormat="1" ht="13" customHeight="1">
      <c r="A5" s="312"/>
      <c r="B5" s="22" t="str">
        <f>IF('Summary | Sumário'!D$6=Names!B$3,Names!M3,Names!N3)</f>
        <v>Interest expenses</v>
      </c>
      <c r="C5" s="340">
        <v>-256717</v>
      </c>
      <c r="D5" s="340">
        <v>-184335</v>
      </c>
      <c r="E5" s="340">
        <v>-543242</v>
      </c>
      <c r="F5" s="340">
        <v>-1972850</v>
      </c>
      <c r="G5" s="340">
        <v>-2887573</v>
      </c>
      <c r="H5" s="340">
        <v>-65559</v>
      </c>
      <c r="I5" s="340">
        <v>-86261</v>
      </c>
      <c r="J5" s="340">
        <v>-138587</v>
      </c>
      <c r="K5" s="340">
        <v>-252835</v>
      </c>
      <c r="L5" s="340">
        <v>-336771</v>
      </c>
      <c r="M5" s="340">
        <v>-465041</v>
      </c>
      <c r="N5" s="340">
        <v>-579678</v>
      </c>
      <c r="O5" s="340">
        <v>-591360</v>
      </c>
      <c r="P5" s="340">
        <v>-672771</v>
      </c>
      <c r="Q5" s="340">
        <v>-692206</v>
      </c>
      <c r="R5" s="340">
        <v>-770398</v>
      </c>
      <c r="S5" s="340">
        <v>-752198.00500000012</v>
      </c>
      <c r="T5" s="340">
        <v>-762246.89030000009</v>
      </c>
      <c r="U5" s="340">
        <v>-772643</v>
      </c>
      <c r="V5" s="283"/>
      <c r="W5" s="508">
        <f t="shared" ref="W5:W25" si="0">U5/T5-1</f>
        <v>1.3638769580166077E-2</v>
      </c>
      <c r="X5" s="508">
        <f t="shared" ref="X5:X25" si="1">U5/Q5-1</f>
        <v>0.11620384683172347</v>
      </c>
      <c r="Y5" s="201"/>
      <c r="AK5" s="314"/>
      <c r="AX5" s="314"/>
      <c r="BK5" s="314"/>
      <c r="BX5" s="314"/>
      <c r="CK5" s="314"/>
      <c r="CX5" s="314"/>
      <c r="DK5" s="314"/>
      <c r="DX5" s="314"/>
      <c r="EK5" s="314"/>
      <c r="EX5" s="314"/>
      <c r="FK5" s="314"/>
      <c r="FX5" s="314"/>
      <c r="GK5" s="314"/>
      <c r="GX5" s="314"/>
      <c r="HK5" s="314"/>
      <c r="HX5" s="314"/>
      <c r="IK5" s="314"/>
      <c r="IX5" s="314"/>
      <c r="JK5" s="314"/>
      <c r="JX5" s="314"/>
      <c r="KK5" s="314"/>
      <c r="KX5" s="314"/>
      <c r="LK5" s="314"/>
      <c r="LX5" s="314"/>
      <c r="MK5" s="314"/>
      <c r="MX5" s="314"/>
      <c r="NK5" s="314"/>
      <c r="NX5" s="314"/>
      <c r="OK5" s="314"/>
      <c r="OX5" s="314"/>
      <c r="PK5" s="314"/>
      <c r="PX5" s="314"/>
      <c r="QK5" s="314"/>
      <c r="QX5" s="314"/>
      <c r="RK5" s="314"/>
      <c r="RX5" s="314"/>
      <c r="SK5" s="314"/>
      <c r="SX5" s="314"/>
      <c r="TK5" s="314"/>
      <c r="TX5" s="314"/>
      <c r="UK5" s="314"/>
      <c r="UX5" s="314"/>
      <c r="VK5" s="314"/>
      <c r="VX5" s="314"/>
      <c r="WK5" s="314"/>
      <c r="WX5" s="314"/>
      <c r="XK5" s="314"/>
      <c r="XX5" s="314"/>
      <c r="YK5" s="314"/>
      <c r="YX5" s="314"/>
      <c r="ZK5" s="314"/>
      <c r="ZX5" s="314"/>
      <c r="AAK5" s="314"/>
      <c r="AAX5" s="314"/>
      <c r="ABK5" s="314"/>
      <c r="ABX5" s="314"/>
      <c r="ACK5" s="314"/>
      <c r="ACX5" s="314"/>
      <c r="ADK5" s="314"/>
      <c r="ADX5" s="314"/>
      <c r="AEK5" s="314"/>
      <c r="AEX5" s="314"/>
      <c r="AFK5" s="314"/>
      <c r="AFX5" s="314"/>
      <c r="AGK5" s="314"/>
      <c r="AGX5" s="314"/>
      <c r="AHK5" s="314"/>
      <c r="AHX5" s="314"/>
      <c r="AIK5" s="314"/>
      <c r="AIX5" s="314"/>
      <c r="AJK5" s="314"/>
      <c r="AJX5" s="314"/>
      <c r="AKK5" s="314"/>
      <c r="AKX5" s="314"/>
      <c r="ALK5" s="314"/>
      <c r="ALX5" s="314"/>
      <c r="AMK5" s="314"/>
      <c r="AMX5" s="314"/>
      <c r="ANK5" s="314"/>
      <c r="ANX5" s="314"/>
      <c r="AOK5" s="314"/>
      <c r="AOX5" s="314"/>
      <c r="APK5" s="314"/>
      <c r="APX5" s="314"/>
      <c r="AQK5" s="314"/>
      <c r="AQX5" s="314"/>
      <c r="ARK5" s="314"/>
      <c r="ARX5" s="314"/>
      <c r="ASK5" s="314"/>
      <c r="ASX5" s="314"/>
      <c r="ATK5" s="314"/>
      <c r="ATX5" s="314"/>
      <c r="AUK5" s="314"/>
      <c r="AUX5" s="314"/>
      <c r="AVK5" s="314"/>
      <c r="AVX5" s="314"/>
      <c r="AWK5" s="314"/>
      <c r="AWX5" s="314"/>
      <c r="AXK5" s="314"/>
      <c r="AXX5" s="314"/>
      <c r="AYK5" s="314"/>
      <c r="AYX5" s="314"/>
      <c r="AZK5" s="314"/>
      <c r="AZX5" s="314"/>
      <c r="BAK5" s="314"/>
      <c r="BAX5" s="314"/>
      <c r="BBK5" s="314"/>
      <c r="BBX5" s="314"/>
      <c r="BCK5" s="314"/>
      <c r="BCX5" s="314"/>
      <c r="BDK5" s="314"/>
      <c r="BDX5" s="314"/>
      <c r="BEK5" s="314"/>
      <c r="BEX5" s="314"/>
      <c r="BFK5" s="314"/>
      <c r="BFX5" s="314"/>
      <c r="BGK5" s="314"/>
      <c r="BGX5" s="314"/>
      <c r="BHK5" s="314"/>
      <c r="BHX5" s="314"/>
      <c r="BIK5" s="314"/>
      <c r="BIX5" s="314"/>
      <c r="BJK5" s="314"/>
      <c r="BJX5" s="314"/>
      <c r="BKK5" s="314"/>
      <c r="BKX5" s="314"/>
      <c r="BLK5" s="314"/>
      <c r="BLX5" s="314"/>
      <c r="BMK5" s="314"/>
      <c r="BMX5" s="314"/>
      <c r="BNK5" s="314"/>
      <c r="BNX5" s="314"/>
      <c r="BOK5" s="314"/>
      <c r="BOX5" s="314"/>
      <c r="BPK5" s="314"/>
      <c r="BPX5" s="314"/>
      <c r="BQK5" s="314"/>
      <c r="BQX5" s="314"/>
      <c r="BRK5" s="314"/>
      <c r="BRX5" s="314"/>
      <c r="BSK5" s="314"/>
      <c r="BSX5" s="314"/>
      <c r="BTK5" s="314"/>
      <c r="BTX5" s="314"/>
      <c r="BUK5" s="314"/>
      <c r="BUX5" s="314"/>
      <c r="BVK5" s="314"/>
      <c r="BVX5" s="314"/>
      <c r="BWK5" s="314"/>
      <c r="BWX5" s="314"/>
      <c r="BXK5" s="314"/>
      <c r="BXX5" s="314"/>
      <c r="BYK5" s="314"/>
      <c r="BYX5" s="314"/>
      <c r="BZK5" s="314"/>
      <c r="BZX5" s="314"/>
      <c r="CAK5" s="314"/>
      <c r="CAX5" s="314"/>
      <c r="CBK5" s="314"/>
      <c r="CBX5" s="314"/>
      <c r="CCK5" s="314"/>
      <c r="CCX5" s="314"/>
      <c r="CDK5" s="314"/>
      <c r="CDX5" s="314"/>
      <c r="CEK5" s="314"/>
      <c r="CEX5" s="314"/>
      <c r="CFK5" s="314"/>
      <c r="CFX5" s="314"/>
      <c r="CGK5" s="314"/>
      <c r="CGX5" s="314"/>
      <c r="CHK5" s="314"/>
      <c r="CHX5" s="314"/>
      <c r="CIK5" s="314"/>
      <c r="CIX5" s="314"/>
      <c r="CJK5" s="314"/>
      <c r="CJX5" s="314"/>
      <c r="CKK5" s="314"/>
      <c r="CKX5" s="314"/>
      <c r="CLK5" s="314"/>
      <c r="CLX5" s="314"/>
      <c r="CMK5" s="314"/>
      <c r="CMX5" s="314"/>
      <c r="CNK5" s="314"/>
      <c r="CNX5" s="314"/>
      <c r="COK5" s="314"/>
      <c r="COX5" s="314"/>
      <c r="CPK5" s="314"/>
      <c r="CPX5" s="314"/>
      <c r="CQK5" s="314"/>
      <c r="CQX5" s="314"/>
      <c r="CRK5" s="314"/>
      <c r="CRX5" s="314"/>
      <c r="CSK5" s="314"/>
      <c r="CSX5" s="314"/>
      <c r="CTK5" s="314"/>
      <c r="CTX5" s="314"/>
      <c r="CUK5" s="314"/>
      <c r="CUX5" s="314"/>
      <c r="CVK5" s="314"/>
      <c r="CVX5" s="314"/>
      <c r="CWK5" s="314"/>
      <c r="CWX5" s="314"/>
      <c r="CXK5" s="314"/>
      <c r="CXX5" s="314"/>
      <c r="CYK5" s="314"/>
      <c r="CYX5" s="314"/>
      <c r="CZK5" s="314"/>
      <c r="CZX5" s="314"/>
      <c r="DAK5" s="314"/>
      <c r="DAX5" s="314"/>
      <c r="DBK5" s="314"/>
      <c r="DBX5" s="314"/>
      <c r="DCK5" s="314"/>
      <c r="DCX5" s="314"/>
      <c r="DDK5" s="314"/>
      <c r="DDX5" s="314"/>
      <c r="DEK5" s="314"/>
      <c r="DEX5" s="314"/>
      <c r="DFK5" s="314"/>
      <c r="DFX5" s="314"/>
      <c r="DGK5" s="314"/>
      <c r="DGX5" s="314"/>
      <c r="DHK5" s="314"/>
      <c r="DHX5" s="314"/>
      <c r="DIK5" s="314"/>
      <c r="DIX5" s="314"/>
      <c r="DJK5" s="314"/>
      <c r="DJX5" s="314"/>
      <c r="DKK5" s="314"/>
      <c r="DKX5" s="314"/>
      <c r="DLK5" s="314"/>
      <c r="DLX5" s="314"/>
      <c r="DMK5" s="314"/>
      <c r="DMX5" s="314"/>
      <c r="DNK5" s="314"/>
      <c r="DNX5" s="314"/>
      <c r="DOK5" s="314"/>
      <c r="DOX5" s="314"/>
      <c r="DPK5" s="314"/>
      <c r="DPX5" s="314"/>
      <c r="DQK5" s="314"/>
      <c r="DQX5" s="314"/>
      <c r="DRK5" s="314"/>
      <c r="DRX5" s="314"/>
      <c r="DSK5" s="314"/>
      <c r="DSX5" s="314"/>
      <c r="DTK5" s="314"/>
      <c r="DTX5" s="314"/>
      <c r="DUK5" s="314"/>
      <c r="DUX5" s="314"/>
      <c r="DVK5" s="314"/>
      <c r="DVX5" s="314"/>
      <c r="DWK5" s="314"/>
      <c r="DWX5" s="314"/>
      <c r="DXK5" s="314"/>
      <c r="DXX5" s="314"/>
      <c r="DYK5" s="314"/>
      <c r="DYX5" s="314"/>
      <c r="DZK5" s="314"/>
      <c r="DZX5" s="314"/>
      <c r="EAK5" s="314"/>
      <c r="EAX5" s="314"/>
      <c r="EBK5" s="314"/>
      <c r="EBX5" s="314"/>
      <c r="ECK5" s="314"/>
      <c r="ECX5" s="314"/>
      <c r="EDK5" s="314"/>
      <c r="EDX5" s="314"/>
      <c r="EEK5" s="314"/>
      <c r="EEX5" s="314"/>
      <c r="EFK5" s="314"/>
      <c r="EFX5" s="314"/>
      <c r="EGK5" s="314"/>
      <c r="EGX5" s="314"/>
      <c r="EHK5" s="314"/>
      <c r="EHX5" s="314"/>
      <c r="EIK5" s="314"/>
      <c r="EIX5" s="314"/>
      <c r="EJK5" s="314"/>
      <c r="EJX5" s="314"/>
      <c r="EKK5" s="314"/>
      <c r="EKX5" s="314"/>
      <c r="ELK5" s="314"/>
      <c r="ELX5" s="314"/>
      <c r="EMK5" s="314"/>
      <c r="EMX5" s="314"/>
      <c r="ENK5" s="314"/>
      <c r="ENX5" s="314"/>
      <c r="EOK5" s="314"/>
      <c r="EOX5" s="314"/>
      <c r="EPK5" s="314"/>
      <c r="EPX5" s="314"/>
      <c r="EQK5" s="314"/>
      <c r="EQX5" s="314"/>
      <c r="ERK5" s="314"/>
      <c r="ERX5" s="314"/>
      <c r="ESK5" s="314"/>
      <c r="ESX5" s="314"/>
      <c r="ETK5" s="314"/>
      <c r="ETX5" s="314"/>
      <c r="EUK5" s="314"/>
      <c r="EUX5" s="314"/>
      <c r="EVK5" s="314"/>
      <c r="EVX5" s="314"/>
      <c r="EWK5" s="314"/>
      <c r="EWX5" s="314"/>
      <c r="EXK5" s="314"/>
      <c r="EXX5" s="314"/>
      <c r="EYK5" s="314"/>
      <c r="EYX5" s="314"/>
      <c r="EZK5" s="314"/>
      <c r="EZX5" s="314"/>
      <c r="FAK5" s="314"/>
      <c r="FAX5" s="314"/>
      <c r="FBK5" s="314"/>
      <c r="FBX5" s="314"/>
      <c r="FCK5" s="314"/>
      <c r="FCX5" s="314"/>
      <c r="FDK5" s="314"/>
      <c r="FDX5" s="314"/>
      <c r="FEK5" s="314"/>
      <c r="FEX5" s="314"/>
      <c r="FFK5" s="314"/>
      <c r="FFX5" s="314"/>
      <c r="FGK5" s="314"/>
      <c r="FGX5" s="314"/>
      <c r="FHK5" s="314"/>
      <c r="FHX5" s="314"/>
      <c r="FIK5" s="314"/>
      <c r="FIX5" s="314"/>
      <c r="FJK5" s="314"/>
      <c r="FJX5" s="314"/>
      <c r="FKK5" s="314"/>
      <c r="FKX5" s="314"/>
      <c r="FLK5" s="314"/>
      <c r="FLX5" s="314"/>
      <c r="FMK5" s="314"/>
      <c r="FMX5" s="314"/>
      <c r="FNK5" s="314"/>
      <c r="FNX5" s="314"/>
      <c r="FOK5" s="314"/>
      <c r="FOX5" s="314"/>
      <c r="FPK5" s="314"/>
      <c r="FPX5" s="314"/>
      <c r="FQK5" s="314"/>
      <c r="FQX5" s="314"/>
      <c r="FRK5" s="314"/>
      <c r="FRX5" s="314"/>
      <c r="FSK5" s="314"/>
      <c r="FSX5" s="314"/>
      <c r="FTK5" s="314"/>
      <c r="FTX5" s="314"/>
      <c r="FUK5" s="314"/>
      <c r="FUX5" s="314"/>
      <c r="FVK5" s="314"/>
      <c r="FVX5" s="314"/>
      <c r="FWK5" s="314"/>
      <c r="FWX5" s="314"/>
      <c r="FXK5" s="314"/>
      <c r="FXX5" s="314"/>
      <c r="FYK5" s="314"/>
      <c r="FYX5" s="314"/>
      <c r="FZK5" s="314"/>
      <c r="FZX5" s="314"/>
      <c r="GAK5" s="314"/>
      <c r="GAX5" s="314"/>
      <c r="GBK5" s="314"/>
      <c r="GBX5" s="314"/>
      <c r="GCK5" s="314"/>
      <c r="GCX5" s="314"/>
      <c r="GDK5" s="314"/>
      <c r="GDX5" s="314"/>
      <c r="GEK5" s="314"/>
      <c r="GEX5" s="314"/>
      <c r="GFK5" s="314"/>
      <c r="GFX5" s="314"/>
      <c r="GGK5" s="314"/>
      <c r="GGX5" s="314"/>
      <c r="GHK5" s="314"/>
      <c r="GHX5" s="314"/>
      <c r="GIK5" s="314"/>
      <c r="GIX5" s="314"/>
      <c r="GJK5" s="314"/>
      <c r="GJX5" s="314"/>
      <c r="GKK5" s="314"/>
      <c r="GKX5" s="314"/>
      <c r="GLK5" s="314"/>
      <c r="GLX5" s="314"/>
      <c r="GMK5" s="314"/>
      <c r="GMX5" s="314"/>
      <c r="GNK5" s="314"/>
      <c r="GNX5" s="314"/>
      <c r="GOK5" s="314"/>
      <c r="GOX5" s="314"/>
      <c r="GPK5" s="314"/>
      <c r="GPX5" s="314"/>
      <c r="GQK5" s="314"/>
      <c r="GQX5" s="314"/>
      <c r="GRK5" s="314"/>
      <c r="GRX5" s="314"/>
      <c r="GSK5" s="314"/>
      <c r="GSX5" s="314"/>
      <c r="GTK5" s="314"/>
      <c r="GTX5" s="314"/>
      <c r="GUK5" s="314"/>
      <c r="GUX5" s="314"/>
      <c r="GVK5" s="314"/>
      <c r="GVX5" s="314"/>
      <c r="GWK5" s="314"/>
      <c r="GWX5" s="314"/>
      <c r="GXK5" s="314"/>
      <c r="GXX5" s="314"/>
      <c r="GYK5" s="314"/>
      <c r="GYX5" s="314"/>
      <c r="GZK5" s="314"/>
      <c r="GZX5" s="314"/>
      <c r="HAK5" s="314"/>
      <c r="HAX5" s="314"/>
      <c r="HBK5" s="314"/>
      <c r="HBX5" s="314"/>
      <c r="HCK5" s="314"/>
      <c r="HCX5" s="314"/>
      <c r="HDK5" s="314"/>
      <c r="HDX5" s="314"/>
      <c r="HEK5" s="314"/>
      <c r="HEX5" s="314"/>
      <c r="HFK5" s="314"/>
      <c r="HFX5" s="314"/>
      <c r="HGK5" s="314"/>
      <c r="HGX5" s="314"/>
      <c r="HHK5" s="314"/>
      <c r="HHX5" s="314"/>
      <c r="HIK5" s="314"/>
      <c r="HIX5" s="314"/>
      <c r="HJK5" s="314"/>
      <c r="HJX5" s="314"/>
      <c r="HKK5" s="314"/>
      <c r="HKX5" s="314"/>
      <c r="HLK5" s="314"/>
      <c r="HLX5" s="314"/>
      <c r="HMK5" s="314"/>
      <c r="HMX5" s="314"/>
      <c r="HNK5" s="314"/>
      <c r="HNX5" s="314"/>
      <c r="HOK5" s="314"/>
      <c r="HOX5" s="314"/>
      <c r="HPK5" s="314"/>
      <c r="HPX5" s="314"/>
      <c r="HQK5" s="314"/>
      <c r="HQX5" s="314"/>
      <c r="HRK5" s="314"/>
      <c r="HRX5" s="314"/>
      <c r="HSK5" s="314"/>
      <c r="HSX5" s="314"/>
      <c r="HTK5" s="314"/>
      <c r="HTX5" s="314"/>
      <c r="HUK5" s="314"/>
      <c r="HUX5" s="314"/>
      <c r="HVK5" s="314"/>
      <c r="HVX5" s="314"/>
      <c r="HWK5" s="314"/>
      <c r="HWX5" s="314"/>
      <c r="HXK5" s="314"/>
      <c r="HXX5" s="314"/>
      <c r="HYK5" s="314"/>
      <c r="HYX5" s="314"/>
      <c r="HZK5" s="314"/>
      <c r="HZX5" s="314"/>
      <c r="IAK5" s="314"/>
      <c r="IAX5" s="314"/>
      <c r="IBK5" s="314"/>
      <c r="IBX5" s="314"/>
      <c r="ICK5" s="314"/>
      <c r="ICX5" s="314"/>
      <c r="IDK5" s="314"/>
      <c r="IDX5" s="314"/>
      <c r="IEK5" s="314"/>
      <c r="IEX5" s="314"/>
      <c r="IFK5" s="314"/>
      <c r="IFX5" s="314"/>
      <c r="IGK5" s="314"/>
      <c r="IGX5" s="314"/>
      <c r="IHK5" s="314"/>
      <c r="IHX5" s="314"/>
      <c r="IIK5" s="314"/>
      <c r="IIX5" s="314"/>
      <c r="IJK5" s="314"/>
      <c r="IJX5" s="314"/>
      <c r="IKK5" s="314"/>
      <c r="IKX5" s="314"/>
      <c r="ILK5" s="314"/>
      <c r="ILX5" s="314"/>
      <c r="IMK5" s="314"/>
      <c r="IMX5" s="314"/>
      <c r="INK5" s="314"/>
      <c r="INX5" s="314"/>
      <c r="IOK5" s="314"/>
      <c r="IOX5" s="314"/>
      <c r="IPK5" s="314"/>
      <c r="IPX5" s="314"/>
      <c r="IQK5" s="314"/>
      <c r="IQX5" s="314"/>
      <c r="IRK5" s="314"/>
      <c r="IRX5" s="314"/>
      <c r="ISK5" s="314"/>
      <c r="ISX5" s="314"/>
      <c r="ITK5" s="314"/>
      <c r="ITX5" s="314"/>
      <c r="IUK5" s="314"/>
      <c r="IUX5" s="314"/>
      <c r="IVK5" s="314"/>
      <c r="IVX5" s="314"/>
      <c r="IWK5" s="314"/>
      <c r="IWX5" s="314"/>
      <c r="IXK5" s="314"/>
      <c r="IXX5" s="314"/>
      <c r="IYK5" s="314"/>
      <c r="IYX5" s="314"/>
      <c r="IZK5" s="314"/>
      <c r="IZX5" s="314"/>
      <c r="JAK5" s="314"/>
      <c r="JAX5" s="314"/>
      <c r="JBK5" s="314"/>
      <c r="JBX5" s="314"/>
      <c r="JCK5" s="314"/>
      <c r="JCX5" s="314"/>
      <c r="JDK5" s="314"/>
      <c r="JDX5" s="314"/>
      <c r="JEK5" s="314"/>
      <c r="JEX5" s="314"/>
      <c r="JFK5" s="314"/>
      <c r="JFX5" s="314"/>
      <c r="JGK5" s="314"/>
      <c r="JGX5" s="314"/>
      <c r="JHK5" s="314"/>
      <c r="JHX5" s="314"/>
      <c r="JIK5" s="314"/>
      <c r="JIX5" s="314"/>
      <c r="JJK5" s="314"/>
      <c r="JJX5" s="314"/>
      <c r="JKK5" s="314"/>
      <c r="JKX5" s="314"/>
      <c r="JLK5" s="314"/>
      <c r="JLX5" s="314"/>
      <c r="JMK5" s="314"/>
      <c r="JMX5" s="314"/>
      <c r="JNK5" s="314"/>
      <c r="JNX5" s="314"/>
      <c r="JOK5" s="314"/>
      <c r="JOX5" s="314"/>
      <c r="JPK5" s="314"/>
      <c r="JPX5" s="314"/>
      <c r="JQK5" s="314"/>
      <c r="JQX5" s="314"/>
      <c r="JRK5" s="314"/>
      <c r="JRX5" s="314"/>
      <c r="JSK5" s="314"/>
      <c r="JSX5" s="314"/>
      <c r="JTK5" s="314"/>
      <c r="JTX5" s="314"/>
      <c r="JUK5" s="314"/>
      <c r="JUX5" s="314"/>
      <c r="JVK5" s="314"/>
      <c r="JVX5" s="314"/>
      <c r="JWK5" s="314"/>
      <c r="JWX5" s="314"/>
      <c r="JXK5" s="314"/>
      <c r="JXX5" s="314"/>
      <c r="JYK5" s="314"/>
      <c r="JYX5" s="314"/>
      <c r="JZK5" s="314"/>
      <c r="JZX5" s="314"/>
      <c r="KAK5" s="314"/>
      <c r="KAX5" s="314"/>
      <c r="KBK5" s="314"/>
      <c r="KBX5" s="314"/>
      <c r="KCK5" s="314"/>
      <c r="KCX5" s="314"/>
      <c r="KDK5" s="314"/>
      <c r="KDX5" s="314"/>
      <c r="KEK5" s="314"/>
      <c r="KEX5" s="314"/>
      <c r="KFK5" s="314"/>
      <c r="KFX5" s="314"/>
      <c r="KGK5" s="314"/>
      <c r="KGX5" s="314"/>
      <c r="KHK5" s="314"/>
      <c r="KHX5" s="314"/>
      <c r="KIK5" s="314"/>
      <c r="KIX5" s="314"/>
      <c r="KJK5" s="314"/>
      <c r="KJX5" s="314"/>
      <c r="KKK5" s="314"/>
      <c r="KKX5" s="314"/>
      <c r="KLK5" s="314"/>
      <c r="KLX5" s="314"/>
      <c r="KMK5" s="314"/>
      <c r="KMX5" s="314"/>
      <c r="KNK5" s="314"/>
      <c r="KNX5" s="314"/>
      <c r="KOK5" s="314"/>
      <c r="KOX5" s="314"/>
      <c r="KPK5" s="314"/>
      <c r="KPX5" s="314"/>
      <c r="KQK5" s="314"/>
      <c r="KQX5" s="314"/>
      <c r="KRK5" s="314"/>
      <c r="KRX5" s="314"/>
      <c r="KSK5" s="314"/>
      <c r="KSX5" s="314"/>
      <c r="KTK5" s="314"/>
      <c r="KTX5" s="314"/>
      <c r="KUK5" s="314"/>
      <c r="KUX5" s="314"/>
      <c r="KVK5" s="314"/>
      <c r="KVX5" s="314"/>
      <c r="KWK5" s="314"/>
      <c r="KWX5" s="314"/>
      <c r="KXK5" s="314"/>
      <c r="KXX5" s="314"/>
      <c r="KYK5" s="314"/>
      <c r="KYX5" s="314"/>
      <c r="KZK5" s="314"/>
      <c r="KZX5" s="314"/>
      <c r="LAK5" s="314"/>
      <c r="LAX5" s="314"/>
      <c r="LBK5" s="314"/>
      <c r="LBX5" s="314"/>
      <c r="LCK5" s="314"/>
      <c r="LCX5" s="314"/>
      <c r="LDK5" s="314"/>
      <c r="LDX5" s="314"/>
      <c r="LEK5" s="314"/>
      <c r="LEX5" s="314"/>
      <c r="LFK5" s="314"/>
      <c r="LFX5" s="314"/>
      <c r="LGK5" s="314"/>
      <c r="LGX5" s="314"/>
      <c r="LHK5" s="314"/>
      <c r="LHX5" s="314"/>
      <c r="LIK5" s="314"/>
      <c r="LIX5" s="314"/>
      <c r="LJK5" s="314"/>
      <c r="LJX5" s="314"/>
      <c r="LKK5" s="314"/>
      <c r="LKX5" s="314"/>
      <c r="LLK5" s="314"/>
      <c r="LLX5" s="314"/>
      <c r="LMK5" s="314"/>
      <c r="LMX5" s="314"/>
      <c r="LNK5" s="314"/>
      <c r="LNX5" s="314"/>
      <c r="LOK5" s="314"/>
      <c r="LOX5" s="314"/>
      <c r="LPK5" s="314"/>
      <c r="LPX5" s="314"/>
      <c r="LQK5" s="314"/>
      <c r="LQX5" s="314"/>
      <c r="LRK5" s="314"/>
      <c r="LRX5" s="314"/>
      <c r="LSK5" s="314"/>
      <c r="LSX5" s="314"/>
      <c r="LTK5" s="314"/>
      <c r="LTX5" s="314"/>
      <c r="LUK5" s="314"/>
      <c r="LUX5" s="314"/>
      <c r="LVK5" s="314"/>
      <c r="LVX5" s="314"/>
      <c r="LWK5" s="314"/>
      <c r="LWX5" s="314"/>
      <c r="LXK5" s="314"/>
      <c r="LXX5" s="314"/>
      <c r="LYK5" s="314"/>
      <c r="LYX5" s="314"/>
      <c r="LZK5" s="314"/>
      <c r="LZX5" s="314"/>
      <c r="MAK5" s="314"/>
      <c r="MAX5" s="314"/>
      <c r="MBK5" s="314"/>
      <c r="MBX5" s="314"/>
      <c r="MCK5" s="314"/>
      <c r="MCX5" s="314"/>
      <c r="MDK5" s="314"/>
      <c r="MDX5" s="314"/>
      <c r="MEK5" s="314"/>
      <c r="MEX5" s="314"/>
      <c r="MFK5" s="314"/>
      <c r="MFX5" s="314"/>
      <c r="MGK5" s="314"/>
      <c r="MGX5" s="314"/>
      <c r="MHK5" s="314"/>
      <c r="MHX5" s="314"/>
      <c r="MIK5" s="314"/>
      <c r="MIX5" s="314"/>
      <c r="MJK5" s="314"/>
      <c r="MJX5" s="314"/>
      <c r="MKK5" s="314"/>
      <c r="MKX5" s="314"/>
      <c r="MLK5" s="314"/>
      <c r="MLX5" s="314"/>
      <c r="MMK5" s="314"/>
      <c r="MMX5" s="314"/>
      <c r="MNK5" s="314"/>
      <c r="MNX5" s="314"/>
      <c r="MOK5" s="314"/>
      <c r="MOX5" s="314"/>
      <c r="MPK5" s="314"/>
      <c r="MPX5" s="314"/>
      <c r="MQK5" s="314"/>
      <c r="MQX5" s="314"/>
      <c r="MRK5" s="314"/>
      <c r="MRX5" s="314"/>
      <c r="MSK5" s="314"/>
      <c r="MSX5" s="314"/>
      <c r="MTK5" s="314"/>
      <c r="MTX5" s="314"/>
      <c r="MUK5" s="314"/>
      <c r="MUX5" s="314"/>
      <c r="MVK5" s="314"/>
      <c r="MVX5" s="314"/>
      <c r="MWK5" s="314"/>
      <c r="MWX5" s="314"/>
      <c r="MXK5" s="314"/>
      <c r="MXX5" s="314"/>
      <c r="MYK5" s="314"/>
      <c r="MYX5" s="314"/>
      <c r="MZK5" s="314"/>
      <c r="MZX5" s="314"/>
      <c r="NAK5" s="314"/>
      <c r="NAX5" s="314"/>
      <c r="NBK5" s="314"/>
      <c r="NBX5" s="314"/>
      <c r="NCK5" s="314"/>
      <c r="NCX5" s="314"/>
      <c r="NDK5" s="314"/>
      <c r="NDX5" s="314"/>
      <c r="NEK5" s="314"/>
      <c r="NEX5" s="314"/>
      <c r="NFK5" s="314"/>
      <c r="NFX5" s="314"/>
      <c r="NGK5" s="314"/>
      <c r="NGX5" s="314"/>
      <c r="NHK5" s="314"/>
      <c r="NHX5" s="314"/>
      <c r="NIK5" s="314"/>
      <c r="NIX5" s="314"/>
      <c r="NJK5" s="314"/>
      <c r="NJX5" s="314"/>
      <c r="NKK5" s="314"/>
      <c r="NKX5" s="314"/>
      <c r="NLK5" s="314"/>
      <c r="NLX5" s="314"/>
      <c r="NMK5" s="314"/>
      <c r="NMX5" s="314"/>
      <c r="NNK5" s="314"/>
      <c r="NNX5" s="314"/>
      <c r="NOK5" s="314"/>
      <c r="NOX5" s="314"/>
      <c r="NPK5" s="314"/>
      <c r="NPX5" s="314"/>
      <c r="NQK5" s="314"/>
      <c r="NQX5" s="314"/>
      <c r="NRK5" s="314"/>
      <c r="NRX5" s="314"/>
      <c r="NSK5" s="314"/>
      <c r="NSX5" s="314"/>
      <c r="NTK5" s="314"/>
      <c r="NTX5" s="314"/>
      <c r="NUK5" s="314"/>
      <c r="NUX5" s="314"/>
      <c r="NVK5" s="314"/>
      <c r="NVX5" s="314"/>
      <c r="NWK5" s="314"/>
      <c r="NWX5" s="314"/>
      <c r="NXK5" s="314"/>
      <c r="NXX5" s="314"/>
      <c r="NYK5" s="314"/>
      <c r="NYX5" s="314"/>
      <c r="NZK5" s="314"/>
      <c r="NZX5" s="314"/>
      <c r="OAK5" s="314"/>
      <c r="OAX5" s="314"/>
      <c r="OBK5" s="314"/>
      <c r="OBX5" s="314"/>
      <c r="OCK5" s="314"/>
      <c r="OCX5" s="314"/>
      <c r="ODK5" s="314"/>
      <c r="ODX5" s="314"/>
      <c r="OEK5" s="314"/>
      <c r="OEX5" s="314"/>
      <c r="OFK5" s="314"/>
      <c r="OFX5" s="314"/>
      <c r="OGK5" s="314"/>
      <c r="OGX5" s="314"/>
      <c r="OHK5" s="314"/>
      <c r="OHX5" s="314"/>
      <c r="OIK5" s="314"/>
      <c r="OIX5" s="314"/>
      <c r="OJK5" s="314"/>
      <c r="OJX5" s="314"/>
      <c r="OKK5" s="314"/>
      <c r="OKX5" s="314"/>
      <c r="OLK5" s="314"/>
      <c r="OLX5" s="314"/>
      <c r="OMK5" s="314"/>
      <c r="OMX5" s="314"/>
      <c r="ONK5" s="314"/>
      <c r="ONX5" s="314"/>
      <c r="OOK5" s="314"/>
      <c r="OOX5" s="314"/>
      <c r="OPK5" s="314"/>
      <c r="OPX5" s="314"/>
      <c r="OQK5" s="314"/>
      <c r="OQX5" s="314"/>
      <c r="ORK5" s="314"/>
      <c r="ORX5" s="314"/>
      <c r="OSK5" s="314"/>
      <c r="OSX5" s="314"/>
      <c r="OTK5" s="314"/>
      <c r="OTX5" s="314"/>
      <c r="OUK5" s="314"/>
      <c r="OUX5" s="314"/>
      <c r="OVK5" s="314"/>
      <c r="OVX5" s="314"/>
      <c r="OWK5" s="314"/>
      <c r="OWX5" s="314"/>
      <c r="OXK5" s="314"/>
      <c r="OXX5" s="314"/>
      <c r="OYK5" s="314"/>
      <c r="OYX5" s="314"/>
      <c r="OZK5" s="314"/>
      <c r="OZX5" s="314"/>
      <c r="PAK5" s="314"/>
      <c r="PAX5" s="314"/>
      <c r="PBK5" s="314"/>
      <c r="PBX5" s="314"/>
      <c r="PCK5" s="314"/>
      <c r="PCX5" s="314"/>
      <c r="PDK5" s="314"/>
      <c r="PDX5" s="314"/>
      <c r="PEK5" s="314"/>
      <c r="PEX5" s="314"/>
      <c r="PFK5" s="314"/>
      <c r="PFX5" s="314"/>
      <c r="PGK5" s="314"/>
      <c r="PGX5" s="314"/>
      <c r="PHK5" s="314"/>
      <c r="PHX5" s="314"/>
      <c r="PIK5" s="314"/>
      <c r="PIX5" s="314"/>
      <c r="PJK5" s="314"/>
      <c r="PJX5" s="314"/>
      <c r="PKK5" s="314"/>
      <c r="PKX5" s="314"/>
      <c r="PLK5" s="314"/>
      <c r="PLX5" s="314"/>
      <c r="PMK5" s="314"/>
      <c r="PMX5" s="314"/>
      <c r="PNK5" s="314"/>
      <c r="PNX5" s="314"/>
      <c r="POK5" s="314"/>
      <c r="POX5" s="314"/>
      <c r="PPK5" s="314"/>
      <c r="PPX5" s="314"/>
      <c r="PQK5" s="314"/>
      <c r="PQX5" s="314"/>
      <c r="PRK5" s="314"/>
      <c r="PRX5" s="314"/>
      <c r="PSK5" s="314"/>
      <c r="PSX5" s="314"/>
      <c r="PTK5" s="314"/>
      <c r="PTX5" s="314"/>
      <c r="PUK5" s="314"/>
      <c r="PUX5" s="314"/>
      <c r="PVK5" s="314"/>
      <c r="PVX5" s="314"/>
      <c r="PWK5" s="314"/>
      <c r="PWX5" s="314"/>
      <c r="PXK5" s="314"/>
      <c r="PXX5" s="314"/>
      <c r="PYK5" s="314"/>
      <c r="PYX5" s="314"/>
      <c r="PZK5" s="314"/>
      <c r="PZX5" s="314"/>
      <c r="QAK5" s="314"/>
      <c r="QAX5" s="314"/>
      <c r="QBK5" s="314"/>
      <c r="QBX5" s="314"/>
      <c r="QCK5" s="314"/>
      <c r="QCX5" s="314"/>
      <c r="QDK5" s="314"/>
      <c r="QDX5" s="314"/>
      <c r="QEK5" s="314"/>
      <c r="QEX5" s="314"/>
      <c r="QFK5" s="314"/>
      <c r="QFX5" s="314"/>
      <c r="QGK5" s="314"/>
      <c r="QGX5" s="314"/>
      <c r="QHK5" s="314"/>
      <c r="QHX5" s="314"/>
      <c r="QIK5" s="314"/>
      <c r="QIX5" s="314"/>
      <c r="QJK5" s="314"/>
      <c r="QJX5" s="314"/>
      <c r="QKK5" s="314"/>
      <c r="QKX5" s="314"/>
      <c r="QLK5" s="314"/>
      <c r="QLX5" s="314"/>
      <c r="QMK5" s="314"/>
      <c r="QMX5" s="314"/>
      <c r="QNK5" s="314"/>
      <c r="QNX5" s="314"/>
      <c r="QOK5" s="314"/>
      <c r="QOX5" s="314"/>
      <c r="QPK5" s="314"/>
      <c r="QPX5" s="314"/>
      <c r="QQK5" s="314"/>
      <c r="QQX5" s="314"/>
      <c r="QRK5" s="314"/>
      <c r="QRX5" s="314"/>
      <c r="QSK5" s="314"/>
      <c r="QSX5" s="314"/>
      <c r="QTK5" s="314"/>
      <c r="QTX5" s="314"/>
      <c r="QUK5" s="314"/>
      <c r="QUX5" s="314"/>
      <c r="QVK5" s="314"/>
      <c r="QVX5" s="314"/>
      <c r="QWK5" s="314"/>
      <c r="QWX5" s="314"/>
      <c r="QXK5" s="314"/>
      <c r="QXX5" s="314"/>
      <c r="QYK5" s="314"/>
      <c r="QYX5" s="314"/>
      <c r="QZK5" s="314"/>
      <c r="QZX5" s="314"/>
      <c r="RAK5" s="314"/>
      <c r="RAX5" s="314"/>
      <c r="RBK5" s="314"/>
      <c r="RBX5" s="314"/>
      <c r="RCK5" s="314"/>
      <c r="RCX5" s="314"/>
      <c r="RDK5" s="314"/>
      <c r="RDX5" s="314"/>
      <c r="REK5" s="314"/>
      <c r="REX5" s="314"/>
      <c r="RFK5" s="314"/>
      <c r="RFX5" s="314"/>
      <c r="RGK5" s="314"/>
      <c r="RGX5" s="314"/>
      <c r="RHK5" s="314"/>
      <c r="RHX5" s="314"/>
      <c r="RIK5" s="314"/>
      <c r="RIX5" s="314"/>
      <c r="RJK5" s="314"/>
      <c r="RJX5" s="314"/>
      <c r="RKK5" s="314"/>
      <c r="RKX5" s="314"/>
      <c r="RLK5" s="314"/>
      <c r="RLX5" s="314"/>
      <c r="RMK5" s="314"/>
      <c r="RMX5" s="314"/>
      <c r="RNK5" s="314"/>
      <c r="RNX5" s="314"/>
      <c r="ROK5" s="314"/>
      <c r="ROX5" s="314"/>
      <c r="RPK5" s="314"/>
      <c r="RPX5" s="314"/>
      <c r="RQK5" s="314"/>
      <c r="RQX5" s="314"/>
      <c r="RRK5" s="314"/>
      <c r="RRX5" s="314"/>
      <c r="RSK5" s="314"/>
      <c r="RSX5" s="314"/>
      <c r="RTK5" s="314"/>
      <c r="RTX5" s="314"/>
      <c r="RUK5" s="314"/>
      <c r="RUX5" s="314"/>
      <c r="RVK5" s="314"/>
      <c r="RVX5" s="314"/>
      <c r="RWK5" s="314"/>
      <c r="RWX5" s="314"/>
      <c r="RXK5" s="314"/>
      <c r="RXX5" s="314"/>
      <c r="RYK5" s="314"/>
      <c r="RYX5" s="314"/>
      <c r="RZK5" s="314"/>
      <c r="RZX5" s="314"/>
      <c r="SAK5" s="314"/>
      <c r="SAX5" s="314"/>
      <c r="SBK5" s="314"/>
      <c r="SBX5" s="314"/>
      <c r="SCK5" s="314"/>
      <c r="SCX5" s="314"/>
      <c r="SDK5" s="314"/>
      <c r="SDX5" s="314"/>
      <c r="SEK5" s="314"/>
      <c r="SEX5" s="314"/>
      <c r="SFK5" s="314"/>
      <c r="SFX5" s="314"/>
      <c r="SGK5" s="314"/>
      <c r="SGX5" s="314"/>
      <c r="SHK5" s="314"/>
      <c r="SHX5" s="314"/>
      <c r="SIK5" s="314"/>
      <c r="SIX5" s="314"/>
      <c r="SJK5" s="314"/>
      <c r="SJX5" s="314"/>
      <c r="SKK5" s="314"/>
      <c r="SKX5" s="314"/>
      <c r="SLK5" s="314"/>
      <c r="SLX5" s="314"/>
      <c r="SMK5" s="314"/>
      <c r="SMX5" s="314"/>
      <c r="SNK5" s="314"/>
      <c r="SNX5" s="314"/>
      <c r="SOK5" s="314"/>
      <c r="SOX5" s="314"/>
      <c r="SPK5" s="314"/>
      <c r="SPX5" s="314"/>
      <c r="SQK5" s="314"/>
      <c r="SQX5" s="314"/>
      <c r="SRK5" s="314"/>
      <c r="SRX5" s="314"/>
      <c r="SSK5" s="314"/>
      <c r="SSX5" s="314"/>
      <c r="STK5" s="314"/>
      <c r="STX5" s="314"/>
      <c r="SUK5" s="314"/>
      <c r="SUX5" s="314"/>
      <c r="SVK5" s="314"/>
      <c r="SVX5" s="314"/>
      <c r="SWK5" s="314"/>
      <c r="SWX5" s="314"/>
      <c r="SXK5" s="314"/>
      <c r="SXX5" s="314"/>
      <c r="SYK5" s="314"/>
      <c r="SYX5" s="314"/>
      <c r="SZK5" s="314"/>
      <c r="SZX5" s="314"/>
      <c r="TAK5" s="314"/>
      <c r="TAX5" s="314"/>
      <c r="TBK5" s="314"/>
      <c r="TBX5" s="314"/>
      <c r="TCK5" s="314"/>
      <c r="TCX5" s="314"/>
      <c r="TDK5" s="314"/>
      <c r="TDX5" s="314"/>
      <c r="TEK5" s="314"/>
      <c r="TEX5" s="314"/>
      <c r="TFK5" s="314"/>
      <c r="TFX5" s="314"/>
      <c r="TGK5" s="314"/>
      <c r="TGX5" s="314"/>
      <c r="THK5" s="314"/>
      <c r="THX5" s="314"/>
      <c r="TIK5" s="314"/>
      <c r="TIX5" s="314"/>
      <c r="TJK5" s="314"/>
      <c r="TJX5" s="314"/>
      <c r="TKK5" s="314"/>
      <c r="TKX5" s="314"/>
      <c r="TLK5" s="314"/>
      <c r="TLX5" s="314"/>
      <c r="TMK5" s="314"/>
      <c r="TMX5" s="314"/>
      <c r="TNK5" s="314"/>
      <c r="TNX5" s="314"/>
      <c r="TOK5" s="314"/>
      <c r="TOX5" s="314"/>
      <c r="TPK5" s="314"/>
      <c r="TPX5" s="314"/>
      <c r="TQK5" s="314"/>
      <c r="TQX5" s="314"/>
      <c r="TRK5" s="314"/>
      <c r="TRX5" s="314"/>
      <c r="TSK5" s="314"/>
      <c r="TSX5" s="314"/>
      <c r="TTK5" s="314"/>
      <c r="TTX5" s="314"/>
      <c r="TUK5" s="314"/>
      <c r="TUX5" s="314"/>
      <c r="TVK5" s="314"/>
      <c r="TVX5" s="314"/>
      <c r="TWK5" s="314"/>
      <c r="TWX5" s="314"/>
      <c r="TXK5" s="314"/>
      <c r="TXX5" s="314"/>
      <c r="TYK5" s="314"/>
      <c r="TYX5" s="314"/>
      <c r="TZK5" s="314"/>
      <c r="TZX5" s="314"/>
      <c r="UAK5" s="314"/>
      <c r="UAX5" s="314"/>
      <c r="UBK5" s="314"/>
      <c r="UBX5" s="314"/>
      <c r="UCK5" s="314"/>
      <c r="UCX5" s="314"/>
      <c r="UDK5" s="314"/>
      <c r="UDX5" s="314"/>
      <c r="UEK5" s="314"/>
      <c r="UEX5" s="314"/>
      <c r="UFK5" s="314"/>
      <c r="UFX5" s="314"/>
      <c r="UGK5" s="314"/>
      <c r="UGX5" s="314"/>
      <c r="UHK5" s="314"/>
      <c r="UHX5" s="314"/>
      <c r="UIK5" s="314"/>
      <c r="UIX5" s="314"/>
      <c r="UJK5" s="314"/>
      <c r="UJX5" s="314"/>
      <c r="UKK5" s="314"/>
      <c r="UKX5" s="314"/>
      <c r="ULK5" s="314"/>
      <c r="ULX5" s="314"/>
      <c r="UMK5" s="314"/>
      <c r="UMX5" s="314"/>
      <c r="UNK5" s="314"/>
      <c r="UNX5" s="314"/>
      <c r="UOK5" s="314"/>
      <c r="UOX5" s="314"/>
      <c r="UPK5" s="314"/>
      <c r="UPX5" s="314"/>
      <c r="UQK5" s="314"/>
      <c r="UQX5" s="314"/>
      <c r="URK5" s="314"/>
      <c r="URX5" s="314"/>
      <c r="USK5" s="314"/>
      <c r="USX5" s="314"/>
      <c r="UTK5" s="314"/>
      <c r="UTX5" s="314"/>
      <c r="UUK5" s="314"/>
      <c r="UUX5" s="314"/>
      <c r="UVK5" s="314"/>
      <c r="UVX5" s="314"/>
      <c r="UWK5" s="314"/>
      <c r="UWX5" s="314"/>
      <c r="UXK5" s="314"/>
      <c r="UXX5" s="314"/>
      <c r="UYK5" s="314"/>
      <c r="UYX5" s="314"/>
      <c r="UZK5" s="314"/>
      <c r="UZX5" s="314"/>
      <c r="VAK5" s="314"/>
      <c r="VAX5" s="314"/>
      <c r="VBK5" s="314"/>
      <c r="VBX5" s="314"/>
      <c r="VCK5" s="314"/>
      <c r="VCX5" s="314"/>
      <c r="VDK5" s="314"/>
      <c r="VDX5" s="314"/>
      <c r="VEK5" s="314"/>
      <c r="VEX5" s="314"/>
      <c r="VFK5" s="314"/>
      <c r="VFX5" s="314"/>
      <c r="VGK5" s="314"/>
      <c r="VGX5" s="314"/>
      <c r="VHK5" s="314"/>
      <c r="VHX5" s="314"/>
      <c r="VIK5" s="314"/>
      <c r="VIX5" s="314"/>
      <c r="VJK5" s="314"/>
      <c r="VJX5" s="314"/>
      <c r="VKK5" s="314"/>
      <c r="VKX5" s="314"/>
      <c r="VLK5" s="314"/>
      <c r="VLX5" s="314"/>
      <c r="VMK5" s="314"/>
      <c r="VMX5" s="314"/>
      <c r="VNK5" s="314"/>
      <c r="VNX5" s="314"/>
      <c r="VOK5" s="314"/>
      <c r="VOX5" s="314"/>
      <c r="VPK5" s="314"/>
      <c r="VPX5" s="314"/>
      <c r="VQK5" s="314"/>
      <c r="VQX5" s="314"/>
      <c r="VRK5" s="314"/>
      <c r="VRX5" s="314"/>
      <c r="VSK5" s="314"/>
      <c r="VSX5" s="314"/>
      <c r="VTK5" s="314"/>
      <c r="VTX5" s="314"/>
      <c r="VUK5" s="314"/>
      <c r="VUX5" s="314"/>
      <c r="VVK5" s="314"/>
      <c r="VVX5" s="314"/>
      <c r="VWK5" s="314"/>
      <c r="VWX5" s="314"/>
      <c r="VXK5" s="314"/>
      <c r="VXX5" s="314"/>
      <c r="VYK5" s="314"/>
      <c r="VYX5" s="314"/>
      <c r="VZK5" s="314"/>
      <c r="VZX5" s="314"/>
      <c r="WAK5" s="314"/>
      <c r="WAX5" s="314"/>
      <c r="WBK5" s="314"/>
      <c r="WBX5" s="314"/>
      <c r="WCK5" s="314"/>
      <c r="WCX5" s="314"/>
      <c r="WDK5" s="314"/>
      <c r="WDX5" s="314"/>
      <c r="WEK5" s="314"/>
      <c r="WEX5" s="314"/>
      <c r="WFK5" s="314"/>
      <c r="WFX5" s="314"/>
      <c r="WGK5" s="314"/>
      <c r="WGX5" s="314"/>
      <c r="WHK5" s="314"/>
      <c r="WHX5" s="314"/>
      <c r="WIK5" s="314"/>
      <c r="WIX5" s="314"/>
      <c r="WJK5" s="314"/>
      <c r="WJX5" s="314"/>
      <c r="WKK5" s="314"/>
      <c r="WKX5" s="314"/>
      <c r="WLK5" s="314"/>
      <c r="WLX5" s="314"/>
      <c r="WMK5" s="314"/>
      <c r="WMX5" s="314"/>
      <c r="WNK5" s="314"/>
      <c r="WNX5" s="314"/>
      <c r="WOK5" s="314"/>
      <c r="WOX5" s="314"/>
      <c r="WPK5" s="314"/>
      <c r="WPX5" s="314"/>
      <c r="WQK5" s="314"/>
      <c r="WQX5" s="314"/>
      <c r="WRK5" s="314"/>
      <c r="WRX5" s="314"/>
      <c r="WSK5" s="314"/>
      <c r="WSX5" s="314"/>
      <c r="WTK5" s="314"/>
      <c r="WTX5" s="314"/>
      <c r="WUK5" s="314"/>
      <c r="WUX5" s="314"/>
      <c r="WVK5" s="314"/>
      <c r="WVX5" s="314"/>
      <c r="WWK5" s="314"/>
      <c r="WWX5" s="314"/>
      <c r="WXK5" s="314"/>
      <c r="WXX5" s="314"/>
      <c r="WYK5" s="314"/>
      <c r="WYX5" s="314"/>
      <c r="WZK5" s="314"/>
      <c r="WZX5" s="314"/>
      <c r="XAK5" s="314"/>
      <c r="XAX5" s="314"/>
      <c r="XBK5" s="314"/>
      <c r="XBX5" s="314"/>
      <c r="XCK5" s="314"/>
      <c r="XCX5" s="314"/>
      <c r="XDK5" s="314"/>
      <c r="XDX5" s="314"/>
      <c r="XEK5" s="314"/>
      <c r="XEX5" s="314"/>
    </row>
    <row r="6" spans="1:1012 1025:2039 2052:3066 3079:4093 4106:5120 5133:6134 6147:7161 7174:8188 8201:9215 9228:10229 10242:11256 11269:12283 12296:13310 13323:14324 14337:15351 15364:16378" s="256" customFormat="1" ht="13" customHeight="1">
      <c r="A6" s="325"/>
      <c r="B6" s="16" t="str">
        <f>IF('Summary | Sumário'!D$6=Names!B$3,Names!M4,Names!N4)</f>
        <v>Income from securities and derivatives</v>
      </c>
      <c r="C6" s="316">
        <v>66753</v>
      </c>
      <c r="D6" s="316">
        <v>-42358</v>
      </c>
      <c r="E6" s="316">
        <v>697283</v>
      </c>
      <c r="F6" s="316">
        <v>1505621</v>
      </c>
      <c r="G6" s="316">
        <v>1545835</v>
      </c>
      <c r="H6" s="316">
        <v>68136</v>
      </c>
      <c r="I6" s="316">
        <v>82897</v>
      </c>
      <c r="J6" s="316">
        <v>218551</v>
      </c>
      <c r="K6" s="316">
        <v>327699</v>
      </c>
      <c r="L6" s="316">
        <v>359022</v>
      </c>
      <c r="M6" s="316">
        <v>403816</v>
      </c>
      <c r="N6" s="316">
        <v>346923</v>
      </c>
      <c r="O6" s="316">
        <v>395860</v>
      </c>
      <c r="P6" s="316">
        <v>371406</v>
      </c>
      <c r="Q6" s="316">
        <v>343176</v>
      </c>
      <c r="R6" s="316">
        <v>482020</v>
      </c>
      <c r="S6" s="316">
        <v>349233</v>
      </c>
      <c r="T6" s="316">
        <v>515381</v>
      </c>
      <c r="U6" s="316">
        <v>629896.33208385389</v>
      </c>
      <c r="V6" s="316"/>
      <c r="W6" s="323">
        <f t="shared" si="0"/>
        <v>0.2221954866086524</v>
      </c>
      <c r="X6" s="323">
        <f t="shared" si="1"/>
        <v>0.83549062895964132</v>
      </c>
    </row>
    <row r="7" spans="1:1012 1025:2039 2052:3066 3079:4093 4106:5120 5133:6134 6147:7161 7174:8188 8201:9215 9228:10229 10242:11256 11269:12283 12296:13310 13323:14324 14337:15351 15364:16378" s="250" customFormat="1" ht="13" customHeight="1">
      <c r="A7" s="341"/>
      <c r="B7" s="414" t="str">
        <f>IF('Summary | Sumário'!D$6=Names!B$3,Names!M5,Names!N5)</f>
        <v>Net interest income</v>
      </c>
      <c r="C7" s="415">
        <v>585551</v>
      </c>
      <c r="D7" s="415">
        <v>715962.89517999999</v>
      </c>
      <c r="E7" s="415">
        <v>1589469.2459999998</v>
      </c>
      <c r="F7" s="415">
        <v>2335429.0819999995</v>
      </c>
      <c r="G7" s="415">
        <v>3208088</v>
      </c>
      <c r="H7" s="415">
        <v>291580.935</v>
      </c>
      <c r="I7" s="415">
        <v>302295.75100000005</v>
      </c>
      <c r="J7" s="415">
        <v>447369.88</v>
      </c>
      <c r="K7" s="415">
        <v>548221.67999999993</v>
      </c>
      <c r="L7" s="415">
        <v>543410.63199999998</v>
      </c>
      <c r="M7" s="415">
        <v>561087.6370000001</v>
      </c>
      <c r="N7" s="415">
        <v>555587.73100000003</v>
      </c>
      <c r="O7" s="415">
        <v>675343.08199999994</v>
      </c>
      <c r="P7" s="415">
        <v>711561.82200000004</v>
      </c>
      <c r="Q7" s="415">
        <v>802075</v>
      </c>
      <c r="R7" s="415">
        <v>818557.08874000004</v>
      </c>
      <c r="S7" s="415">
        <v>875895.08425999992</v>
      </c>
      <c r="T7" s="415">
        <v>970665.10969999991</v>
      </c>
      <c r="U7" s="415">
        <v>1029668.3320838539</v>
      </c>
      <c r="V7" s="328"/>
      <c r="W7" s="485">
        <f t="shared" si="0"/>
        <v>6.0786384298998852E-2</v>
      </c>
      <c r="X7" s="485">
        <f t="shared" si="1"/>
        <v>0.28375567382583156</v>
      </c>
    </row>
    <row r="8" spans="1:1012 1025:2039 2052:3066 3079:4093 4106:5120 5133:6134 6147:7161 7174:8188 8201:9215 9228:10229 10242:11256 11269:12283 12296:13310 13323:14324 14337:15351 15364:16378" ht="13" customHeight="1">
      <c r="C8" s="202"/>
      <c r="D8" s="202"/>
      <c r="E8" s="202"/>
      <c r="F8" s="202"/>
      <c r="G8" s="202"/>
      <c r="H8" s="202"/>
      <c r="I8" s="202"/>
      <c r="J8" s="202"/>
      <c r="K8" s="202"/>
      <c r="L8" s="202"/>
      <c r="M8" s="202"/>
      <c r="N8" s="202"/>
      <c r="O8" s="202"/>
      <c r="P8" s="202"/>
      <c r="Q8" s="202"/>
      <c r="R8" s="202"/>
      <c r="S8" s="202"/>
      <c r="T8" s="202"/>
      <c r="U8" s="202"/>
      <c r="V8" s="202"/>
      <c r="W8" s="311"/>
      <c r="X8" s="311"/>
    </row>
    <row r="9" spans="1:1012 1025:2039 2052:3066 3079:4093 4106:5120 5133:6134 6147:7161 7174:8188 8201:9215 9228:10229 10242:11256 11269:12283 12296:13310 13323:14324 14337:15351 15364:16378" s="313" customFormat="1" ht="13" customHeight="1">
      <c r="A9" s="312"/>
      <c r="B9" s="22" t="str">
        <f>IF('Summary | Sumário'!D$6=Names!B$3,Names!M6,Names!N6)</f>
        <v xml:space="preserve">Revenues from services and commissions </v>
      </c>
      <c r="C9" s="340">
        <v>130457</v>
      </c>
      <c r="D9" s="340">
        <v>257145</v>
      </c>
      <c r="E9" s="340">
        <v>542569</v>
      </c>
      <c r="F9" s="340">
        <v>968039</v>
      </c>
      <c r="G9" s="340">
        <v>1304382</v>
      </c>
      <c r="H9" s="340">
        <v>100965</v>
      </c>
      <c r="I9" s="340">
        <v>110911</v>
      </c>
      <c r="J9" s="340">
        <v>149283</v>
      </c>
      <c r="K9" s="340">
        <v>181410</v>
      </c>
      <c r="L9" s="340">
        <v>206219</v>
      </c>
      <c r="M9" s="340">
        <v>238515</v>
      </c>
      <c r="N9" s="340">
        <v>250433</v>
      </c>
      <c r="O9" s="340">
        <v>272872</v>
      </c>
      <c r="P9" s="340">
        <v>282353</v>
      </c>
      <c r="Q9" s="340">
        <v>298524</v>
      </c>
      <c r="R9" s="340">
        <v>347780</v>
      </c>
      <c r="S9" s="340">
        <v>375724.6</v>
      </c>
      <c r="T9" s="340">
        <v>374339.16833017452</v>
      </c>
      <c r="U9" s="340">
        <v>397145</v>
      </c>
      <c r="V9" s="283"/>
      <c r="W9" s="508">
        <f t="shared" si="0"/>
        <v>6.0922910556103771E-2</v>
      </c>
      <c r="X9" s="508">
        <f t="shared" si="1"/>
        <v>0.33036204794254398</v>
      </c>
      <c r="Y9" s="201"/>
      <c r="AK9" s="314"/>
      <c r="AX9" s="314"/>
      <c r="BK9" s="314"/>
      <c r="BX9" s="314"/>
      <c r="CK9" s="314"/>
      <c r="CX9" s="314"/>
      <c r="DK9" s="314"/>
      <c r="DX9" s="314"/>
      <c r="EK9" s="314"/>
      <c r="EX9" s="314"/>
      <c r="FK9" s="314"/>
      <c r="FX9" s="314"/>
      <c r="GK9" s="314"/>
      <c r="GX9" s="314"/>
      <c r="HK9" s="314"/>
      <c r="HX9" s="314"/>
      <c r="IK9" s="314"/>
      <c r="IX9" s="314"/>
      <c r="JK9" s="314"/>
      <c r="JX9" s="314"/>
      <c r="KK9" s="314"/>
      <c r="KX9" s="314"/>
      <c r="LK9" s="314"/>
      <c r="LX9" s="314"/>
      <c r="MK9" s="314"/>
      <c r="MX9" s="314"/>
      <c r="NK9" s="314"/>
      <c r="NX9" s="314"/>
      <c r="OK9" s="314"/>
      <c r="OX9" s="314"/>
      <c r="PK9" s="314"/>
      <c r="PX9" s="314"/>
      <c r="QK9" s="314"/>
      <c r="QX9" s="314"/>
      <c r="RK9" s="314"/>
      <c r="RX9" s="314"/>
      <c r="SK9" s="314"/>
      <c r="SX9" s="314"/>
      <c r="TK9" s="314"/>
      <c r="TX9" s="314"/>
      <c r="UK9" s="314"/>
      <c r="UX9" s="314"/>
      <c r="VK9" s="314"/>
      <c r="VX9" s="314"/>
      <c r="WK9" s="314"/>
      <c r="WX9" s="314"/>
      <c r="XK9" s="314"/>
      <c r="XX9" s="314"/>
      <c r="YK9" s="314"/>
      <c r="YX9" s="314"/>
      <c r="ZK9" s="314"/>
      <c r="ZX9" s="314"/>
      <c r="AAK9" s="314"/>
      <c r="AAX9" s="314"/>
      <c r="ABK9" s="314"/>
      <c r="ABX9" s="314"/>
      <c r="ACK9" s="314"/>
      <c r="ACX9" s="314"/>
      <c r="ADK9" s="314"/>
      <c r="ADX9" s="314"/>
      <c r="AEK9" s="314"/>
      <c r="AEX9" s="314"/>
      <c r="AFK9" s="314"/>
      <c r="AFX9" s="314"/>
      <c r="AGK9" s="314"/>
      <c r="AGX9" s="314"/>
      <c r="AHK9" s="314"/>
      <c r="AHX9" s="314"/>
      <c r="AIK9" s="314"/>
      <c r="AIX9" s="314"/>
      <c r="AJK9" s="314"/>
      <c r="AJX9" s="314"/>
      <c r="AKK9" s="314"/>
      <c r="AKX9" s="314"/>
      <c r="ALK9" s="314"/>
      <c r="ALX9" s="314"/>
      <c r="AMK9" s="314"/>
      <c r="AMX9" s="314"/>
      <c r="ANK9" s="314"/>
      <c r="ANX9" s="314"/>
      <c r="AOK9" s="314"/>
      <c r="AOX9" s="314"/>
      <c r="APK9" s="314"/>
      <c r="APX9" s="314"/>
      <c r="AQK9" s="314"/>
      <c r="AQX9" s="314"/>
      <c r="ARK9" s="314"/>
      <c r="ARX9" s="314"/>
      <c r="ASK9" s="314"/>
      <c r="ASX9" s="314"/>
      <c r="ATK9" s="314"/>
      <c r="ATX9" s="314"/>
      <c r="AUK9" s="314"/>
      <c r="AUX9" s="314"/>
      <c r="AVK9" s="314"/>
      <c r="AVX9" s="314"/>
      <c r="AWK9" s="314"/>
      <c r="AWX9" s="314"/>
      <c r="AXK9" s="314"/>
      <c r="AXX9" s="314"/>
      <c r="AYK9" s="314"/>
      <c r="AYX9" s="314"/>
      <c r="AZK9" s="314"/>
      <c r="AZX9" s="314"/>
      <c r="BAK9" s="314"/>
      <c r="BAX9" s="314"/>
      <c r="BBK9" s="314"/>
      <c r="BBX9" s="314"/>
      <c r="BCK9" s="314"/>
      <c r="BCX9" s="314"/>
      <c r="BDK9" s="314"/>
      <c r="BDX9" s="314"/>
      <c r="BEK9" s="314"/>
      <c r="BEX9" s="314"/>
      <c r="BFK9" s="314"/>
      <c r="BFX9" s="314"/>
      <c r="BGK9" s="314"/>
      <c r="BGX9" s="314"/>
      <c r="BHK9" s="314"/>
      <c r="BHX9" s="314"/>
      <c r="BIK9" s="314"/>
      <c r="BIX9" s="314"/>
      <c r="BJK9" s="314"/>
      <c r="BJX9" s="314"/>
      <c r="BKK9" s="314"/>
      <c r="BKX9" s="314"/>
      <c r="BLK9" s="314"/>
      <c r="BLX9" s="314"/>
      <c r="BMK9" s="314"/>
      <c r="BMX9" s="314"/>
      <c r="BNK9" s="314"/>
      <c r="BNX9" s="314"/>
      <c r="BOK9" s="314"/>
      <c r="BOX9" s="314"/>
      <c r="BPK9" s="314"/>
      <c r="BPX9" s="314"/>
      <c r="BQK9" s="314"/>
      <c r="BQX9" s="314"/>
      <c r="BRK9" s="314"/>
      <c r="BRX9" s="314"/>
      <c r="BSK9" s="314"/>
      <c r="BSX9" s="314"/>
      <c r="BTK9" s="314"/>
      <c r="BTX9" s="314"/>
      <c r="BUK9" s="314"/>
      <c r="BUX9" s="314"/>
      <c r="BVK9" s="314"/>
      <c r="BVX9" s="314"/>
      <c r="BWK9" s="314"/>
      <c r="BWX9" s="314"/>
      <c r="BXK9" s="314"/>
      <c r="BXX9" s="314"/>
      <c r="BYK9" s="314"/>
      <c r="BYX9" s="314"/>
      <c r="BZK9" s="314"/>
      <c r="BZX9" s="314"/>
      <c r="CAK9" s="314"/>
      <c r="CAX9" s="314"/>
      <c r="CBK9" s="314"/>
      <c r="CBX9" s="314"/>
      <c r="CCK9" s="314"/>
      <c r="CCX9" s="314"/>
      <c r="CDK9" s="314"/>
      <c r="CDX9" s="314"/>
      <c r="CEK9" s="314"/>
      <c r="CEX9" s="314"/>
      <c r="CFK9" s="314"/>
      <c r="CFX9" s="314"/>
      <c r="CGK9" s="314"/>
      <c r="CGX9" s="314"/>
      <c r="CHK9" s="314"/>
      <c r="CHX9" s="314"/>
      <c r="CIK9" s="314"/>
      <c r="CIX9" s="314"/>
      <c r="CJK9" s="314"/>
      <c r="CJX9" s="314"/>
      <c r="CKK9" s="314"/>
      <c r="CKX9" s="314"/>
      <c r="CLK9" s="314"/>
      <c r="CLX9" s="314"/>
      <c r="CMK9" s="314"/>
      <c r="CMX9" s="314"/>
      <c r="CNK9" s="314"/>
      <c r="CNX9" s="314"/>
      <c r="COK9" s="314"/>
      <c r="COX9" s="314"/>
      <c r="CPK9" s="314"/>
      <c r="CPX9" s="314"/>
      <c r="CQK9" s="314"/>
      <c r="CQX9" s="314"/>
      <c r="CRK9" s="314"/>
      <c r="CRX9" s="314"/>
      <c r="CSK9" s="314"/>
      <c r="CSX9" s="314"/>
      <c r="CTK9" s="314"/>
      <c r="CTX9" s="314"/>
      <c r="CUK9" s="314"/>
      <c r="CUX9" s="314"/>
      <c r="CVK9" s="314"/>
      <c r="CVX9" s="314"/>
      <c r="CWK9" s="314"/>
      <c r="CWX9" s="314"/>
      <c r="CXK9" s="314"/>
      <c r="CXX9" s="314"/>
      <c r="CYK9" s="314"/>
      <c r="CYX9" s="314"/>
      <c r="CZK9" s="314"/>
      <c r="CZX9" s="314"/>
      <c r="DAK9" s="314"/>
      <c r="DAX9" s="314"/>
      <c r="DBK9" s="314"/>
      <c r="DBX9" s="314"/>
      <c r="DCK9" s="314"/>
      <c r="DCX9" s="314"/>
      <c r="DDK9" s="314"/>
      <c r="DDX9" s="314"/>
      <c r="DEK9" s="314"/>
      <c r="DEX9" s="314"/>
      <c r="DFK9" s="314"/>
      <c r="DFX9" s="314"/>
      <c r="DGK9" s="314"/>
      <c r="DGX9" s="314"/>
      <c r="DHK9" s="314"/>
      <c r="DHX9" s="314"/>
      <c r="DIK9" s="314"/>
      <c r="DIX9" s="314"/>
      <c r="DJK9" s="314"/>
      <c r="DJX9" s="314"/>
      <c r="DKK9" s="314"/>
      <c r="DKX9" s="314"/>
      <c r="DLK9" s="314"/>
      <c r="DLX9" s="314"/>
      <c r="DMK9" s="314"/>
      <c r="DMX9" s="314"/>
      <c r="DNK9" s="314"/>
      <c r="DNX9" s="314"/>
      <c r="DOK9" s="314"/>
      <c r="DOX9" s="314"/>
      <c r="DPK9" s="314"/>
      <c r="DPX9" s="314"/>
      <c r="DQK9" s="314"/>
      <c r="DQX9" s="314"/>
      <c r="DRK9" s="314"/>
      <c r="DRX9" s="314"/>
      <c r="DSK9" s="314"/>
      <c r="DSX9" s="314"/>
      <c r="DTK9" s="314"/>
      <c r="DTX9" s="314"/>
      <c r="DUK9" s="314"/>
      <c r="DUX9" s="314"/>
      <c r="DVK9" s="314"/>
      <c r="DVX9" s="314"/>
      <c r="DWK9" s="314"/>
      <c r="DWX9" s="314"/>
      <c r="DXK9" s="314"/>
      <c r="DXX9" s="314"/>
      <c r="DYK9" s="314"/>
      <c r="DYX9" s="314"/>
      <c r="DZK9" s="314"/>
      <c r="DZX9" s="314"/>
      <c r="EAK9" s="314"/>
      <c r="EAX9" s="314"/>
      <c r="EBK9" s="314"/>
      <c r="EBX9" s="314"/>
      <c r="ECK9" s="314"/>
      <c r="ECX9" s="314"/>
      <c r="EDK9" s="314"/>
      <c r="EDX9" s="314"/>
      <c r="EEK9" s="314"/>
      <c r="EEX9" s="314"/>
      <c r="EFK9" s="314"/>
      <c r="EFX9" s="314"/>
      <c r="EGK9" s="314"/>
      <c r="EGX9" s="314"/>
      <c r="EHK9" s="314"/>
      <c r="EHX9" s="314"/>
      <c r="EIK9" s="314"/>
      <c r="EIX9" s="314"/>
      <c r="EJK9" s="314"/>
      <c r="EJX9" s="314"/>
      <c r="EKK9" s="314"/>
      <c r="EKX9" s="314"/>
      <c r="ELK9" s="314"/>
      <c r="ELX9" s="314"/>
      <c r="EMK9" s="314"/>
      <c r="EMX9" s="314"/>
      <c r="ENK9" s="314"/>
      <c r="ENX9" s="314"/>
      <c r="EOK9" s="314"/>
      <c r="EOX9" s="314"/>
      <c r="EPK9" s="314"/>
      <c r="EPX9" s="314"/>
      <c r="EQK9" s="314"/>
      <c r="EQX9" s="314"/>
      <c r="ERK9" s="314"/>
      <c r="ERX9" s="314"/>
      <c r="ESK9" s="314"/>
      <c r="ESX9" s="314"/>
      <c r="ETK9" s="314"/>
      <c r="ETX9" s="314"/>
      <c r="EUK9" s="314"/>
      <c r="EUX9" s="314"/>
      <c r="EVK9" s="314"/>
      <c r="EVX9" s="314"/>
      <c r="EWK9" s="314"/>
      <c r="EWX9" s="314"/>
      <c r="EXK9" s="314"/>
      <c r="EXX9" s="314"/>
      <c r="EYK9" s="314"/>
      <c r="EYX9" s="314"/>
      <c r="EZK9" s="314"/>
      <c r="EZX9" s="314"/>
      <c r="FAK9" s="314"/>
      <c r="FAX9" s="314"/>
      <c r="FBK9" s="314"/>
      <c r="FBX9" s="314"/>
      <c r="FCK9" s="314"/>
      <c r="FCX9" s="314"/>
      <c r="FDK9" s="314"/>
      <c r="FDX9" s="314"/>
      <c r="FEK9" s="314"/>
      <c r="FEX9" s="314"/>
      <c r="FFK9" s="314"/>
      <c r="FFX9" s="314"/>
      <c r="FGK9" s="314"/>
      <c r="FGX9" s="314"/>
      <c r="FHK9" s="314"/>
      <c r="FHX9" s="314"/>
      <c r="FIK9" s="314"/>
      <c r="FIX9" s="314"/>
      <c r="FJK9" s="314"/>
      <c r="FJX9" s="314"/>
      <c r="FKK9" s="314"/>
      <c r="FKX9" s="314"/>
      <c r="FLK9" s="314"/>
      <c r="FLX9" s="314"/>
      <c r="FMK9" s="314"/>
      <c r="FMX9" s="314"/>
      <c r="FNK9" s="314"/>
      <c r="FNX9" s="314"/>
      <c r="FOK9" s="314"/>
      <c r="FOX9" s="314"/>
      <c r="FPK9" s="314"/>
      <c r="FPX9" s="314"/>
      <c r="FQK9" s="314"/>
      <c r="FQX9" s="314"/>
      <c r="FRK9" s="314"/>
      <c r="FRX9" s="314"/>
      <c r="FSK9" s="314"/>
      <c r="FSX9" s="314"/>
      <c r="FTK9" s="314"/>
      <c r="FTX9" s="314"/>
      <c r="FUK9" s="314"/>
      <c r="FUX9" s="314"/>
      <c r="FVK9" s="314"/>
      <c r="FVX9" s="314"/>
      <c r="FWK9" s="314"/>
      <c r="FWX9" s="314"/>
      <c r="FXK9" s="314"/>
      <c r="FXX9" s="314"/>
      <c r="FYK9" s="314"/>
      <c r="FYX9" s="314"/>
      <c r="FZK9" s="314"/>
      <c r="FZX9" s="314"/>
      <c r="GAK9" s="314"/>
      <c r="GAX9" s="314"/>
      <c r="GBK9" s="314"/>
      <c r="GBX9" s="314"/>
      <c r="GCK9" s="314"/>
      <c r="GCX9" s="314"/>
      <c r="GDK9" s="314"/>
      <c r="GDX9" s="314"/>
      <c r="GEK9" s="314"/>
      <c r="GEX9" s="314"/>
      <c r="GFK9" s="314"/>
      <c r="GFX9" s="314"/>
      <c r="GGK9" s="314"/>
      <c r="GGX9" s="314"/>
      <c r="GHK9" s="314"/>
      <c r="GHX9" s="314"/>
      <c r="GIK9" s="314"/>
      <c r="GIX9" s="314"/>
      <c r="GJK9" s="314"/>
      <c r="GJX9" s="314"/>
      <c r="GKK9" s="314"/>
      <c r="GKX9" s="314"/>
      <c r="GLK9" s="314"/>
      <c r="GLX9" s="314"/>
      <c r="GMK9" s="314"/>
      <c r="GMX9" s="314"/>
      <c r="GNK9" s="314"/>
      <c r="GNX9" s="314"/>
      <c r="GOK9" s="314"/>
      <c r="GOX9" s="314"/>
      <c r="GPK9" s="314"/>
      <c r="GPX9" s="314"/>
      <c r="GQK9" s="314"/>
      <c r="GQX9" s="314"/>
      <c r="GRK9" s="314"/>
      <c r="GRX9" s="314"/>
      <c r="GSK9" s="314"/>
      <c r="GSX9" s="314"/>
      <c r="GTK9" s="314"/>
      <c r="GTX9" s="314"/>
      <c r="GUK9" s="314"/>
      <c r="GUX9" s="314"/>
      <c r="GVK9" s="314"/>
      <c r="GVX9" s="314"/>
      <c r="GWK9" s="314"/>
      <c r="GWX9" s="314"/>
      <c r="GXK9" s="314"/>
      <c r="GXX9" s="314"/>
      <c r="GYK9" s="314"/>
      <c r="GYX9" s="314"/>
      <c r="GZK9" s="314"/>
      <c r="GZX9" s="314"/>
      <c r="HAK9" s="314"/>
      <c r="HAX9" s="314"/>
      <c r="HBK9" s="314"/>
      <c r="HBX9" s="314"/>
      <c r="HCK9" s="314"/>
      <c r="HCX9" s="314"/>
      <c r="HDK9" s="314"/>
      <c r="HDX9" s="314"/>
      <c r="HEK9" s="314"/>
      <c r="HEX9" s="314"/>
      <c r="HFK9" s="314"/>
      <c r="HFX9" s="314"/>
      <c r="HGK9" s="314"/>
      <c r="HGX9" s="314"/>
      <c r="HHK9" s="314"/>
      <c r="HHX9" s="314"/>
      <c r="HIK9" s="314"/>
      <c r="HIX9" s="314"/>
      <c r="HJK9" s="314"/>
      <c r="HJX9" s="314"/>
      <c r="HKK9" s="314"/>
      <c r="HKX9" s="314"/>
      <c r="HLK9" s="314"/>
      <c r="HLX9" s="314"/>
      <c r="HMK9" s="314"/>
      <c r="HMX9" s="314"/>
      <c r="HNK9" s="314"/>
      <c r="HNX9" s="314"/>
      <c r="HOK9" s="314"/>
      <c r="HOX9" s="314"/>
      <c r="HPK9" s="314"/>
      <c r="HPX9" s="314"/>
      <c r="HQK9" s="314"/>
      <c r="HQX9" s="314"/>
      <c r="HRK9" s="314"/>
      <c r="HRX9" s="314"/>
      <c r="HSK9" s="314"/>
      <c r="HSX9" s="314"/>
      <c r="HTK9" s="314"/>
      <c r="HTX9" s="314"/>
      <c r="HUK9" s="314"/>
      <c r="HUX9" s="314"/>
      <c r="HVK9" s="314"/>
      <c r="HVX9" s="314"/>
      <c r="HWK9" s="314"/>
      <c r="HWX9" s="314"/>
      <c r="HXK9" s="314"/>
      <c r="HXX9" s="314"/>
      <c r="HYK9" s="314"/>
      <c r="HYX9" s="314"/>
      <c r="HZK9" s="314"/>
      <c r="HZX9" s="314"/>
      <c r="IAK9" s="314"/>
      <c r="IAX9" s="314"/>
      <c r="IBK9" s="314"/>
      <c r="IBX9" s="314"/>
      <c r="ICK9" s="314"/>
      <c r="ICX9" s="314"/>
      <c r="IDK9" s="314"/>
      <c r="IDX9" s="314"/>
      <c r="IEK9" s="314"/>
      <c r="IEX9" s="314"/>
      <c r="IFK9" s="314"/>
      <c r="IFX9" s="314"/>
      <c r="IGK9" s="314"/>
      <c r="IGX9" s="314"/>
      <c r="IHK9" s="314"/>
      <c r="IHX9" s="314"/>
      <c r="IIK9" s="314"/>
      <c r="IIX9" s="314"/>
      <c r="IJK9" s="314"/>
      <c r="IJX9" s="314"/>
      <c r="IKK9" s="314"/>
      <c r="IKX9" s="314"/>
      <c r="ILK9" s="314"/>
      <c r="ILX9" s="314"/>
      <c r="IMK9" s="314"/>
      <c r="IMX9" s="314"/>
      <c r="INK9" s="314"/>
      <c r="INX9" s="314"/>
      <c r="IOK9" s="314"/>
      <c r="IOX9" s="314"/>
      <c r="IPK9" s="314"/>
      <c r="IPX9" s="314"/>
      <c r="IQK9" s="314"/>
      <c r="IQX9" s="314"/>
      <c r="IRK9" s="314"/>
      <c r="IRX9" s="314"/>
      <c r="ISK9" s="314"/>
      <c r="ISX9" s="314"/>
      <c r="ITK9" s="314"/>
      <c r="ITX9" s="314"/>
      <c r="IUK9" s="314"/>
      <c r="IUX9" s="314"/>
      <c r="IVK9" s="314"/>
      <c r="IVX9" s="314"/>
      <c r="IWK9" s="314"/>
      <c r="IWX9" s="314"/>
      <c r="IXK9" s="314"/>
      <c r="IXX9" s="314"/>
      <c r="IYK9" s="314"/>
      <c r="IYX9" s="314"/>
      <c r="IZK9" s="314"/>
      <c r="IZX9" s="314"/>
      <c r="JAK9" s="314"/>
      <c r="JAX9" s="314"/>
      <c r="JBK9" s="314"/>
      <c r="JBX9" s="314"/>
      <c r="JCK9" s="314"/>
      <c r="JCX9" s="314"/>
      <c r="JDK9" s="314"/>
      <c r="JDX9" s="314"/>
      <c r="JEK9" s="314"/>
      <c r="JEX9" s="314"/>
      <c r="JFK9" s="314"/>
      <c r="JFX9" s="314"/>
      <c r="JGK9" s="314"/>
      <c r="JGX9" s="314"/>
      <c r="JHK9" s="314"/>
      <c r="JHX9" s="314"/>
      <c r="JIK9" s="314"/>
      <c r="JIX9" s="314"/>
      <c r="JJK9" s="314"/>
      <c r="JJX9" s="314"/>
      <c r="JKK9" s="314"/>
      <c r="JKX9" s="314"/>
      <c r="JLK9" s="314"/>
      <c r="JLX9" s="314"/>
      <c r="JMK9" s="314"/>
      <c r="JMX9" s="314"/>
      <c r="JNK9" s="314"/>
      <c r="JNX9" s="314"/>
      <c r="JOK9" s="314"/>
      <c r="JOX9" s="314"/>
      <c r="JPK9" s="314"/>
      <c r="JPX9" s="314"/>
      <c r="JQK9" s="314"/>
      <c r="JQX9" s="314"/>
      <c r="JRK9" s="314"/>
      <c r="JRX9" s="314"/>
      <c r="JSK9" s="314"/>
      <c r="JSX9" s="314"/>
      <c r="JTK9" s="314"/>
      <c r="JTX9" s="314"/>
      <c r="JUK9" s="314"/>
      <c r="JUX9" s="314"/>
      <c r="JVK9" s="314"/>
      <c r="JVX9" s="314"/>
      <c r="JWK9" s="314"/>
      <c r="JWX9" s="314"/>
      <c r="JXK9" s="314"/>
      <c r="JXX9" s="314"/>
      <c r="JYK9" s="314"/>
      <c r="JYX9" s="314"/>
      <c r="JZK9" s="314"/>
      <c r="JZX9" s="314"/>
      <c r="KAK9" s="314"/>
      <c r="KAX9" s="314"/>
      <c r="KBK9" s="314"/>
      <c r="KBX9" s="314"/>
      <c r="KCK9" s="314"/>
      <c r="KCX9" s="314"/>
      <c r="KDK9" s="314"/>
      <c r="KDX9" s="314"/>
      <c r="KEK9" s="314"/>
      <c r="KEX9" s="314"/>
      <c r="KFK9" s="314"/>
      <c r="KFX9" s="314"/>
      <c r="KGK9" s="314"/>
      <c r="KGX9" s="314"/>
      <c r="KHK9" s="314"/>
      <c r="KHX9" s="314"/>
      <c r="KIK9" s="314"/>
      <c r="KIX9" s="314"/>
      <c r="KJK9" s="314"/>
      <c r="KJX9" s="314"/>
      <c r="KKK9" s="314"/>
      <c r="KKX9" s="314"/>
      <c r="KLK9" s="314"/>
      <c r="KLX9" s="314"/>
      <c r="KMK9" s="314"/>
      <c r="KMX9" s="314"/>
      <c r="KNK9" s="314"/>
      <c r="KNX9" s="314"/>
      <c r="KOK9" s="314"/>
      <c r="KOX9" s="314"/>
      <c r="KPK9" s="314"/>
      <c r="KPX9" s="314"/>
      <c r="KQK9" s="314"/>
      <c r="KQX9" s="314"/>
      <c r="KRK9" s="314"/>
      <c r="KRX9" s="314"/>
      <c r="KSK9" s="314"/>
      <c r="KSX9" s="314"/>
      <c r="KTK9" s="314"/>
      <c r="KTX9" s="314"/>
      <c r="KUK9" s="314"/>
      <c r="KUX9" s="314"/>
      <c r="KVK9" s="314"/>
      <c r="KVX9" s="314"/>
      <c r="KWK9" s="314"/>
      <c r="KWX9" s="314"/>
      <c r="KXK9" s="314"/>
      <c r="KXX9" s="314"/>
      <c r="KYK9" s="314"/>
      <c r="KYX9" s="314"/>
      <c r="KZK9" s="314"/>
      <c r="KZX9" s="314"/>
      <c r="LAK9" s="314"/>
      <c r="LAX9" s="314"/>
      <c r="LBK9" s="314"/>
      <c r="LBX9" s="314"/>
      <c r="LCK9" s="314"/>
      <c r="LCX9" s="314"/>
      <c r="LDK9" s="314"/>
      <c r="LDX9" s="314"/>
      <c r="LEK9" s="314"/>
      <c r="LEX9" s="314"/>
      <c r="LFK9" s="314"/>
      <c r="LFX9" s="314"/>
      <c r="LGK9" s="314"/>
      <c r="LGX9" s="314"/>
      <c r="LHK9" s="314"/>
      <c r="LHX9" s="314"/>
      <c r="LIK9" s="314"/>
      <c r="LIX9" s="314"/>
      <c r="LJK9" s="314"/>
      <c r="LJX9" s="314"/>
      <c r="LKK9" s="314"/>
      <c r="LKX9" s="314"/>
      <c r="LLK9" s="314"/>
      <c r="LLX9" s="314"/>
      <c r="LMK9" s="314"/>
      <c r="LMX9" s="314"/>
      <c r="LNK9" s="314"/>
      <c r="LNX9" s="314"/>
      <c r="LOK9" s="314"/>
      <c r="LOX9" s="314"/>
      <c r="LPK9" s="314"/>
      <c r="LPX9" s="314"/>
      <c r="LQK9" s="314"/>
      <c r="LQX9" s="314"/>
      <c r="LRK9" s="314"/>
      <c r="LRX9" s="314"/>
      <c r="LSK9" s="314"/>
      <c r="LSX9" s="314"/>
      <c r="LTK9" s="314"/>
      <c r="LTX9" s="314"/>
      <c r="LUK9" s="314"/>
      <c r="LUX9" s="314"/>
      <c r="LVK9" s="314"/>
      <c r="LVX9" s="314"/>
      <c r="LWK9" s="314"/>
      <c r="LWX9" s="314"/>
      <c r="LXK9" s="314"/>
      <c r="LXX9" s="314"/>
      <c r="LYK9" s="314"/>
      <c r="LYX9" s="314"/>
      <c r="LZK9" s="314"/>
      <c r="LZX9" s="314"/>
      <c r="MAK9" s="314"/>
      <c r="MAX9" s="314"/>
      <c r="MBK9" s="314"/>
      <c r="MBX9" s="314"/>
      <c r="MCK9" s="314"/>
      <c r="MCX9" s="314"/>
      <c r="MDK9" s="314"/>
      <c r="MDX9" s="314"/>
      <c r="MEK9" s="314"/>
      <c r="MEX9" s="314"/>
      <c r="MFK9" s="314"/>
      <c r="MFX9" s="314"/>
      <c r="MGK9" s="314"/>
      <c r="MGX9" s="314"/>
      <c r="MHK9" s="314"/>
      <c r="MHX9" s="314"/>
      <c r="MIK9" s="314"/>
      <c r="MIX9" s="314"/>
      <c r="MJK9" s="314"/>
      <c r="MJX9" s="314"/>
      <c r="MKK9" s="314"/>
      <c r="MKX9" s="314"/>
      <c r="MLK9" s="314"/>
      <c r="MLX9" s="314"/>
      <c r="MMK9" s="314"/>
      <c r="MMX9" s="314"/>
      <c r="MNK9" s="314"/>
      <c r="MNX9" s="314"/>
      <c r="MOK9" s="314"/>
      <c r="MOX9" s="314"/>
      <c r="MPK9" s="314"/>
      <c r="MPX9" s="314"/>
      <c r="MQK9" s="314"/>
      <c r="MQX9" s="314"/>
      <c r="MRK9" s="314"/>
      <c r="MRX9" s="314"/>
      <c r="MSK9" s="314"/>
      <c r="MSX9" s="314"/>
      <c r="MTK9" s="314"/>
      <c r="MTX9" s="314"/>
      <c r="MUK9" s="314"/>
      <c r="MUX9" s="314"/>
      <c r="MVK9" s="314"/>
      <c r="MVX9" s="314"/>
      <c r="MWK9" s="314"/>
      <c r="MWX9" s="314"/>
      <c r="MXK9" s="314"/>
      <c r="MXX9" s="314"/>
      <c r="MYK9" s="314"/>
      <c r="MYX9" s="314"/>
      <c r="MZK9" s="314"/>
      <c r="MZX9" s="314"/>
      <c r="NAK9" s="314"/>
      <c r="NAX9" s="314"/>
      <c r="NBK9" s="314"/>
      <c r="NBX9" s="314"/>
      <c r="NCK9" s="314"/>
      <c r="NCX9" s="314"/>
      <c r="NDK9" s="314"/>
      <c r="NDX9" s="314"/>
      <c r="NEK9" s="314"/>
      <c r="NEX9" s="314"/>
      <c r="NFK9" s="314"/>
      <c r="NFX9" s="314"/>
      <c r="NGK9" s="314"/>
      <c r="NGX9" s="314"/>
      <c r="NHK9" s="314"/>
      <c r="NHX9" s="314"/>
      <c r="NIK9" s="314"/>
      <c r="NIX9" s="314"/>
      <c r="NJK9" s="314"/>
      <c r="NJX9" s="314"/>
      <c r="NKK9" s="314"/>
      <c r="NKX9" s="314"/>
      <c r="NLK9" s="314"/>
      <c r="NLX9" s="314"/>
      <c r="NMK9" s="314"/>
      <c r="NMX9" s="314"/>
      <c r="NNK9" s="314"/>
      <c r="NNX9" s="314"/>
      <c r="NOK9" s="314"/>
      <c r="NOX9" s="314"/>
      <c r="NPK9" s="314"/>
      <c r="NPX9" s="314"/>
      <c r="NQK9" s="314"/>
      <c r="NQX9" s="314"/>
      <c r="NRK9" s="314"/>
      <c r="NRX9" s="314"/>
      <c r="NSK9" s="314"/>
      <c r="NSX9" s="314"/>
      <c r="NTK9" s="314"/>
      <c r="NTX9" s="314"/>
      <c r="NUK9" s="314"/>
      <c r="NUX9" s="314"/>
      <c r="NVK9" s="314"/>
      <c r="NVX9" s="314"/>
      <c r="NWK9" s="314"/>
      <c r="NWX9" s="314"/>
      <c r="NXK9" s="314"/>
      <c r="NXX9" s="314"/>
      <c r="NYK9" s="314"/>
      <c r="NYX9" s="314"/>
      <c r="NZK9" s="314"/>
      <c r="NZX9" s="314"/>
      <c r="OAK9" s="314"/>
      <c r="OAX9" s="314"/>
      <c r="OBK9" s="314"/>
      <c r="OBX9" s="314"/>
      <c r="OCK9" s="314"/>
      <c r="OCX9" s="314"/>
      <c r="ODK9" s="314"/>
      <c r="ODX9" s="314"/>
      <c r="OEK9" s="314"/>
      <c r="OEX9" s="314"/>
      <c r="OFK9" s="314"/>
      <c r="OFX9" s="314"/>
      <c r="OGK9" s="314"/>
      <c r="OGX9" s="314"/>
      <c r="OHK9" s="314"/>
      <c r="OHX9" s="314"/>
      <c r="OIK9" s="314"/>
      <c r="OIX9" s="314"/>
      <c r="OJK9" s="314"/>
      <c r="OJX9" s="314"/>
      <c r="OKK9" s="314"/>
      <c r="OKX9" s="314"/>
      <c r="OLK9" s="314"/>
      <c r="OLX9" s="314"/>
      <c r="OMK9" s="314"/>
      <c r="OMX9" s="314"/>
      <c r="ONK9" s="314"/>
      <c r="ONX9" s="314"/>
      <c r="OOK9" s="314"/>
      <c r="OOX9" s="314"/>
      <c r="OPK9" s="314"/>
      <c r="OPX9" s="314"/>
      <c r="OQK9" s="314"/>
      <c r="OQX9" s="314"/>
      <c r="ORK9" s="314"/>
      <c r="ORX9" s="314"/>
      <c r="OSK9" s="314"/>
      <c r="OSX9" s="314"/>
      <c r="OTK9" s="314"/>
      <c r="OTX9" s="314"/>
      <c r="OUK9" s="314"/>
      <c r="OUX9" s="314"/>
      <c r="OVK9" s="314"/>
      <c r="OVX9" s="314"/>
      <c r="OWK9" s="314"/>
      <c r="OWX9" s="314"/>
      <c r="OXK9" s="314"/>
      <c r="OXX9" s="314"/>
      <c r="OYK9" s="314"/>
      <c r="OYX9" s="314"/>
      <c r="OZK9" s="314"/>
      <c r="OZX9" s="314"/>
      <c r="PAK9" s="314"/>
      <c r="PAX9" s="314"/>
      <c r="PBK9" s="314"/>
      <c r="PBX9" s="314"/>
      <c r="PCK9" s="314"/>
      <c r="PCX9" s="314"/>
      <c r="PDK9" s="314"/>
      <c r="PDX9" s="314"/>
      <c r="PEK9" s="314"/>
      <c r="PEX9" s="314"/>
      <c r="PFK9" s="314"/>
      <c r="PFX9" s="314"/>
      <c r="PGK9" s="314"/>
      <c r="PGX9" s="314"/>
      <c r="PHK9" s="314"/>
      <c r="PHX9" s="314"/>
      <c r="PIK9" s="314"/>
      <c r="PIX9" s="314"/>
      <c r="PJK9" s="314"/>
      <c r="PJX9" s="314"/>
      <c r="PKK9" s="314"/>
      <c r="PKX9" s="314"/>
      <c r="PLK9" s="314"/>
      <c r="PLX9" s="314"/>
      <c r="PMK9" s="314"/>
      <c r="PMX9" s="314"/>
      <c r="PNK9" s="314"/>
      <c r="PNX9" s="314"/>
      <c r="POK9" s="314"/>
      <c r="POX9" s="314"/>
      <c r="PPK9" s="314"/>
      <c r="PPX9" s="314"/>
      <c r="PQK9" s="314"/>
      <c r="PQX9" s="314"/>
      <c r="PRK9" s="314"/>
      <c r="PRX9" s="314"/>
      <c r="PSK9" s="314"/>
      <c r="PSX9" s="314"/>
      <c r="PTK9" s="314"/>
      <c r="PTX9" s="314"/>
      <c r="PUK9" s="314"/>
      <c r="PUX9" s="314"/>
      <c r="PVK9" s="314"/>
      <c r="PVX9" s="314"/>
      <c r="PWK9" s="314"/>
      <c r="PWX9" s="314"/>
      <c r="PXK9" s="314"/>
      <c r="PXX9" s="314"/>
      <c r="PYK9" s="314"/>
      <c r="PYX9" s="314"/>
      <c r="PZK9" s="314"/>
      <c r="PZX9" s="314"/>
      <c r="QAK9" s="314"/>
      <c r="QAX9" s="314"/>
      <c r="QBK9" s="314"/>
      <c r="QBX9" s="314"/>
      <c r="QCK9" s="314"/>
      <c r="QCX9" s="314"/>
      <c r="QDK9" s="314"/>
      <c r="QDX9" s="314"/>
      <c r="QEK9" s="314"/>
      <c r="QEX9" s="314"/>
      <c r="QFK9" s="314"/>
      <c r="QFX9" s="314"/>
      <c r="QGK9" s="314"/>
      <c r="QGX9" s="314"/>
      <c r="QHK9" s="314"/>
      <c r="QHX9" s="314"/>
      <c r="QIK9" s="314"/>
      <c r="QIX9" s="314"/>
      <c r="QJK9" s="314"/>
      <c r="QJX9" s="314"/>
      <c r="QKK9" s="314"/>
      <c r="QKX9" s="314"/>
      <c r="QLK9" s="314"/>
      <c r="QLX9" s="314"/>
      <c r="QMK9" s="314"/>
      <c r="QMX9" s="314"/>
      <c r="QNK9" s="314"/>
      <c r="QNX9" s="314"/>
      <c r="QOK9" s="314"/>
      <c r="QOX9" s="314"/>
      <c r="QPK9" s="314"/>
      <c r="QPX9" s="314"/>
      <c r="QQK9" s="314"/>
      <c r="QQX9" s="314"/>
      <c r="QRK9" s="314"/>
      <c r="QRX9" s="314"/>
      <c r="QSK9" s="314"/>
      <c r="QSX9" s="314"/>
      <c r="QTK9" s="314"/>
      <c r="QTX9" s="314"/>
      <c r="QUK9" s="314"/>
      <c r="QUX9" s="314"/>
      <c r="QVK9" s="314"/>
      <c r="QVX9" s="314"/>
      <c r="QWK9" s="314"/>
      <c r="QWX9" s="314"/>
      <c r="QXK9" s="314"/>
      <c r="QXX9" s="314"/>
      <c r="QYK9" s="314"/>
      <c r="QYX9" s="314"/>
      <c r="QZK9" s="314"/>
      <c r="QZX9" s="314"/>
      <c r="RAK9" s="314"/>
      <c r="RAX9" s="314"/>
      <c r="RBK9" s="314"/>
      <c r="RBX9" s="314"/>
      <c r="RCK9" s="314"/>
      <c r="RCX9" s="314"/>
      <c r="RDK9" s="314"/>
      <c r="RDX9" s="314"/>
      <c r="REK9" s="314"/>
      <c r="REX9" s="314"/>
      <c r="RFK9" s="314"/>
      <c r="RFX9" s="314"/>
      <c r="RGK9" s="314"/>
      <c r="RGX9" s="314"/>
      <c r="RHK9" s="314"/>
      <c r="RHX9" s="314"/>
      <c r="RIK9" s="314"/>
      <c r="RIX9" s="314"/>
      <c r="RJK9" s="314"/>
      <c r="RJX9" s="314"/>
      <c r="RKK9" s="314"/>
      <c r="RKX9" s="314"/>
      <c r="RLK9" s="314"/>
      <c r="RLX9" s="314"/>
      <c r="RMK9" s="314"/>
      <c r="RMX9" s="314"/>
      <c r="RNK9" s="314"/>
      <c r="RNX9" s="314"/>
      <c r="ROK9" s="314"/>
      <c r="ROX9" s="314"/>
      <c r="RPK9" s="314"/>
      <c r="RPX9" s="314"/>
      <c r="RQK9" s="314"/>
      <c r="RQX9" s="314"/>
      <c r="RRK9" s="314"/>
      <c r="RRX9" s="314"/>
      <c r="RSK9" s="314"/>
      <c r="RSX9" s="314"/>
      <c r="RTK9" s="314"/>
      <c r="RTX9" s="314"/>
      <c r="RUK9" s="314"/>
      <c r="RUX9" s="314"/>
      <c r="RVK9" s="314"/>
      <c r="RVX9" s="314"/>
      <c r="RWK9" s="314"/>
      <c r="RWX9" s="314"/>
      <c r="RXK9" s="314"/>
      <c r="RXX9" s="314"/>
      <c r="RYK9" s="314"/>
      <c r="RYX9" s="314"/>
      <c r="RZK9" s="314"/>
      <c r="RZX9" s="314"/>
      <c r="SAK9" s="314"/>
      <c r="SAX9" s="314"/>
      <c r="SBK9" s="314"/>
      <c r="SBX9" s="314"/>
      <c r="SCK9" s="314"/>
      <c r="SCX9" s="314"/>
      <c r="SDK9" s="314"/>
      <c r="SDX9" s="314"/>
      <c r="SEK9" s="314"/>
      <c r="SEX9" s="314"/>
      <c r="SFK9" s="314"/>
      <c r="SFX9" s="314"/>
      <c r="SGK9" s="314"/>
      <c r="SGX9" s="314"/>
      <c r="SHK9" s="314"/>
      <c r="SHX9" s="314"/>
      <c r="SIK9" s="314"/>
      <c r="SIX9" s="314"/>
      <c r="SJK9" s="314"/>
      <c r="SJX9" s="314"/>
      <c r="SKK9" s="314"/>
      <c r="SKX9" s="314"/>
      <c r="SLK9" s="314"/>
      <c r="SLX9" s="314"/>
      <c r="SMK9" s="314"/>
      <c r="SMX9" s="314"/>
      <c r="SNK9" s="314"/>
      <c r="SNX9" s="314"/>
      <c r="SOK9" s="314"/>
      <c r="SOX9" s="314"/>
      <c r="SPK9" s="314"/>
      <c r="SPX9" s="314"/>
      <c r="SQK9" s="314"/>
      <c r="SQX9" s="314"/>
      <c r="SRK9" s="314"/>
      <c r="SRX9" s="314"/>
      <c r="SSK9" s="314"/>
      <c r="SSX9" s="314"/>
      <c r="STK9" s="314"/>
      <c r="STX9" s="314"/>
      <c r="SUK9" s="314"/>
      <c r="SUX9" s="314"/>
      <c r="SVK9" s="314"/>
      <c r="SVX9" s="314"/>
      <c r="SWK9" s="314"/>
      <c r="SWX9" s="314"/>
      <c r="SXK9" s="314"/>
      <c r="SXX9" s="314"/>
      <c r="SYK9" s="314"/>
      <c r="SYX9" s="314"/>
      <c r="SZK9" s="314"/>
      <c r="SZX9" s="314"/>
      <c r="TAK9" s="314"/>
      <c r="TAX9" s="314"/>
      <c r="TBK9" s="314"/>
      <c r="TBX9" s="314"/>
      <c r="TCK9" s="314"/>
      <c r="TCX9" s="314"/>
      <c r="TDK9" s="314"/>
      <c r="TDX9" s="314"/>
      <c r="TEK9" s="314"/>
      <c r="TEX9" s="314"/>
      <c r="TFK9" s="314"/>
      <c r="TFX9" s="314"/>
      <c r="TGK9" s="314"/>
      <c r="TGX9" s="314"/>
      <c r="THK9" s="314"/>
      <c r="THX9" s="314"/>
      <c r="TIK9" s="314"/>
      <c r="TIX9" s="314"/>
      <c r="TJK9" s="314"/>
      <c r="TJX9" s="314"/>
      <c r="TKK9" s="314"/>
      <c r="TKX9" s="314"/>
      <c r="TLK9" s="314"/>
      <c r="TLX9" s="314"/>
      <c r="TMK9" s="314"/>
      <c r="TMX9" s="314"/>
      <c r="TNK9" s="314"/>
      <c r="TNX9" s="314"/>
      <c r="TOK9" s="314"/>
      <c r="TOX9" s="314"/>
      <c r="TPK9" s="314"/>
      <c r="TPX9" s="314"/>
      <c r="TQK9" s="314"/>
      <c r="TQX9" s="314"/>
      <c r="TRK9" s="314"/>
      <c r="TRX9" s="314"/>
      <c r="TSK9" s="314"/>
      <c r="TSX9" s="314"/>
      <c r="TTK9" s="314"/>
      <c r="TTX9" s="314"/>
      <c r="TUK9" s="314"/>
      <c r="TUX9" s="314"/>
      <c r="TVK9" s="314"/>
      <c r="TVX9" s="314"/>
      <c r="TWK9" s="314"/>
      <c r="TWX9" s="314"/>
      <c r="TXK9" s="314"/>
      <c r="TXX9" s="314"/>
      <c r="TYK9" s="314"/>
      <c r="TYX9" s="314"/>
      <c r="TZK9" s="314"/>
      <c r="TZX9" s="314"/>
      <c r="UAK9" s="314"/>
      <c r="UAX9" s="314"/>
      <c r="UBK9" s="314"/>
      <c r="UBX9" s="314"/>
      <c r="UCK9" s="314"/>
      <c r="UCX9" s="314"/>
      <c r="UDK9" s="314"/>
      <c r="UDX9" s="314"/>
      <c r="UEK9" s="314"/>
      <c r="UEX9" s="314"/>
      <c r="UFK9" s="314"/>
      <c r="UFX9" s="314"/>
      <c r="UGK9" s="314"/>
      <c r="UGX9" s="314"/>
      <c r="UHK9" s="314"/>
      <c r="UHX9" s="314"/>
      <c r="UIK9" s="314"/>
      <c r="UIX9" s="314"/>
      <c r="UJK9" s="314"/>
      <c r="UJX9" s="314"/>
      <c r="UKK9" s="314"/>
      <c r="UKX9" s="314"/>
      <c r="ULK9" s="314"/>
      <c r="ULX9" s="314"/>
      <c r="UMK9" s="314"/>
      <c r="UMX9" s="314"/>
      <c r="UNK9" s="314"/>
      <c r="UNX9" s="314"/>
      <c r="UOK9" s="314"/>
      <c r="UOX9" s="314"/>
      <c r="UPK9" s="314"/>
      <c r="UPX9" s="314"/>
      <c r="UQK9" s="314"/>
      <c r="UQX9" s="314"/>
      <c r="URK9" s="314"/>
      <c r="URX9" s="314"/>
      <c r="USK9" s="314"/>
      <c r="USX9" s="314"/>
      <c r="UTK9" s="314"/>
      <c r="UTX9" s="314"/>
      <c r="UUK9" s="314"/>
      <c r="UUX9" s="314"/>
      <c r="UVK9" s="314"/>
      <c r="UVX9" s="314"/>
      <c r="UWK9" s="314"/>
      <c r="UWX9" s="314"/>
      <c r="UXK9" s="314"/>
      <c r="UXX9" s="314"/>
      <c r="UYK9" s="314"/>
      <c r="UYX9" s="314"/>
      <c r="UZK9" s="314"/>
      <c r="UZX9" s="314"/>
      <c r="VAK9" s="314"/>
      <c r="VAX9" s="314"/>
      <c r="VBK9" s="314"/>
      <c r="VBX9" s="314"/>
      <c r="VCK9" s="314"/>
      <c r="VCX9" s="314"/>
      <c r="VDK9" s="314"/>
      <c r="VDX9" s="314"/>
      <c r="VEK9" s="314"/>
      <c r="VEX9" s="314"/>
      <c r="VFK9" s="314"/>
      <c r="VFX9" s="314"/>
      <c r="VGK9" s="314"/>
      <c r="VGX9" s="314"/>
      <c r="VHK9" s="314"/>
      <c r="VHX9" s="314"/>
      <c r="VIK9" s="314"/>
      <c r="VIX9" s="314"/>
      <c r="VJK9" s="314"/>
      <c r="VJX9" s="314"/>
      <c r="VKK9" s="314"/>
      <c r="VKX9" s="314"/>
      <c r="VLK9" s="314"/>
      <c r="VLX9" s="314"/>
      <c r="VMK9" s="314"/>
      <c r="VMX9" s="314"/>
      <c r="VNK9" s="314"/>
      <c r="VNX9" s="314"/>
      <c r="VOK9" s="314"/>
      <c r="VOX9" s="314"/>
      <c r="VPK9" s="314"/>
      <c r="VPX9" s="314"/>
      <c r="VQK9" s="314"/>
      <c r="VQX9" s="314"/>
      <c r="VRK9" s="314"/>
      <c r="VRX9" s="314"/>
      <c r="VSK9" s="314"/>
      <c r="VSX9" s="314"/>
      <c r="VTK9" s="314"/>
      <c r="VTX9" s="314"/>
      <c r="VUK9" s="314"/>
      <c r="VUX9" s="314"/>
      <c r="VVK9" s="314"/>
      <c r="VVX9" s="314"/>
      <c r="VWK9" s="314"/>
      <c r="VWX9" s="314"/>
      <c r="VXK9" s="314"/>
      <c r="VXX9" s="314"/>
      <c r="VYK9" s="314"/>
      <c r="VYX9" s="314"/>
      <c r="VZK9" s="314"/>
      <c r="VZX9" s="314"/>
      <c r="WAK9" s="314"/>
      <c r="WAX9" s="314"/>
      <c r="WBK9" s="314"/>
      <c r="WBX9" s="314"/>
      <c r="WCK9" s="314"/>
      <c r="WCX9" s="314"/>
      <c r="WDK9" s="314"/>
      <c r="WDX9" s="314"/>
      <c r="WEK9" s="314"/>
      <c r="WEX9" s="314"/>
      <c r="WFK9" s="314"/>
      <c r="WFX9" s="314"/>
      <c r="WGK9" s="314"/>
      <c r="WGX9" s="314"/>
      <c r="WHK9" s="314"/>
      <c r="WHX9" s="314"/>
      <c r="WIK9" s="314"/>
      <c r="WIX9" s="314"/>
      <c r="WJK9" s="314"/>
      <c r="WJX9" s="314"/>
      <c r="WKK9" s="314"/>
      <c r="WKX9" s="314"/>
      <c r="WLK9" s="314"/>
      <c r="WLX9" s="314"/>
      <c r="WMK9" s="314"/>
      <c r="WMX9" s="314"/>
      <c r="WNK9" s="314"/>
      <c r="WNX9" s="314"/>
      <c r="WOK9" s="314"/>
      <c r="WOX9" s="314"/>
      <c r="WPK9" s="314"/>
      <c r="WPX9" s="314"/>
      <c r="WQK9" s="314"/>
      <c r="WQX9" s="314"/>
      <c r="WRK9" s="314"/>
      <c r="WRX9" s="314"/>
      <c r="WSK9" s="314"/>
      <c r="WSX9" s="314"/>
      <c r="WTK9" s="314"/>
      <c r="WTX9" s="314"/>
      <c r="WUK9" s="314"/>
      <c r="WUX9" s="314"/>
      <c r="WVK9" s="314"/>
      <c r="WVX9" s="314"/>
      <c r="WWK9" s="314"/>
      <c r="WWX9" s="314"/>
      <c r="WXK9" s="314"/>
      <c r="WXX9" s="314"/>
      <c r="WYK9" s="314"/>
      <c r="WYX9" s="314"/>
      <c r="WZK9" s="314"/>
      <c r="WZX9" s="314"/>
      <c r="XAK9" s="314"/>
      <c r="XAX9" s="314"/>
      <c r="XBK9" s="314"/>
      <c r="XBX9" s="314"/>
      <c r="XCK9" s="314"/>
      <c r="XCX9" s="314"/>
      <c r="XDK9" s="314"/>
      <c r="XDX9" s="314"/>
      <c r="XEK9" s="314"/>
      <c r="XEX9" s="314"/>
    </row>
    <row r="10" spans="1:1012 1025:2039 2052:3066 3079:4093 4106:5120 5133:6134 6147:7161 7174:8188 8201:9215 9228:10229 10242:11256 11269:12283 12296:13310 13323:14324 14337:15351 15364:16378" s="256" customFormat="1" ht="13" customHeight="1">
      <c r="A10" s="325"/>
      <c r="B10" s="16" t="str">
        <f>IF('Summary | Sumário'!D$6=Names!B$3,Names!M7,Names!N7)</f>
        <v>Expenses from services and commissions</v>
      </c>
      <c r="C10" s="316">
        <v>-56627.339</v>
      </c>
      <c r="D10" s="316">
        <v>-71611</v>
      </c>
      <c r="E10" s="316">
        <v>-100297</v>
      </c>
      <c r="F10" s="316">
        <v>-129233</v>
      </c>
      <c r="G10" s="316">
        <v>-135582</v>
      </c>
      <c r="H10" s="316">
        <v>-23279</v>
      </c>
      <c r="I10" s="316">
        <v>-21841</v>
      </c>
      <c r="J10" s="316">
        <v>-26430</v>
      </c>
      <c r="K10" s="316">
        <v>-28747</v>
      </c>
      <c r="L10" s="316">
        <v>-28516</v>
      </c>
      <c r="M10" s="316">
        <v>-33954</v>
      </c>
      <c r="N10" s="316">
        <v>-33404</v>
      </c>
      <c r="O10" s="316">
        <v>-33359</v>
      </c>
      <c r="P10" s="316">
        <v>-35678</v>
      </c>
      <c r="Q10" s="316">
        <v>-31723</v>
      </c>
      <c r="R10" s="316">
        <v>-32271</v>
      </c>
      <c r="S10" s="316">
        <v>-35910</v>
      </c>
      <c r="T10" s="316">
        <v>-34021.773478642281</v>
      </c>
      <c r="U10" s="316">
        <v>-32942</v>
      </c>
      <c r="V10" s="316"/>
      <c r="W10" s="323">
        <f t="shared" si="0"/>
        <v>-3.1737718767662848E-2</v>
      </c>
      <c r="X10" s="323">
        <f t="shared" si="1"/>
        <v>3.8426378337483857E-2</v>
      </c>
    </row>
    <row r="11" spans="1:1012 1025:2039 2052:3066 3079:4093 4106:5120 5133:6134 6147:7161 7174:8188 8201:9215 9228:10229 10242:11256 11269:12283 12296:13310 13323:14324 14337:15351 15364:16378" ht="13" customHeight="1">
      <c r="A11" s="312"/>
      <c r="B11" s="22" t="str">
        <f>IF('Summary | Sumário'!D$6=Names!B$3,Names!M10,Names!N10)</f>
        <v>Other revenues</v>
      </c>
      <c r="C11" s="315">
        <v>52843</v>
      </c>
      <c r="D11" s="315">
        <v>109882</v>
      </c>
      <c r="E11" s="315">
        <v>190082</v>
      </c>
      <c r="F11" s="315">
        <v>388462</v>
      </c>
      <c r="G11" s="315">
        <v>375688</v>
      </c>
      <c r="H11" s="315">
        <v>47499</v>
      </c>
      <c r="I11" s="315">
        <v>76048</v>
      </c>
      <c r="J11" s="315">
        <v>36287</v>
      </c>
      <c r="K11" s="315">
        <v>30248</v>
      </c>
      <c r="L11" s="315">
        <v>112407</v>
      </c>
      <c r="M11" s="315">
        <v>111372</v>
      </c>
      <c r="N11" s="315">
        <v>77687</v>
      </c>
      <c r="O11" s="315">
        <v>86996</v>
      </c>
      <c r="P11" s="315">
        <v>65877</v>
      </c>
      <c r="Q11" s="315">
        <v>81158</v>
      </c>
      <c r="R11" s="315">
        <v>131429.50028000001</v>
      </c>
      <c r="S11" s="315">
        <v>97223.499719999993</v>
      </c>
      <c r="T11" s="315">
        <v>89957</v>
      </c>
      <c r="U11" s="315">
        <v>84728</v>
      </c>
      <c r="V11" s="316"/>
      <c r="W11" s="326">
        <f t="shared" si="0"/>
        <v>-5.8127772157808733E-2</v>
      </c>
      <c r="X11" s="326">
        <f t="shared" si="1"/>
        <v>4.3988269794721369E-2</v>
      </c>
    </row>
    <row r="12" spans="1:1012 1025:2039 2052:3066 3079:4093 4106:5120 5133:6134 6147:7161 7174:8188 8201:9215 9228:10229 10242:11256 11269:12283 12296:13310 13323:14324 14337:15351 15364:16378" s="250" customFormat="1" ht="13" customHeight="1">
      <c r="A12" s="341"/>
      <c r="B12" s="416" t="str">
        <f>IF('Summary | Sumário'!D$6=Names!B$3,Names!M26,Names!N26)</f>
        <v>Revenues</v>
      </c>
      <c r="C12" s="417">
        <v>712223.66099999996</v>
      </c>
      <c r="D12" s="417">
        <v>1011378.89518</v>
      </c>
      <c r="E12" s="417">
        <v>2221823.2459999998</v>
      </c>
      <c r="F12" s="417">
        <v>3562697.0819999995</v>
      </c>
      <c r="G12" s="417">
        <v>4752576</v>
      </c>
      <c r="H12" s="417">
        <v>416765.935</v>
      </c>
      <c r="I12" s="417">
        <v>467413.75100000005</v>
      </c>
      <c r="J12" s="417">
        <v>606509.88</v>
      </c>
      <c r="K12" s="417">
        <v>731132.67999999993</v>
      </c>
      <c r="L12" s="417">
        <v>833520.63199999998</v>
      </c>
      <c r="M12" s="417">
        <v>877020.6370000001</v>
      </c>
      <c r="N12" s="417">
        <v>850303.73100000003</v>
      </c>
      <c r="O12" s="417">
        <v>1001852.0819999999</v>
      </c>
      <c r="P12" s="417">
        <v>1024113.822</v>
      </c>
      <c r="Q12" s="417">
        <v>1150034</v>
      </c>
      <c r="R12" s="417">
        <v>1265495.5890200001</v>
      </c>
      <c r="S12" s="417">
        <v>1312934.1839799997</v>
      </c>
      <c r="T12" s="417">
        <v>1400940.5045515322</v>
      </c>
      <c r="U12" s="417">
        <v>1478599.3320838539</v>
      </c>
      <c r="V12" s="328"/>
      <c r="W12" s="509">
        <f t="shared" si="0"/>
        <v>5.543335158060958E-2</v>
      </c>
      <c r="X12" s="509">
        <f t="shared" si="1"/>
        <v>0.28570053762223879</v>
      </c>
    </row>
    <row r="13" spans="1:1012 1025:2039 2052:3066 3079:4093 4106:5120 5133:6134 6147:7161 7174:8188 8201:9215 9228:10229 10242:11256 11269:12283 12296:13310 13323:14324 14337:15351 15364:16378" s="250" customFormat="1" ht="13" customHeight="1">
      <c r="A13" s="341"/>
      <c r="B13" s="81"/>
      <c r="C13" s="342"/>
      <c r="D13" s="342"/>
      <c r="E13" s="342"/>
      <c r="F13" s="342"/>
      <c r="G13" s="342"/>
      <c r="H13" s="342"/>
      <c r="I13" s="342"/>
      <c r="J13" s="342"/>
      <c r="K13" s="342"/>
      <c r="L13" s="342"/>
      <c r="M13" s="342"/>
      <c r="N13" s="342"/>
      <c r="O13" s="342"/>
      <c r="P13" s="342"/>
      <c r="Q13" s="342"/>
      <c r="R13" s="342"/>
      <c r="S13" s="342"/>
      <c r="T13" s="342"/>
      <c r="U13" s="342"/>
      <c r="V13" s="328"/>
      <c r="W13" s="500"/>
      <c r="X13" s="500"/>
    </row>
    <row r="14" spans="1:1012 1025:2039 2052:3066 3079:4093 4106:5120 5133:6134 6147:7161 7174:8188 8201:9215 9228:10229 10242:11256 11269:12283 12296:13310 13323:14324 14337:15351 15364:16378" ht="13" customHeight="1">
      <c r="A14" s="312"/>
      <c r="B14" s="16" t="str">
        <f>IF('Summary | Sumário'!D$6=Names!B$3,Names!M13,Names!N13)</f>
        <v>Impairment losses on financial assets</v>
      </c>
      <c r="C14" s="237">
        <v>-138570</v>
      </c>
      <c r="D14" s="237">
        <v>-213688</v>
      </c>
      <c r="E14" s="237">
        <v>-595581</v>
      </c>
      <c r="F14" s="237">
        <v>-1083237</v>
      </c>
      <c r="G14" s="237">
        <v>-1541584</v>
      </c>
      <c r="H14" s="237">
        <v>-106669</v>
      </c>
      <c r="I14" s="237">
        <v>-167441</v>
      </c>
      <c r="J14" s="237">
        <v>-138005</v>
      </c>
      <c r="K14" s="237">
        <v>-183466</v>
      </c>
      <c r="L14" s="237">
        <v>-312946</v>
      </c>
      <c r="M14" s="237">
        <v>-242464</v>
      </c>
      <c r="N14" s="237">
        <v>-263113</v>
      </c>
      <c r="O14" s="237">
        <v>-264714</v>
      </c>
      <c r="P14" s="237">
        <v>-350681</v>
      </c>
      <c r="Q14" s="237">
        <v>-398560</v>
      </c>
      <c r="R14" s="237">
        <v>-407899</v>
      </c>
      <c r="S14" s="237">
        <v>-384444</v>
      </c>
      <c r="T14" s="237">
        <v>-411048</v>
      </c>
      <c r="U14" s="237">
        <v>-421248</v>
      </c>
      <c r="V14" s="237"/>
      <c r="W14" s="495">
        <f t="shared" si="0"/>
        <v>2.4814620190342751E-2</v>
      </c>
      <c r="X14" s="495">
        <f t="shared" si="1"/>
        <v>5.6924929747089514E-2</v>
      </c>
    </row>
    <row r="15" spans="1:1012 1025:2039 2052:3066 3079:4093 4106:5120 5133:6134 6147:7161 7174:8188 8201:9215 9228:10229 10242:11256 11269:12283 12296:13310 13323:14324 14337:15351 15364:16378" s="250" customFormat="1" ht="13" customHeight="1">
      <c r="A15" s="341"/>
      <c r="B15" s="418" t="str">
        <f>IF('Summary | Sumário'!D$6=Names!B$3,Names!M25,Names!N25)</f>
        <v>Net result of losses</v>
      </c>
      <c r="C15" s="415">
        <v>573653.66099999996</v>
      </c>
      <c r="D15" s="415">
        <v>797690.89517999999</v>
      </c>
      <c r="E15" s="415">
        <v>1626242.2459999998</v>
      </c>
      <c r="F15" s="415">
        <v>2479460.0819999995</v>
      </c>
      <c r="G15" s="415">
        <v>3210992</v>
      </c>
      <c r="H15" s="415">
        <v>310096.935</v>
      </c>
      <c r="I15" s="415">
        <v>299972.75100000005</v>
      </c>
      <c r="J15" s="415">
        <v>468504.88</v>
      </c>
      <c r="K15" s="415">
        <v>547666.67999999993</v>
      </c>
      <c r="L15" s="415">
        <v>520574.63199999998</v>
      </c>
      <c r="M15" s="415">
        <v>634556.6370000001</v>
      </c>
      <c r="N15" s="415">
        <v>587190.73100000003</v>
      </c>
      <c r="O15" s="415">
        <v>737138.08199999994</v>
      </c>
      <c r="P15" s="415">
        <v>673432.82200000004</v>
      </c>
      <c r="Q15" s="415">
        <v>751474</v>
      </c>
      <c r="R15" s="415">
        <v>857596.58902000007</v>
      </c>
      <c r="S15" s="415">
        <v>928490.18397999974</v>
      </c>
      <c r="T15" s="415">
        <v>989892.50455153221</v>
      </c>
      <c r="U15" s="415">
        <v>1057351.3320838539</v>
      </c>
      <c r="V15" s="328"/>
      <c r="W15" s="485">
        <f t="shared" si="0"/>
        <v>6.8147629386166253E-2</v>
      </c>
      <c r="X15" s="485">
        <f t="shared" si="1"/>
        <v>0.40703648041562834</v>
      </c>
      <c r="Z15" s="314"/>
    </row>
    <row r="16" spans="1:1012 1025:2039 2052:3066 3079:4093 4106:5120 5133:6134 6147:7161 7174:8188 8201:9215 9228:10229 10242:11256 11269:12283 12296:13310 13323:14324 14337:15351 15364:16378" ht="13" customHeight="1">
      <c r="C16" s="202"/>
      <c r="D16" s="202"/>
      <c r="E16" s="202"/>
      <c r="F16" s="202"/>
      <c r="G16" s="202"/>
      <c r="H16" s="202"/>
      <c r="I16" s="202"/>
      <c r="J16" s="202"/>
      <c r="K16" s="202"/>
      <c r="L16" s="202"/>
      <c r="M16" s="202"/>
      <c r="N16" s="202"/>
      <c r="O16" s="202"/>
      <c r="P16" s="202"/>
      <c r="Q16" s="202"/>
      <c r="R16" s="202"/>
      <c r="S16" s="202"/>
      <c r="T16" s="202"/>
      <c r="U16" s="202"/>
      <c r="V16" s="202"/>
      <c r="W16" s="311"/>
      <c r="X16" s="311"/>
    </row>
    <row r="17" spans="1:24" ht="13" customHeight="1">
      <c r="A17" s="312"/>
      <c r="B17" s="22" t="str">
        <f>IF('Summary | Sumário'!D$6=Names!B$3,Names!M12,Names!N12)</f>
        <v>Other income</v>
      </c>
      <c r="C17" s="343">
        <v>0</v>
      </c>
      <c r="D17" s="343">
        <v>109216</v>
      </c>
      <c r="E17" s="343">
        <v>0</v>
      </c>
      <c r="F17" s="343">
        <v>0</v>
      </c>
      <c r="G17" s="343">
        <v>0</v>
      </c>
      <c r="H17" s="343">
        <v>0</v>
      </c>
      <c r="I17" s="343">
        <v>0</v>
      </c>
      <c r="J17" s="343">
        <v>0</v>
      </c>
      <c r="K17" s="343">
        <v>0</v>
      </c>
      <c r="L17" s="343">
        <v>0</v>
      </c>
      <c r="M17" s="343">
        <v>0</v>
      </c>
      <c r="N17" s="343">
        <v>0</v>
      </c>
      <c r="O17" s="343">
        <v>0</v>
      </c>
      <c r="P17" s="343" t="s">
        <v>832</v>
      </c>
      <c r="Q17" s="343">
        <v>0</v>
      </c>
      <c r="R17" s="343">
        <v>0</v>
      </c>
      <c r="S17" s="343">
        <v>0</v>
      </c>
      <c r="T17" s="343">
        <v>0</v>
      </c>
      <c r="U17" s="343">
        <v>0</v>
      </c>
      <c r="V17" s="237"/>
      <c r="W17" s="510"/>
      <c r="X17" s="510"/>
    </row>
    <row r="18" spans="1:24" ht="13" customHeight="1">
      <c r="A18" s="312"/>
      <c r="B18" s="16" t="str">
        <f>IF('Summary | Sumário'!D$6=Names!B$3,Names!M14,Names!N14)</f>
        <v>Personnel expenses</v>
      </c>
      <c r="C18" s="237">
        <v>-169198</v>
      </c>
      <c r="D18" s="237">
        <v>-229096</v>
      </c>
      <c r="E18" s="237">
        <v>-443328</v>
      </c>
      <c r="F18" s="237">
        <v>-733605</v>
      </c>
      <c r="G18" s="237">
        <v>-790739</v>
      </c>
      <c r="H18" s="237">
        <v>-81861</v>
      </c>
      <c r="I18" s="237">
        <v>-93046</v>
      </c>
      <c r="J18" s="237">
        <v>-121250</v>
      </c>
      <c r="K18" s="237">
        <v>-147171</v>
      </c>
      <c r="L18" s="237">
        <v>-145120</v>
      </c>
      <c r="M18" s="237">
        <v>-172466</v>
      </c>
      <c r="N18" s="237">
        <v>-176232</v>
      </c>
      <c r="O18" s="237">
        <v>-239787</v>
      </c>
      <c r="P18" s="237">
        <v>-172412</v>
      </c>
      <c r="Q18" s="237">
        <v>-186249</v>
      </c>
      <c r="R18" s="237">
        <v>-210661</v>
      </c>
      <c r="S18" s="237">
        <v>-221417</v>
      </c>
      <c r="T18" s="237">
        <v>-190463</v>
      </c>
      <c r="U18" s="237">
        <v>-204207</v>
      </c>
      <c r="V18" s="237"/>
      <c r="W18" s="495">
        <f t="shared" si="0"/>
        <v>7.2160997149052664E-2</v>
      </c>
      <c r="X18" s="495">
        <f t="shared" si="1"/>
        <v>9.6419309633877237E-2</v>
      </c>
    </row>
    <row r="19" spans="1:24" ht="13" customHeight="1">
      <c r="A19" s="312"/>
      <c r="B19" s="22" t="str">
        <f>IF('Summary | Sumário'!D$6=Names!B$3,Names!M15,Names!N15)</f>
        <v>Depreciation and amortization</v>
      </c>
      <c r="C19" s="343">
        <v>-17463</v>
      </c>
      <c r="D19" s="343">
        <v>-43659</v>
      </c>
      <c r="E19" s="343">
        <v>-94250.52</v>
      </c>
      <c r="F19" s="343">
        <v>-163972</v>
      </c>
      <c r="G19" s="343">
        <v>-160440</v>
      </c>
      <c r="H19" s="343">
        <v>-19166</v>
      </c>
      <c r="I19" s="343">
        <v>-25338</v>
      </c>
      <c r="J19" s="343">
        <v>-30883</v>
      </c>
      <c r="K19" s="343">
        <v>-18863.520000000004</v>
      </c>
      <c r="L19" s="343">
        <v>-36478</v>
      </c>
      <c r="M19" s="343">
        <v>-35511</v>
      </c>
      <c r="N19" s="343">
        <v>-35620</v>
      </c>
      <c r="O19" s="343">
        <v>-56363</v>
      </c>
      <c r="P19" s="343">
        <v>-37577</v>
      </c>
      <c r="Q19" s="343">
        <v>-41130</v>
      </c>
      <c r="R19" s="343">
        <v>-40591</v>
      </c>
      <c r="S19" s="343">
        <v>-41142</v>
      </c>
      <c r="T19" s="343">
        <v>-41900</v>
      </c>
      <c r="U19" s="343">
        <v>-53035</v>
      </c>
      <c r="V19" s="237"/>
      <c r="W19" s="510">
        <f t="shared" si="0"/>
        <v>0.26575178997613369</v>
      </c>
      <c r="X19" s="510">
        <f t="shared" si="1"/>
        <v>0.28944809141745687</v>
      </c>
    </row>
    <row r="20" spans="1:24" ht="13" customHeight="1">
      <c r="A20" s="312"/>
      <c r="B20" s="16" t="str">
        <f>IF('Summary | Sumário'!D$6=Names!B$3,Names!M16,Names!N16)</f>
        <v>Tax expenses</v>
      </c>
      <c r="C20" s="316">
        <v>0</v>
      </c>
      <c r="D20" s="316">
        <v>0</v>
      </c>
      <c r="E20" s="316">
        <v>-146721.22500000001</v>
      </c>
      <c r="F20" s="316">
        <v>-248588</v>
      </c>
      <c r="G20" s="316">
        <v>-326584</v>
      </c>
      <c r="H20" s="316">
        <v>-27534.687000000002</v>
      </c>
      <c r="I20" s="316">
        <v>-30373</v>
      </c>
      <c r="J20" s="316">
        <v>-40645.811999999998</v>
      </c>
      <c r="K20" s="316">
        <v>-48167.726000000002</v>
      </c>
      <c r="L20" s="316">
        <v>-56693</v>
      </c>
      <c r="M20" s="316">
        <v>-61600</v>
      </c>
      <c r="N20" s="316">
        <v>-61544</v>
      </c>
      <c r="O20" s="316">
        <v>-68751</v>
      </c>
      <c r="P20" s="316">
        <v>-68871</v>
      </c>
      <c r="Q20" s="316">
        <v>-72463</v>
      </c>
      <c r="R20" s="316">
        <v>-94072</v>
      </c>
      <c r="S20" s="316">
        <v>-91178</v>
      </c>
      <c r="T20" s="316">
        <v>-86331</v>
      </c>
      <c r="U20" s="316">
        <v>-99418</v>
      </c>
      <c r="V20" s="316"/>
      <c r="W20" s="323">
        <f t="shared" si="0"/>
        <v>0.1515909696401061</v>
      </c>
      <c r="X20" s="323">
        <f t="shared" si="1"/>
        <v>0.3719829430191961</v>
      </c>
    </row>
    <row r="21" spans="1:24" ht="13" customHeight="1">
      <c r="A21" s="312"/>
      <c r="B21" s="22" t="str">
        <f>IF('Summary | Sumário'!D$6=Names!B$3,Names!M17,Names!N17)</f>
        <v>Administrative expenses</v>
      </c>
      <c r="C21" s="315">
        <v>-386309</v>
      </c>
      <c r="D21" s="315">
        <v>-641327</v>
      </c>
      <c r="E21" s="315">
        <v>-1164239.7749999999</v>
      </c>
      <c r="F21" s="315">
        <v>-1494484</v>
      </c>
      <c r="G21" s="315">
        <v>-1461348</v>
      </c>
      <c r="H21" s="315">
        <v>-219095.31299999999</v>
      </c>
      <c r="I21" s="315">
        <v>-272761</v>
      </c>
      <c r="J21" s="315">
        <v>-235355.18799999999</v>
      </c>
      <c r="K21" s="315">
        <v>-437028.27399999998</v>
      </c>
      <c r="L21" s="315">
        <v>-376806</v>
      </c>
      <c r="M21" s="315">
        <v>-348618</v>
      </c>
      <c r="N21" s="315">
        <v>-379946</v>
      </c>
      <c r="O21" s="315">
        <v>-389114</v>
      </c>
      <c r="P21" s="315">
        <v>-385615</v>
      </c>
      <c r="Q21" s="315">
        <v>-347868</v>
      </c>
      <c r="R21" s="315">
        <v>-362877</v>
      </c>
      <c r="S21" s="315">
        <v>-364988</v>
      </c>
      <c r="T21" s="315">
        <v>-395244</v>
      </c>
      <c r="U21" s="315">
        <v>-402827</v>
      </c>
      <c r="V21" s="316"/>
      <c r="W21" s="326">
        <f t="shared" si="0"/>
        <v>1.9185616985962994E-2</v>
      </c>
      <c r="X21" s="326">
        <f t="shared" si="1"/>
        <v>0.157988087435464</v>
      </c>
    </row>
    <row r="22" spans="1:24" ht="13" customHeight="1">
      <c r="A22" s="312"/>
      <c r="B22" s="80" t="str">
        <f>IF('Summary | Sumário'!D$6=Names!B$3,Names!M19,Names!N19)</f>
        <v>Income from equity interests in affiliates</v>
      </c>
      <c r="C22" s="316">
        <v>0</v>
      </c>
      <c r="D22" s="316">
        <v>0</v>
      </c>
      <c r="E22" s="316">
        <v>-8764</v>
      </c>
      <c r="F22" s="316">
        <v>-17384</v>
      </c>
      <c r="G22" s="316">
        <v>-32040</v>
      </c>
      <c r="H22" s="316">
        <v>0</v>
      </c>
      <c r="I22" s="316">
        <v>3893</v>
      </c>
      <c r="J22" s="316">
        <v>-5454</v>
      </c>
      <c r="K22" s="316">
        <v>-7203</v>
      </c>
      <c r="L22" s="316">
        <v>-5572</v>
      </c>
      <c r="M22" s="316">
        <v>-4490</v>
      </c>
      <c r="N22" s="316">
        <v>-3892</v>
      </c>
      <c r="O22" s="316">
        <v>-3430</v>
      </c>
      <c r="P22" s="316">
        <v>-3061</v>
      </c>
      <c r="Q22" s="316">
        <v>-23465</v>
      </c>
      <c r="R22" s="316">
        <v>-4070.8986899999982</v>
      </c>
      <c r="S22" s="316">
        <v>-1443.1013100000018</v>
      </c>
      <c r="T22" s="316">
        <v>-2223</v>
      </c>
      <c r="U22" s="316">
        <v>-257</v>
      </c>
      <c r="V22" s="316"/>
      <c r="W22" s="323">
        <f t="shared" si="0"/>
        <v>-0.88439046333783178</v>
      </c>
      <c r="X22" s="323">
        <f t="shared" si="1"/>
        <v>-0.98904751757937348</v>
      </c>
    </row>
    <row r="23" spans="1:24" ht="13" customHeight="1">
      <c r="A23" s="312"/>
      <c r="B23" s="419" t="str">
        <f>IF('Summary | Sumário'!D$6=Names!B$3,Names!M20,Names!N20)</f>
        <v>Profit / (loss) before income tax</v>
      </c>
      <c r="C23" s="415">
        <v>683.66099999996368</v>
      </c>
      <c r="D23" s="415">
        <v>-7175.1048200000077</v>
      </c>
      <c r="E23" s="415">
        <v>-231061.27400000021</v>
      </c>
      <c r="F23" s="415">
        <v>-178572.91800000053</v>
      </c>
      <c r="G23" s="415">
        <v>439841</v>
      </c>
      <c r="H23" s="415">
        <v>-37560.065000000002</v>
      </c>
      <c r="I23" s="415">
        <v>-117652.24899999995</v>
      </c>
      <c r="J23" s="415">
        <v>34916.880000000005</v>
      </c>
      <c r="K23" s="415">
        <v>-110766.84000000008</v>
      </c>
      <c r="L23" s="415">
        <v>-100094.36800000002</v>
      </c>
      <c r="M23" s="415">
        <v>11871.637000000104</v>
      </c>
      <c r="N23" s="415">
        <v>-70043.268999999971</v>
      </c>
      <c r="O23" s="415">
        <v>-20306.918000000063</v>
      </c>
      <c r="P23" s="415">
        <v>5896.8220000000438</v>
      </c>
      <c r="Q23" s="415">
        <v>80299</v>
      </c>
      <c r="R23" s="415">
        <v>145354</v>
      </c>
      <c r="S23" s="415">
        <v>208291.17799999996</v>
      </c>
      <c r="T23" s="415">
        <v>273732</v>
      </c>
      <c r="U23" s="415">
        <v>297607.33208385389</v>
      </c>
      <c r="V23" s="328"/>
      <c r="W23" s="485">
        <f t="shared" si="0"/>
        <v>8.7221560080129157E-2</v>
      </c>
      <c r="X23" s="485">
        <f t="shared" si="1"/>
        <v>2.7062395806156228</v>
      </c>
    </row>
    <row r="24" spans="1:24" ht="13" customHeight="1">
      <c r="A24" s="312"/>
      <c r="W24" s="332"/>
      <c r="X24" s="332"/>
    </row>
    <row r="25" spans="1:24" ht="13" customHeight="1">
      <c r="A25" s="312"/>
      <c r="B25" s="82" t="str">
        <f>IF('Summary | Sumário'!D$6=Names!B$3,Names!M27,Names!N27)</f>
        <v>Income tax and social contribution</v>
      </c>
      <c r="C25" s="340">
        <v>29686</v>
      </c>
      <c r="D25" s="340">
        <v>37709</v>
      </c>
      <c r="E25" s="340">
        <v>175993</v>
      </c>
      <c r="F25" s="340">
        <v>164494</v>
      </c>
      <c r="G25" s="340">
        <v>-87581</v>
      </c>
      <c r="H25" s="340">
        <v>34867</v>
      </c>
      <c r="I25" s="340">
        <v>87154</v>
      </c>
      <c r="J25" s="340">
        <v>-568.73549999999886</v>
      </c>
      <c r="K25" s="340">
        <v>54540.735499999995</v>
      </c>
      <c r="L25" s="340">
        <v>71272</v>
      </c>
      <c r="M25" s="340">
        <v>3654</v>
      </c>
      <c r="N25" s="340">
        <v>40448</v>
      </c>
      <c r="O25" s="340">
        <v>49120</v>
      </c>
      <c r="P25" s="340">
        <v>18319</v>
      </c>
      <c r="Q25" s="340">
        <v>-16127</v>
      </c>
      <c r="R25" s="340">
        <v>-41194</v>
      </c>
      <c r="S25" s="340">
        <v>-48579</v>
      </c>
      <c r="T25" s="340">
        <v>-78512</v>
      </c>
      <c r="U25" s="340">
        <v>-74943</v>
      </c>
      <c r="V25" s="283"/>
      <c r="W25" s="508">
        <f t="shared" si="0"/>
        <v>-4.5458019156307317E-2</v>
      </c>
      <c r="X25" s="508">
        <f t="shared" si="1"/>
        <v>3.6470515284925904</v>
      </c>
    </row>
    <row r="26" spans="1:24" ht="13" customHeight="1">
      <c r="A26" s="312"/>
      <c r="B26" s="420" t="str">
        <f>IF('Summary | Sumário'!D$6=Names!B$3,Names!M24,Names!N24)</f>
        <v>Profit / (loss) for the period</v>
      </c>
      <c r="C26" s="417">
        <v>30369.660999999964</v>
      </c>
      <c r="D26" s="417">
        <v>30533.895179999992</v>
      </c>
      <c r="E26" s="417">
        <v>-55068</v>
      </c>
      <c r="F26" s="417">
        <v>-14078.918000000529</v>
      </c>
      <c r="G26" s="417">
        <v>352260</v>
      </c>
      <c r="H26" s="417">
        <v>-2693.0650000000023</v>
      </c>
      <c r="I26" s="417">
        <v>-30498.248999999953</v>
      </c>
      <c r="J26" s="417">
        <v>34348.144500000009</v>
      </c>
      <c r="K26" s="417">
        <v>-56225.264500000005</v>
      </c>
      <c r="L26" s="417">
        <v>-28822.368000000017</v>
      </c>
      <c r="M26" s="417">
        <v>15525.637000000104</v>
      </c>
      <c r="N26" s="417">
        <v>-29595.268999999971</v>
      </c>
      <c r="O26" s="417">
        <v>28813.081999999355</v>
      </c>
      <c r="P26" s="417">
        <v>24216</v>
      </c>
      <c r="Q26" s="417">
        <v>64172</v>
      </c>
      <c r="R26" s="417">
        <v>104161</v>
      </c>
      <c r="S26" s="417">
        <v>159712.17799999996</v>
      </c>
      <c r="T26" s="417">
        <v>195220</v>
      </c>
      <c r="U26" s="417">
        <v>222664.33208385389</v>
      </c>
      <c r="V26" s="328"/>
      <c r="W26" s="509">
        <f>U26/T26-1</f>
        <v>0.14058155969600405</v>
      </c>
      <c r="X26" s="509">
        <f>U26/Q26-1</f>
        <v>2.4698050876371922</v>
      </c>
    </row>
    <row r="27" spans="1:24" ht="13" customHeight="1">
      <c r="C27" s="344"/>
      <c r="D27" s="344"/>
      <c r="E27" s="344"/>
      <c r="F27" s="344"/>
      <c r="G27" s="344"/>
      <c r="H27" s="344"/>
      <c r="I27" s="344"/>
      <c r="J27" s="344"/>
      <c r="K27" s="344"/>
      <c r="L27" s="344"/>
      <c r="M27" s="344"/>
      <c r="N27" s="344"/>
      <c r="O27" s="344"/>
      <c r="P27" s="344"/>
      <c r="Q27" s="344"/>
      <c r="R27" s="344"/>
      <c r="S27" s="344"/>
      <c r="T27" s="344"/>
      <c r="U27" s="344"/>
      <c r="V27" s="344"/>
      <c r="W27" s="344"/>
      <c r="X27" s="344"/>
    </row>
  </sheetData>
  <sheetProtection algorithmName="SHA-512" hashValue="rVPsCV1XFWD53XtAoMtkyhwjLOiWZPWMQQstEsikED7nl6PBkeXGDp5sf8zBm3JX8TuZYWZu9Er70Sw2yaSHaQ==" saltValue="NqBvYUi3cei3jTp1OgGnu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rgb="FFEB7100"/>
  </sheetPr>
  <dimension ref="A1:AA10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13" width="10.83203125" style="201" customWidth="1"/>
    <col min="14" max="18" width="10.83203125" style="201"/>
    <col min="19" max="19" width="5.83203125" style="201" customWidth="1"/>
    <col min="20" max="16384" width="10.83203125" style="201"/>
  </cols>
  <sheetData>
    <row r="1" spans="1:27" ht="13" customHeight="1">
      <c r="C1" s="202"/>
      <c r="D1" s="202"/>
      <c r="E1" s="202"/>
      <c r="F1" s="202"/>
      <c r="G1" s="202"/>
      <c r="H1" s="202"/>
      <c r="I1" s="202"/>
      <c r="J1" s="202"/>
      <c r="K1" s="202"/>
      <c r="L1" s="202"/>
      <c r="M1" s="202"/>
      <c r="N1" s="202"/>
      <c r="O1" s="202"/>
      <c r="P1" s="202"/>
      <c r="Q1" s="202"/>
      <c r="R1" s="202"/>
      <c r="S1" s="202"/>
      <c r="T1" s="202"/>
      <c r="U1" s="202"/>
    </row>
    <row r="2" spans="1:27" s="10" customFormat="1" ht="13" customHeight="1">
      <c r="B2" s="384" t="str">
        <f>IF('Summary | Sumário'!D$6=Names!B$3,Names!O1,Names!P1)</f>
        <v>Credit (IFRS, R$ Thousands)</v>
      </c>
      <c r="C2" s="197">
        <f>IF('Summary | Sumário'!D6=Names!B3,Names!C2,Names!D2)</f>
        <v>2019</v>
      </c>
      <c r="D2" s="197">
        <f>IF('Summary | Sumário'!D6=Names!B3,Names!C3,Names!D3)</f>
        <v>2020</v>
      </c>
      <c r="E2" s="20" t="str">
        <f>IF('Summary | Sumário'!D6=Names!B3,Names!C6,Names!D6)</f>
        <v>1Q21</v>
      </c>
      <c r="F2" s="20" t="str">
        <f>IF('Summary | Sumário'!D6=Names!B3,Names!C7,Names!D7)</f>
        <v>2Q21</v>
      </c>
      <c r="G2" s="20" t="str">
        <f>IF('Summary | Sumário'!D6=Names!B3,Names!C8,Names!D8)</f>
        <v>3Q21</v>
      </c>
      <c r="H2" s="21" t="str">
        <f>IF('Summary | Sumário'!D6=Names!B3,Names!C9,Names!D9)</f>
        <v>4Q21</v>
      </c>
      <c r="I2" s="21" t="str">
        <f>IF('Summary | Sumário'!D6=Names!B3,Names!C10,Names!D10)</f>
        <v>1Q22</v>
      </c>
      <c r="J2" s="21" t="str">
        <f>IF('Summary | Sumário'!D6=Names!B3,Names!C11,Names!D11)</f>
        <v>2Q22</v>
      </c>
      <c r="K2" s="21" t="str">
        <f>IF('Summary | Sumário'!D6=Names!B3,Names!C12,Names!D12)</f>
        <v>3Q22</v>
      </c>
      <c r="L2" s="21" t="str">
        <f>IF('Summary | Sumário'!D6=Names!B3,Names!C13,Names!D13)</f>
        <v>4Q22</v>
      </c>
      <c r="M2" s="21" t="str">
        <f>IF('Summary | Sumário'!D6=Names!B3,Names!C14,Names!D14)</f>
        <v>1Q23</v>
      </c>
      <c r="N2" s="21" t="str">
        <f>IF('Summary | Sumário'!D6=Names!B3,Names!C15,Names!D15)</f>
        <v>2Q23</v>
      </c>
      <c r="O2" s="21" t="str">
        <f>IF('Summary | Sumário'!D6=Names!B3,Names!C16,Names!D16)</f>
        <v>3Q23</v>
      </c>
      <c r="P2" s="21" t="str">
        <f>IF('Summary | Sumário'!D6=Names!B3,Names!C17,Names!D17)</f>
        <v>4Q23</v>
      </c>
      <c r="Q2" s="21" t="str">
        <f>IF('Summary | Sumário'!D6=Names!B3,Names!C19,Names!D19)</f>
        <v>1Q24</v>
      </c>
      <c r="R2" s="385" t="str">
        <f>IF('Summary | Sumário'!D6=Names!B3,Names!C20,Names!D20)</f>
        <v>2Q24</v>
      </c>
      <c r="S2" s="496"/>
      <c r="T2" s="180" t="str">
        <f>IF('Summary | Sumário'!$D$6=Names!$B$3,Names!$I$24,Names!$J$24)</f>
        <v>QoQ Variation</v>
      </c>
      <c r="U2" s="180" t="str">
        <f>IF('Summary | Sumário'!$D$6=Names!$B$3,Names!$I$25,Names!$J$25)</f>
        <v>YoY Variation</v>
      </c>
      <c r="V2" s="87"/>
      <c r="W2" s="87"/>
      <c r="X2" s="11"/>
      <c r="Z2" s="12"/>
      <c r="AA2" s="13"/>
    </row>
    <row r="3" spans="1:27" ht="13" customHeight="1">
      <c r="B3" s="14"/>
      <c r="C3" s="212"/>
      <c r="D3" s="212"/>
      <c r="E3" s="213"/>
      <c r="F3" s="213"/>
      <c r="G3" s="213"/>
      <c r="H3" s="213"/>
      <c r="I3" s="213"/>
      <c r="J3" s="213"/>
      <c r="K3" s="213"/>
      <c r="L3" s="213"/>
      <c r="M3" s="213"/>
      <c r="N3" s="213"/>
      <c r="O3" s="213"/>
      <c r="P3" s="213"/>
      <c r="Q3" s="213"/>
      <c r="R3" s="205"/>
      <c r="S3" s="206"/>
      <c r="T3" s="206"/>
      <c r="U3" s="206"/>
    </row>
    <row r="4" spans="1:27" s="231" customFormat="1" ht="13" customHeight="1">
      <c r="A4" s="229"/>
      <c r="B4" s="3" t="str">
        <f>IF('Summary | Sumário'!D$6=Names!B$3,Names!O2,Names!P2)</f>
        <v>Loan portfolio</v>
      </c>
      <c r="C4" s="278"/>
      <c r="D4" s="278"/>
      <c r="E4" s="278"/>
      <c r="F4" s="278"/>
      <c r="G4" s="278"/>
      <c r="H4" s="278"/>
      <c r="I4" s="278"/>
      <c r="J4" s="278"/>
      <c r="K4" s="278"/>
      <c r="L4" s="278"/>
      <c r="M4" s="278"/>
      <c r="N4" s="278"/>
      <c r="O4" s="278"/>
      <c r="P4" s="278"/>
      <c r="Q4" s="278"/>
      <c r="R4" s="278"/>
      <c r="S4" s="278"/>
      <c r="T4" s="277"/>
      <c r="U4" s="277"/>
    </row>
    <row r="5" spans="1:27" ht="13" customHeight="1">
      <c r="A5" s="312"/>
      <c r="B5" s="422" t="str">
        <f>IF('Summary | Sumário'!D$6=Names!B$3,Names!O3,Names!P3)</f>
        <v>Gross loans and advances to customers</v>
      </c>
      <c r="C5" s="423">
        <f>SUM(C6:C10)</f>
        <v>4777387</v>
      </c>
      <c r="D5" s="423">
        <f t="shared" ref="D5:M5" si="0">SUM(D6:D10)</f>
        <v>8790058</v>
      </c>
      <c r="E5" s="423">
        <f t="shared" si="0"/>
        <v>10242909.3443</v>
      </c>
      <c r="F5" s="423">
        <f t="shared" si="0"/>
        <v>12527246</v>
      </c>
      <c r="G5" s="423">
        <f t="shared" si="0"/>
        <v>14860083</v>
      </c>
      <c r="H5" s="423">
        <f t="shared" si="0"/>
        <v>17216362</v>
      </c>
      <c r="I5" s="423">
        <f t="shared" si="0"/>
        <v>18176304</v>
      </c>
      <c r="J5" s="423">
        <f t="shared" si="0"/>
        <v>19484646.399999999</v>
      </c>
      <c r="K5" s="423">
        <f t="shared" si="0"/>
        <v>21005268</v>
      </c>
      <c r="L5" s="423">
        <f t="shared" si="0"/>
        <v>22698328</v>
      </c>
      <c r="M5" s="423">
        <f t="shared" si="0"/>
        <v>23832874</v>
      </c>
      <c r="N5" s="423">
        <f t="shared" ref="N5:O5" si="1">SUM(N6:N10)</f>
        <v>25141383</v>
      </c>
      <c r="O5" s="423">
        <f t="shared" si="1"/>
        <v>27043601</v>
      </c>
      <c r="P5" s="423">
        <f t="shared" ref="P5:Q5" si="2">SUM(P6:P10)</f>
        <v>29784301</v>
      </c>
      <c r="Q5" s="423">
        <f t="shared" si="2"/>
        <v>30858626.881090201</v>
      </c>
      <c r="R5" s="423">
        <f t="shared" ref="R5" si="3">SUM(R6:R10)</f>
        <v>32971552</v>
      </c>
      <c r="S5" s="274"/>
      <c r="T5" s="514">
        <f>R5/Q5-1</f>
        <v>6.8471132142453595E-2</v>
      </c>
      <c r="U5" s="514">
        <f>R5/N5-1</f>
        <v>0.31144543639464861</v>
      </c>
    </row>
    <row r="6" spans="1:27" ht="13" customHeight="1">
      <c r="A6" s="312"/>
      <c r="B6" s="83" t="str">
        <f>IF('Summary | Sumário'!D$6=Names!B$3,Names!O4,Names!P4)</f>
        <v>Real estate</v>
      </c>
      <c r="C6" s="321">
        <v>2519153</v>
      </c>
      <c r="D6" s="321">
        <v>3471356</v>
      </c>
      <c r="E6" s="321">
        <v>3925594.9876600001</v>
      </c>
      <c r="F6" s="321">
        <v>4211173</v>
      </c>
      <c r="G6" s="321">
        <v>4703223</v>
      </c>
      <c r="H6" s="321">
        <v>5121411</v>
      </c>
      <c r="I6" s="321">
        <v>5350879</v>
      </c>
      <c r="J6" s="321">
        <v>5647720</v>
      </c>
      <c r="K6" s="321">
        <v>5930070</v>
      </c>
      <c r="L6" s="321">
        <v>6251813</v>
      </c>
      <c r="M6" s="321">
        <v>6616802</v>
      </c>
      <c r="N6" s="321">
        <v>7020433</v>
      </c>
      <c r="O6" s="321">
        <v>7527810</v>
      </c>
      <c r="P6" s="321">
        <v>8583568</v>
      </c>
      <c r="Q6" s="321">
        <v>9124375.4985301998</v>
      </c>
      <c r="R6" s="321">
        <v>9703768</v>
      </c>
      <c r="S6" s="321"/>
      <c r="T6" s="474">
        <f t="shared" ref="T6:T12" si="4">R6/Q6-1</f>
        <v>6.3499414459995851E-2</v>
      </c>
      <c r="U6" s="474">
        <f t="shared" ref="U6:U12" si="5">R6/N6-1</f>
        <v>0.38221787744431146</v>
      </c>
      <c r="V6" s="248"/>
      <c r="W6" s="248"/>
      <c r="X6" s="248"/>
    </row>
    <row r="7" spans="1:27" ht="13" customHeight="1">
      <c r="A7" s="312"/>
      <c r="B7" s="88" t="str">
        <f>IF('Summary | Sumário'!D$6=Names!B$3,Names!O5,Names!P5)</f>
        <v>Personal</v>
      </c>
      <c r="C7" s="322">
        <v>1002386</v>
      </c>
      <c r="D7" s="322">
        <v>1653554</v>
      </c>
      <c r="E7" s="322">
        <v>2123654.0038399999</v>
      </c>
      <c r="F7" s="322">
        <v>2620848</v>
      </c>
      <c r="G7" s="322">
        <v>3100640</v>
      </c>
      <c r="H7" s="322">
        <v>3579283</v>
      </c>
      <c r="I7" s="322">
        <v>3936755</v>
      </c>
      <c r="J7" s="322">
        <v>4460508.5</v>
      </c>
      <c r="K7" s="322">
        <v>5057444</v>
      </c>
      <c r="L7" s="322">
        <v>5463781</v>
      </c>
      <c r="M7" s="322">
        <v>6081266</v>
      </c>
      <c r="N7" s="322">
        <v>6500480</v>
      </c>
      <c r="O7" s="322">
        <v>6663058</v>
      </c>
      <c r="P7" s="322">
        <v>7138744</v>
      </c>
      <c r="Q7" s="322">
        <v>7437794.5190500002</v>
      </c>
      <c r="R7" s="322">
        <v>7555457</v>
      </c>
      <c r="S7" s="321"/>
      <c r="T7" s="515">
        <f t="shared" si="4"/>
        <v>1.5819539064791055E-2</v>
      </c>
      <c r="U7" s="515">
        <f t="shared" si="5"/>
        <v>0.16229216919365963</v>
      </c>
      <c r="V7" s="248"/>
      <c r="W7" s="248"/>
      <c r="X7" s="248"/>
    </row>
    <row r="8" spans="1:27" ht="13" customHeight="1">
      <c r="A8" s="312"/>
      <c r="B8" s="83" t="str">
        <f>IF('Summary | Sumário'!D$6=Names!B$3,Names!O6,Names!P6)</f>
        <v>SME</v>
      </c>
      <c r="C8" s="321">
        <v>472304</v>
      </c>
      <c r="D8" s="321">
        <v>1582869</v>
      </c>
      <c r="E8" s="321">
        <v>1572378.9388100002</v>
      </c>
      <c r="F8" s="321">
        <v>2153921</v>
      </c>
      <c r="G8" s="321">
        <v>2703302</v>
      </c>
      <c r="H8" s="321">
        <v>3017159</v>
      </c>
      <c r="I8" s="321">
        <v>2929546</v>
      </c>
      <c r="J8" s="321">
        <v>2905002.5</v>
      </c>
      <c r="K8" s="321">
        <v>2978792</v>
      </c>
      <c r="L8" s="321">
        <v>3392500</v>
      </c>
      <c r="M8" s="321">
        <v>3110840</v>
      </c>
      <c r="N8" s="321">
        <v>3215316</v>
      </c>
      <c r="O8" s="321">
        <v>3438526</v>
      </c>
      <c r="P8" s="321">
        <v>3855754</v>
      </c>
      <c r="Q8" s="321">
        <v>3376688</v>
      </c>
      <c r="R8" s="321">
        <v>4359140</v>
      </c>
      <c r="S8" s="321"/>
      <c r="T8" s="474">
        <f t="shared" si="4"/>
        <v>0.29095137009993222</v>
      </c>
      <c r="U8" s="474">
        <f t="shared" si="5"/>
        <v>0.35574232828126373</v>
      </c>
      <c r="V8" s="248"/>
      <c r="W8" s="248"/>
      <c r="X8" s="248"/>
    </row>
    <row r="9" spans="1:27" ht="13" customHeight="1">
      <c r="A9" s="312"/>
      <c r="B9" s="88" t="str">
        <f>IF('Summary | Sumário'!D$6=Names!B$3,Names!O7,Names!P7)</f>
        <v>Credit cards</v>
      </c>
      <c r="C9" s="322">
        <v>783544</v>
      </c>
      <c r="D9" s="322">
        <v>1904642</v>
      </c>
      <c r="E9" s="322">
        <v>2404920.48868</v>
      </c>
      <c r="F9" s="322">
        <v>3116734</v>
      </c>
      <c r="G9" s="322">
        <v>3807684</v>
      </c>
      <c r="H9" s="322">
        <v>4798318</v>
      </c>
      <c r="I9" s="322">
        <v>5315930</v>
      </c>
      <c r="J9" s="322">
        <v>5981406.4000000004</v>
      </c>
      <c r="K9" s="322">
        <v>6411572</v>
      </c>
      <c r="L9" s="322">
        <v>6870565</v>
      </c>
      <c r="M9" s="322">
        <v>7273032</v>
      </c>
      <c r="N9" s="322">
        <v>7681011</v>
      </c>
      <c r="O9" s="322">
        <v>8650139</v>
      </c>
      <c r="P9" s="322">
        <v>9461277</v>
      </c>
      <c r="Q9" s="322">
        <v>10111845.135790002</v>
      </c>
      <c r="R9" s="322">
        <v>10508082</v>
      </c>
      <c r="S9" s="321"/>
      <c r="T9" s="515">
        <f t="shared" si="4"/>
        <v>3.9185416596972278E-2</v>
      </c>
      <c r="U9" s="515">
        <f t="shared" si="5"/>
        <v>0.36805975150927406</v>
      </c>
      <c r="V9" s="249"/>
      <c r="W9" s="249"/>
      <c r="X9" s="249"/>
    </row>
    <row r="10" spans="1:27" ht="13" customHeight="1">
      <c r="A10" s="312"/>
      <c r="B10" s="83" t="str">
        <f>IF('Summary | Sumário'!D$6=Names!B$3,Names!O8,Names!P8)</f>
        <v>Agribusiness</v>
      </c>
      <c r="C10" s="321">
        <v>0</v>
      </c>
      <c r="D10" s="321">
        <v>177637</v>
      </c>
      <c r="E10" s="321">
        <v>216360.92530999999</v>
      </c>
      <c r="F10" s="321">
        <v>424570</v>
      </c>
      <c r="G10" s="321">
        <v>545234</v>
      </c>
      <c r="H10" s="321">
        <v>700191</v>
      </c>
      <c r="I10" s="321">
        <v>643194</v>
      </c>
      <c r="J10" s="321">
        <v>490009</v>
      </c>
      <c r="K10" s="321">
        <v>627390</v>
      </c>
      <c r="L10" s="321">
        <v>719669</v>
      </c>
      <c r="M10" s="321">
        <v>750934</v>
      </c>
      <c r="N10" s="321">
        <v>724143</v>
      </c>
      <c r="O10" s="321">
        <v>764068</v>
      </c>
      <c r="P10" s="321">
        <v>744958</v>
      </c>
      <c r="Q10" s="321">
        <v>807923.72772000008</v>
      </c>
      <c r="R10" s="321">
        <v>845105</v>
      </c>
      <c r="S10" s="321"/>
      <c r="T10" s="474">
        <f t="shared" si="4"/>
        <v>4.6020770283510926E-2</v>
      </c>
      <c r="U10" s="474">
        <f t="shared" si="5"/>
        <v>0.16704159261361351</v>
      </c>
      <c r="V10" s="248"/>
      <c r="W10" s="248"/>
      <c r="X10" s="248"/>
    </row>
    <row r="11" spans="1:27" ht="13" customHeight="1">
      <c r="A11" s="312"/>
      <c r="B11" s="82" t="str">
        <f>IF('Summary | Sumário'!D$6=Names!B$3,Names!O9,Names!P9)</f>
        <v>Prepayment of receivables</v>
      </c>
      <c r="C11" s="322">
        <v>0</v>
      </c>
      <c r="D11" s="322">
        <v>0</v>
      </c>
      <c r="E11" s="322">
        <v>85776.282000000007</v>
      </c>
      <c r="F11" s="322">
        <v>71515.061000000002</v>
      </c>
      <c r="G11" s="322">
        <v>97555.932000000001</v>
      </c>
      <c r="H11" s="322">
        <v>298104</v>
      </c>
      <c r="I11" s="322">
        <v>347353.58600000001</v>
      </c>
      <c r="J11" s="322">
        <v>379917.21</v>
      </c>
      <c r="K11" s="322">
        <v>1029786.0000000001</v>
      </c>
      <c r="L11" s="322">
        <v>1845665</v>
      </c>
      <c r="M11" s="322">
        <v>1296424</v>
      </c>
      <c r="N11" s="322">
        <v>1332977</v>
      </c>
      <c r="O11" s="322">
        <v>1215142</v>
      </c>
      <c r="P11" s="322">
        <v>1236536</v>
      </c>
      <c r="Q11" s="322">
        <v>1284996.6508599999</v>
      </c>
      <c r="R11" s="322">
        <v>2702819.41658</v>
      </c>
      <c r="S11" s="321"/>
      <c r="T11" s="515">
        <f t="shared" si="4"/>
        <v>1.1033668957589149</v>
      </c>
      <c r="U11" s="515">
        <f t="shared" si="5"/>
        <v>1.0276564536222303</v>
      </c>
      <c r="V11" s="248"/>
      <c r="W11" s="248"/>
      <c r="X11" s="248"/>
    </row>
    <row r="12" spans="1:27" ht="13" customHeight="1">
      <c r="A12" s="312"/>
      <c r="B12" s="420" t="str">
        <f>IF('Summary | Sumário'!D$6=Names!B$3,Names!O10,Names!P10)</f>
        <v>Gross loan portfolio</v>
      </c>
      <c r="C12" s="424">
        <f>C5+C11</f>
        <v>4777387</v>
      </c>
      <c r="D12" s="424">
        <f t="shared" ref="D12:M12" si="6">D5+D11</f>
        <v>8790058</v>
      </c>
      <c r="E12" s="424">
        <f t="shared" si="6"/>
        <v>10328685.6263</v>
      </c>
      <c r="F12" s="424">
        <f t="shared" si="6"/>
        <v>12598761.061000001</v>
      </c>
      <c r="G12" s="424">
        <f t="shared" si="6"/>
        <v>14957638.932</v>
      </c>
      <c r="H12" s="424">
        <f>H5+H11</f>
        <v>17514466</v>
      </c>
      <c r="I12" s="424">
        <f t="shared" si="6"/>
        <v>18523657.585999999</v>
      </c>
      <c r="J12" s="424">
        <f t="shared" si="6"/>
        <v>19864563.609999999</v>
      </c>
      <c r="K12" s="424">
        <f t="shared" si="6"/>
        <v>22035054</v>
      </c>
      <c r="L12" s="424">
        <f t="shared" si="6"/>
        <v>24543993</v>
      </c>
      <c r="M12" s="424">
        <f t="shared" si="6"/>
        <v>25129298</v>
      </c>
      <c r="N12" s="424">
        <f t="shared" ref="N12:O12" si="7">N5+N11</f>
        <v>26474360</v>
      </c>
      <c r="O12" s="424">
        <f t="shared" si="7"/>
        <v>28258743</v>
      </c>
      <c r="P12" s="424">
        <f t="shared" ref="P12:Q12" si="8">P5+P11</f>
        <v>31020837</v>
      </c>
      <c r="Q12" s="424">
        <f t="shared" si="8"/>
        <v>32143623.531950202</v>
      </c>
      <c r="R12" s="424">
        <f t="shared" ref="R12" si="9">R5+R11</f>
        <v>35674371.416579999</v>
      </c>
      <c r="S12" s="233"/>
      <c r="T12" s="438">
        <f t="shared" si="4"/>
        <v>0.10984287073672006</v>
      </c>
      <c r="U12" s="438">
        <f t="shared" si="5"/>
        <v>0.34750647103763788</v>
      </c>
      <c r="X12" s="248"/>
    </row>
    <row r="13" spans="1:27" ht="13" customHeight="1">
      <c r="A13" s="312"/>
      <c r="B13" s="80"/>
      <c r="C13" s="321"/>
      <c r="D13" s="321"/>
      <c r="E13" s="321"/>
      <c r="F13" s="321"/>
      <c r="G13" s="321"/>
      <c r="H13" s="321"/>
      <c r="I13" s="321"/>
      <c r="J13" s="321"/>
      <c r="K13" s="321"/>
      <c r="L13" s="321"/>
      <c r="M13" s="321"/>
      <c r="N13" s="321"/>
      <c r="O13" s="321"/>
      <c r="P13" s="321"/>
      <c r="Q13" s="321"/>
      <c r="R13" s="321"/>
      <c r="S13" s="321"/>
      <c r="T13" s="474"/>
      <c r="U13" s="474"/>
    </row>
    <row r="14" spans="1:27" ht="13" customHeight="1">
      <c r="A14" s="312"/>
      <c r="B14" s="24" t="str">
        <f>IF('Summary | Sumário'!D$6=Names!B$3,Names!O11,Names!P11)</f>
        <v>Net loans and advances to customers</v>
      </c>
      <c r="C14" s="379"/>
      <c r="D14" s="379"/>
      <c r="E14" s="379"/>
      <c r="F14" s="379"/>
      <c r="G14" s="379"/>
      <c r="H14" s="379"/>
      <c r="I14" s="379"/>
      <c r="J14" s="379"/>
      <c r="K14" s="379"/>
      <c r="L14" s="379"/>
      <c r="M14" s="379"/>
      <c r="N14" s="379"/>
      <c r="O14" s="379"/>
      <c r="P14" s="379"/>
      <c r="Q14" s="379"/>
      <c r="R14" s="379"/>
      <c r="S14" s="278"/>
      <c r="T14" s="478"/>
      <c r="U14" s="478"/>
    </row>
    <row r="15" spans="1:27" ht="13" customHeight="1">
      <c r="A15" s="312"/>
      <c r="B15" s="425" t="str">
        <f>IF('Summary | Sumário'!D$6=Names!B$3,Names!O12,Names!P12)</f>
        <v>Gross loans and advances to customers</v>
      </c>
      <c r="C15" s="426">
        <f>C5</f>
        <v>4777387</v>
      </c>
      <c r="D15" s="426">
        <f t="shared" ref="D15:M15" si="10">D5</f>
        <v>8790058</v>
      </c>
      <c r="E15" s="426">
        <f t="shared" si="10"/>
        <v>10242909.3443</v>
      </c>
      <c r="F15" s="426">
        <f t="shared" si="10"/>
        <v>12527246</v>
      </c>
      <c r="G15" s="426">
        <f t="shared" si="10"/>
        <v>14860083</v>
      </c>
      <c r="H15" s="426">
        <f t="shared" si="10"/>
        <v>17216362</v>
      </c>
      <c r="I15" s="426">
        <f t="shared" si="10"/>
        <v>18176304</v>
      </c>
      <c r="J15" s="426">
        <f t="shared" si="10"/>
        <v>19484646.399999999</v>
      </c>
      <c r="K15" s="426">
        <f t="shared" si="10"/>
        <v>21005268</v>
      </c>
      <c r="L15" s="426">
        <f t="shared" si="10"/>
        <v>22698328</v>
      </c>
      <c r="M15" s="426">
        <f t="shared" si="10"/>
        <v>23832874</v>
      </c>
      <c r="N15" s="426">
        <f t="shared" ref="N15:O15" si="11">N5</f>
        <v>25141383</v>
      </c>
      <c r="O15" s="426">
        <f t="shared" si="11"/>
        <v>27043601</v>
      </c>
      <c r="P15" s="426">
        <f t="shared" ref="P15:Q15" si="12">P5</f>
        <v>29784301</v>
      </c>
      <c r="Q15" s="426">
        <f t="shared" si="12"/>
        <v>30858626.881090201</v>
      </c>
      <c r="R15" s="426">
        <f t="shared" ref="R15" si="13">R5</f>
        <v>32971552</v>
      </c>
      <c r="S15" s="274"/>
      <c r="T15" s="516">
        <f t="shared" ref="T15:T17" si="14">R15/Q15-1</f>
        <v>6.8471132142453595E-2</v>
      </c>
      <c r="U15" s="516">
        <f t="shared" ref="U15:U17" si="15">R15/N15-1</f>
        <v>0.31144543639464861</v>
      </c>
    </row>
    <row r="16" spans="1:27" ht="13" customHeight="1">
      <c r="A16" s="312"/>
      <c r="B16" s="82" t="str">
        <f>IF('Summary | Sumário'!D$6=Names!B$3,Names!O13,Names!P13)</f>
        <v>(-) Provision for expected loss</v>
      </c>
      <c r="C16" s="322">
        <v>-215563</v>
      </c>
      <c r="D16" s="322">
        <v>-282355</v>
      </c>
      <c r="E16" s="322">
        <v>-334789</v>
      </c>
      <c r="F16" s="322">
        <v>-486763</v>
      </c>
      <c r="G16" s="322">
        <v>-558546</v>
      </c>
      <c r="H16" s="322">
        <v>-680932.27827000001</v>
      </c>
      <c r="I16" s="322">
        <v>-801672</v>
      </c>
      <c r="J16" s="322">
        <v>-974457</v>
      </c>
      <c r="K16" s="322">
        <v>-1184365</v>
      </c>
      <c r="L16" s="322">
        <v>-1318412</v>
      </c>
      <c r="M16" s="322">
        <v>-1461707</v>
      </c>
      <c r="N16" s="322">
        <v>-1617401</v>
      </c>
      <c r="O16" s="322">
        <v>-1746981</v>
      </c>
      <c r="P16" s="322">
        <v>-1883758</v>
      </c>
      <c r="Q16" s="322">
        <v>-2031628</v>
      </c>
      <c r="R16" s="322">
        <v>-2164912</v>
      </c>
      <c r="S16" s="321"/>
      <c r="T16" s="515">
        <f t="shared" si="14"/>
        <v>6.5604529963162461E-2</v>
      </c>
      <c r="U16" s="515">
        <f t="shared" si="15"/>
        <v>0.33851283633434126</v>
      </c>
    </row>
    <row r="17" spans="1:23" ht="13" customHeight="1">
      <c r="A17" s="312"/>
      <c r="B17" s="420" t="str">
        <f>IF('Summary | Sumário'!D$6=Names!B$3,Names!O14,Names!P14)</f>
        <v>Net loans and advances to customers</v>
      </c>
      <c r="C17" s="424">
        <f>C15+C16</f>
        <v>4561824</v>
      </c>
      <c r="D17" s="424">
        <f t="shared" ref="D17:M17" si="16">D15+D16</f>
        <v>8507703</v>
      </c>
      <c r="E17" s="424">
        <f t="shared" si="16"/>
        <v>9908120.3443</v>
      </c>
      <c r="F17" s="424">
        <f t="shared" si="16"/>
        <v>12040483</v>
      </c>
      <c r="G17" s="424">
        <f t="shared" si="16"/>
        <v>14301537</v>
      </c>
      <c r="H17" s="424">
        <f t="shared" si="16"/>
        <v>16535429.721729999</v>
      </c>
      <c r="I17" s="424">
        <f t="shared" si="16"/>
        <v>17374632</v>
      </c>
      <c r="J17" s="424">
        <f t="shared" si="16"/>
        <v>18510189.399999999</v>
      </c>
      <c r="K17" s="424">
        <f t="shared" si="16"/>
        <v>19820903</v>
      </c>
      <c r="L17" s="424">
        <f t="shared" si="16"/>
        <v>21379916</v>
      </c>
      <c r="M17" s="424">
        <f t="shared" si="16"/>
        <v>22371167</v>
      </c>
      <c r="N17" s="424">
        <f t="shared" ref="N17:O17" si="17">N15+N16</f>
        <v>23523982</v>
      </c>
      <c r="O17" s="424">
        <f t="shared" si="17"/>
        <v>25296620</v>
      </c>
      <c r="P17" s="424">
        <f t="shared" ref="P17:Q17" si="18">P15+P16</f>
        <v>27900543</v>
      </c>
      <c r="Q17" s="424">
        <f t="shared" si="18"/>
        <v>28826998.881090201</v>
      </c>
      <c r="R17" s="424">
        <f t="shared" ref="R17" si="19">R15+R16</f>
        <v>30806640</v>
      </c>
      <c r="S17" s="233"/>
      <c r="T17" s="438">
        <f t="shared" si="14"/>
        <v>6.8673160431153901E-2</v>
      </c>
      <c r="U17" s="438">
        <f t="shared" si="15"/>
        <v>0.30958440624550732</v>
      </c>
    </row>
    <row r="18" spans="1:23" ht="13" customHeight="1">
      <c r="A18" s="312"/>
      <c r="B18" s="82"/>
      <c r="C18" s="322"/>
      <c r="D18" s="322"/>
      <c r="E18" s="322"/>
      <c r="F18" s="322"/>
      <c r="G18" s="322"/>
      <c r="H18" s="322"/>
      <c r="I18" s="322"/>
      <c r="J18" s="322"/>
      <c r="K18" s="322"/>
      <c r="L18" s="322"/>
      <c r="M18" s="322"/>
      <c r="N18" s="322"/>
      <c r="O18" s="322"/>
      <c r="P18" s="322"/>
      <c r="Q18" s="322"/>
      <c r="R18" s="322"/>
      <c r="S18" s="321"/>
      <c r="T18" s="515"/>
      <c r="U18" s="515"/>
    </row>
    <row r="19" spans="1:23" ht="13" customHeight="1">
      <c r="A19" s="312"/>
      <c r="B19" s="3" t="str">
        <f>IF('Summary | Sumário'!D$6=Names!B$3,Names!O15,Names!P15)</f>
        <v>NPL &gt; 90 days</v>
      </c>
      <c r="C19" s="278"/>
      <c r="D19" s="278"/>
      <c r="E19" s="278"/>
      <c r="F19" s="278"/>
      <c r="G19" s="278"/>
      <c r="H19" s="278"/>
      <c r="I19" s="278"/>
      <c r="J19" s="278"/>
      <c r="K19" s="278"/>
      <c r="L19" s="278"/>
      <c r="M19" s="278"/>
      <c r="N19" s="278"/>
      <c r="O19" s="278"/>
      <c r="P19" s="278"/>
      <c r="Q19" s="278"/>
      <c r="R19" s="278"/>
      <c r="S19" s="278"/>
      <c r="T19" s="277"/>
      <c r="U19" s="277"/>
    </row>
    <row r="20" spans="1:23" ht="13" customHeight="1">
      <c r="A20" s="312"/>
      <c r="B20" s="422" t="str">
        <f>IF('Summary | Sumário'!D$6=Names!B$3,Names!O16,Names!P16)</f>
        <v>NPL &gt; 90 days</v>
      </c>
      <c r="C20" s="427">
        <v>220389.40100000001</v>
      </c>
      <c r="D20" s="427">
        <v>269061.29599999997</v>
      </c>
      <c r="E20" s="427">
        <v>284231.98275000002</v>
      </c>
      <c r="F20" s="427">
        <v>375711.22700000001</v>
      </c>
      <c r="G20" s="427">
        <v>451788.65100000001</v>
      </c>
      <c r="H20" s="427">
        <v>519936.66624999954</v>
      </c>
      <c r="I20" s="427">
        <v>635025.51165999984</v>
      </c>
      <c r="J20" s="427">
        <v>754933.16899999999</v>
      </c>
      <c r="K20" s="427">
        <v>838860.77459000004</v>
      </c>
      <c r="L20" s="427">
        <v>999522.19583999994</v>
      </c>
      <c r="M20" s="427">
        <v>1112112.51</v>
      </c>
      <c r="N20" s="427">
        <v>1242634.2890000001</v>
      </c>
      <c r="O20" s="427">
        <v>1324578.226</v>
      </c>
      <c r="P20" s="427">
        <v>1425372.2890000001</v>
      </c>
      <c r="Q20" s="427">
        <v>1552791.92823</v>
      </c>
      <c r="R20" s="427">
        <v>1663073.9831000001</v>
      </c>
      <c r="S20" s="316"/>
      <c r="T20" s="517">
        <f t="shared" ref="T20" si="20">R20/Q20-1</f>
        <v>7.1021785253423175E-2</v>
      </c>
      <c r="U20" s="517">
        <f t="shared" ref="U20" si="21">R20/N20-1</f>
        <v>0.3383454792949141</v>
      </c>
      <c r="V20" s="337"/>
      <c r="W20" s="337"/>
    </row>
    <row r="21" spans="1:23" ht="13" customHeight="1">
      <c r="A21" s="312"/>
      <c r="B21" s="80" t="str">
        <f>IF('Summary | Sumário'!D$6=Names!B$3,Names!O17,Names!P17)</f>
        <v>NPL &gt; 90 days (%)</v>
      </c>
      <c r="C21" s="323">
        <v>4.613178731386007E-2</v>
      </c>
      <c r="D21" s="323">
        <v>3.0609729310091011E-2</v>
      </c>
      <c r="E21" s="323">
        <v>2.7749145598771716E-2</v>
      </c>
      <c r="F21" s="323">
        <v>2.9991526230106761E-2</v>
      </c>
      <c r="G21" s="323">
        <v>3.0402834963976985E-2</v>
      </c>
      <c r="H21" s="323">
        <v>3.0200147176854177E-2</v>
      </c>
      <c r="I21" s="323">
        <v>3.4936998834306461E-2</v>
      </c>
      <c r="J21" s="323">
        <v>3.8745027931325456E-2</v>
      </c>
      <c r="K21" s="323">
        <v>3.9935733007072323E-2</v>
      </c>
      <c r="L21" s="323">
        <v>4.4035058258035567E-2</v>
      </c>
      <c r="M21" s="323">
        <v>4.6662962679196812E-2</v>
      </c>
      <c r="N21" s="323">
        <v>4.9425852547570676E-2</v>
      </c>
      <c r="O21" s="323">
        <v>4.897935840718845E-2</v>
      </c>
      <c r="P21" s="323">
        <v>4.7856496246126444E-2</v>
      </c>
      <c r="Q21" s="323">
        <v>5.0319540600866214E-2</v>
      </c>
      <c r="R21" s="323">
        <v>5.0439663352820033E-2</v>
      </c>
      <c r="S21" s="323"/>
      <c r="T21" s="533">
        <f>(R21-Q21)*100</f>
        <v>1.2012275195381894E-2</v>
      </c>
      <c r="U21" s="533">
        <f>(R21-N21)*100</f>
        <v>0.10138108052493572</v>
      </c>
    </row>
    <row r="22" spans="1:23" ht="13" customHeight="1">
      <c r="A22" s="312"/>
      <c r="B22" s="82" t="str">
        <f>IF('Summary | Sumário'!D$6=Names!B$3,Names!O18,Names!P18)</f>
        <v>NPL &gt; 90 days (including anticipation of credit card receivables, %)</v>
      </c>
      <c r="C22" s="326">
        <v>4.613178731386007E-2</v>
      </c>
      <c r="D22" s="326">
        <v>3.0609729310091011E-2</v>
      </c>
      <c r="E22" s="326">
        <v>2.7518698219089782E-2</v>
      </c>
      <c r="F22" s="326">
        <v>2.982128363105719E-2</v>
      </c>
      <c r="G22" s="326">
        <v>3.0204543180505222E-2</v>
      </c>
      <c r="H22" s="326">
        <v>2.9686127241903896E-2</v>
      </c>
      <c r="I22" s="326">
        <v>3.428186408174301E-2</v>
      </c>
      <c r="J22" s="326">
        <v>3.8004014778354349E-2</v>
      </c>
      <c r="K22" s="326">
        <v>3.8069376847907885E-2</v>
      </c>
      <c r="L22" s="326">
        <v>4.07236995153967E-2</v>
      </c>
      <c r="M22" s="326">
        <v>4.425561390533074E-2</v>
      </c>
      <c r="N22" s="326">
        <v>4.6937273988870744E-2</v>
      </c>
      <c r="O22" s="326">
        <v>4.6873218175344886E-2</v>
      </c>
      <c r="P22" s="326">
        <v>4.5948866208864708E-2</v>
      </c>
      <c r="Q22" s="326">
        <v>4.8307930395170035E-2</v>
      </c>
      <c r="R22" s="326">
        <v>4.6618172011492563E-2</v>
      </c>
      <c r="S22" s="323"/>
      <c r="T22" s="532">
        <f t="shared" ref="T22:T23" si="22">(R22-Q22)*100</f>
        <v>-0.16897583836774713</v>
      </c>
      <c r="U22" s="532">
        <f t="shared" ref="U22:U23" si="23">(R22-N22)*100</f>
        <v>-3.1910197737818058E-2</v>
      </c>
    </row>
    <row r="23" spans="1:23" ht="13" customHeight="1">
      <c r="A23" s="312"/>
      <c r="B23" s="80" t="str">
        <f>IF('Summary | Sumário'!D$6=Names!B$3,Names!O19,Names!P19)</f>
        <v>Coverage ratio (%)</v>
      </c>
      <c r="C23" s="474">
        <v>0.97810057571688758</v>
      </c>
      <c r="D23" s="474">
        <v>1.0494077156307164</v>
      </c>
      <c r="E23" s="474">
        <v>1.1778723729850911</v>
      </c>
      <c r="F23" s="474">
        <v>1.2955774675319989</v>
      </c>
      <c r="G23" s="474">
        <v>1.2362993155399116</v>
      </c>
      <c r="H23" s="474">
        <v>1.3096446595720361</v>
      </c>
      <c r="I23" s="474">
        <v>1.2624248715683484</v>
      </c>
      <c r="J23" s="474">
        <v>1.2907857808006844</v>
      </c>
      <c r="K23" s="474">
        <v>1.4118731449552733</v>
      </c>
      <c r="L23" s="474">
        <v>1.3190422438713376</v>
      </c>
      <c r="M23" s="474">
        <v>1.3143517286753656</v>
      </c>
      <c r="N23" s="474">
        <v>1.3015905116392614</v>
      </c>
      <c r="O23" s="474">
        <v>1.3188960574080884</v>
      </c>
      <c r="P23" s="474">
        <f>-P16/P20</f>
        <v>1.3215901659780338</v>
      </c>
      <c r="Q23" s="474">
        <f>-Q16/Q20</f>
        <v>1.3083710464130354</v>
      </c>
      <c r="R23" s="474">
        <f>-R16/R20</f>
        <v>1.3017532725540957</v>
      </c>
      <c r="S23" s="474"/>
      <c r="T23" s="530">
        <f t="shared" si="22"/>
        <v>-0.66177738589396906</v>
      </c>
      <c r="U23" s="530">
        <f t="shared" si="23"/>
        <v>1.6276091483424793E-2</v>
      </c>
    </row>
    <row r="24" spans="1:23" ht="13" customHeight="1">
      <c r="A24" s="312"/>
      <c r="B24" s="471"/>
      <c r="C24" s="473"/>
      <c r="D24" s="473"/>
      <c r="E24" s="473"/>
      <c r="F24" s="473"/>
      <c r="G24" s="473"/>
      <c r="H24" s="473"/>
      <c r="I24" s="473"/>
      <c r="J24" s="473"/>
      <c r="K24" s="473"/>
      <c r="L24" s="473"/>
      <c r="M24" s="473"/>
      <c r="N24" s="473"/>
      <c r="O24" s="473"/>
      <c r="P24" s="473"/>
      <c r="Q24" s="473"/>
      <c r="R24" s="473"/>
      <c r="S24" s="329"/>
      <c r="T24" s="518"/>
      <c r="U24" s="518"/>
    </row>
    <row r="25" spans="1:23" ht="13" customHeight="1">
      <c r="A25" s="312"/>
      <c r="B25" s="3" t="str">
        <f>IF('Summary | Sumário'!D$6=Names!B$3,Names!O20,Names!P20)</f>
        <v>NPL  15-90 days</v>
      </c>
      <c r="C25" s="278"/>
      <c r="D25" s="278"/>
      <c r="E25" s="278"/>
      <c r="F25" s="278"/>
      <c r="G25" s="278"/>
      <c r="H25" s="278"/>
      <c r="I25" s="278"/>
      <c r="J25" s="278"/>
      <c r="K25" s="278"/>
      <c r="L25" s="278"/>
      <c r="M25" s="278"/>
      <c r="N25" s="278"/>
      <c r="O25" s="278"/>
      <c r="P25" s="278"/>
      <c r="Q25" s="278"/>
      <c r="R25" s="278"/>
      <c r="S25" s="278"/>
      <c r="T25" s="277"/>
      <c r="U25" s="277"/>
    </row>
    <row r="26" spans="1:23" ht="13" customHeight="1">
      <c r="A26" s="312"/>
      <c r="B26" s="422" t="str">
        <f>IF('Summary | Sumário'!D$6=Names!B$3,Names!O21,Names!P21)</f>
        <v>NPL 15-90 days</v>
      </c>
      <c r="C26" s="427">
        <v>455624.09169999999</v>
      </c>
      <c r="D26" s="427">
        <v>446506.32032</v>
      </c>
      <c r="E26" s="427">
        <v>596395.54700000002</v>
      </c>
      <c r="F26" s="427">
        <v>617864.61755000008</v>
      </c>
      <c r="G26" s="427">
        <v>650014.21071999997</v>
      </c>
      <c r="H26" s="427">
        <v>746209.03361000016</v>
      </c>
      <c r="I26" s="427">
        <v>835676.82806999981</v>
      </c>
      <c r="J26" s="427">
        <v>902517.78554999991</v>
      </c>
      <c r="K26" s="427">
        <v>950615.52880999993</v>
      </c>
      <c r="L26" s="427">
        <v>1016878.29273</v>
      </c>
      <c r="M26" s="427">
        <v>1092071.4350000001</v>
      </c>
      <c r="N26" s="427">
        <v>1110989.1200000001</v>
      </c>
      <c r="O26" s="427">
        <v>1204856.051</v>
      </c>
      <c r="P26" s="427">
        <v>1243042.1070000001</v>
      </c>
      <c r="Q26" s="427">
        <v>1417128.55651</v>
      </c>
      <c r="R26" s="427">
        <v>1401631.4272100001</v>
      </c>
      <c r="S26" s="316"/>
      <c r="T26" s="517">
        <f t="shared" ref="T26" si="24">R26/Q26-1</f>
        <v>-1.0935584657305264E-2</v>
      </c>
      <c r="U26" s="517">
        <f t="shared" ref="U26" si="25">R26/N26-1</f>
        <v>0.26160679882265625</v>
      </c>
    </row>
    <row r="27" spans="1:23" ht="13" customHeight="1">
      <c r="A27" s="312"/>
      <c r="B27" s="80" t="str">
        <f>IF('Summary | Sumário'!D$6=Names!B$3,Names!O22,Names!P22)</f>
        <v>NPL 15-90 days (%)</v>
      </c>
      <c r="C27" s="323">
        <v>9.5370982442912824E-2</v>
      </c>
      <c r="D27" s="323">
        <v>5.0796743357097301E-2</v>
      </c>
      <c r="E27" s="323">
        <v>5.8225209943099196E-2</v>
      </c>
      <c r="F27" s="323">
        <v>4.9321663959500765E-2</v>
      </c>
      <c r="G27" s="323">
        <v>4.3742300141930562E-2</v>
      </c>
      <c r="H27" s="323">
        <v>4.3343014837280966E-2</v>
      </c>
      <c r="I27" s="323">
        <v>4.5976169196443886E-2</v>
      </c>
      <c r="J27" s="323">
        <v>4.6319433620822595E-2</v>
      </c>
      <c r="K27" s="323">
        <v>4.5256053329574275E-2</v>
      </c>
      <c r="L27" s="323">
        <v>4.4799700344888838E-2</v>
      </c>
      <c r="M27" s="323">
        <v>4.5822062207017081E-2</v>
      </c>
      <c r="N27" s="323">
        <v>4.4189658142513487E-2</v>
      </c>
      <c r="O27" s="323">
        <v>4.4552352735865317E-2</v>
      </c>
      <c r="P27" s="323">
        <v>4.1734808783996644E-2</v>
      </c>
      <c r="Q27" s="323">
        <v>4.5923253875511862E-2</v>
      </c>
      <c r="R27" s="323">
        <v>4.2510326089897139E-2</v>
      </c>
      <c r="S27" s="323"/>
      <c r="T27" s="528">
        <f t="shared" ref="T27:T28" si="26">(R27-Q27)*100</f>
        <v>-0.34129277856147222</v>
      </c>
      <c r="U27" s="528">
        <f t="shared" ref="U27:U28" si="27">(R27-N27)*100</f>
        <v>-0.16793320526163474</v>
      </c>
    </row>
    <row r="28" spans="1:23" ht="13" customHeight="1">
      <c r="A28" s="312"/>
      <c r="B28" s="82" t="str">
        <f>IF('Summary | Sumário'!D$6=Names!B$3,Names!O23,Names!P23)</f>
        <v>NPL 15-90 days (including anticipation of credit card receivables, %)</v>
      </c>
      <c r="C28" s="326">
        <v>9.5370982442912824E-2</v>
      </c>
      <c r="D28" s="326">
        <v>5.0796743357097301E-2</v>
      </c>
      <c r="E28" s="326">
        <v>5.7741669034963569E-2</v>
      </c>
      <c r="F28" s="326">
        <v>4.9041696604805549E-2</v>
      </c>
      <c r="G28" s="326">
        <v>4.345700639486462E-2</v>
      </c>
      <c r="H28" s="326">
        <v>4.2605297450119241E-2</v>
      </c>
      <c r="I28" s="326">
        <v>4.5114029137614607E-2</v>
      </c>
      <c r="J28" s="326">
        <v>4.5433557125597483E-2</v>
      </c>
      <c r="K28" s="326">
        <v>4.314105737204002E-2</v>
      </c>
      <c r="L28" s="326">
        <v>4.1430841865461747E-2</v>
      </c>
      <c r="M28" s="326">
        <v>4.3458095606172524E-2</v>
      </c>
      <c r="N28" s="326">
        <v>4.1964720582480561E-2</v>
      </c>
      <c r="O28" s="326">
        <v>4.2636576262433189E-2</v>
      </c>
      <c r="P28" s="326">
        <v>4.0071198175600488E-2</v>
      </c>
      <c r="Q28" s="326">
        <v>4.4087392795071748E-2</v>
      </c>
      <c r="R28" s="326">
        <v>3.9289590020879214E-2</v>
      </c>
      <c r="S28" s="323"/>
      <c r="T28" s="529">
        <f t="shared" si="26"/>
        <v>-0.47978027741925333</v>
      </c>
      <c r="U28" s="529">
        <f t="shared" si="27"/>
        <v>-0.26751305616013465</v>
      </c>
    </row>
    <row r="29" spans="1:23" ht="13" customHeight="1">
      <c r="C29" s="329"/>
      <c r="D29" s="329"/>
      <c r="E29" s="329"/>
      <c r="F29" s="329"/>
      <c r="G29" s="329"/>
      <c r="H29" s="329"/>
      <c r="I29" s="329"/>
      <c r="J29" s="329"/>
      <c r="K29" s="329"/>
      <c r="L29" s="329"/>
      <c r="M29" s="329"/>
      <c r="N29" s="329"/>
      <c r="O29" s="329"/>
      <c r="P29" s="329"/>
      <c r="Q29" s="329"/>
      <c r="R29" s="329"/>
      <c r="S29" s="329"/>
      <c r="T29" s="323"/>
      <c r="U29" s="323"/>
    </row>
    <row r="30" spans="1:23" ht="13" customHeight="1">
      <c r="B30" s="24" t="str">
        <f>IF('Summary | Sumário'!D$6=Names!B$3,Names!O24,Names!P24)</f>
        <v>Credit card loan portfolio</v>
      </c>
      <c r="C30" s="272"/>
      <c r="D30" s="272"/>
      <c r="E30" s="272"/>
      <c r="F30" s="272"/>
      <c r="G30" s="272"/>
      <c r="H30" s="272"/>
      <c r="I30" s="272"/>
      <c r="J30" s="272"/>
      <c r="K30" s="272"/>
      <c r="L30" s="272"/>
      <c r="M30" s="272"/>
      <c r="N30" s="272"/>
      <c r="O30" s="272"/>
      <c r="P30" s="272"/>
      <c r="Q30" s="272"/>
      <c r="R30" s="272"/>
      <c r="T30" s="245"/>
      <c r="U30" s="245"/>
    </row>
    <row r="31" spans="1:23" ht="13" customHeight="1">
      <c r="B31" s="428" t="str">
        <f>IF('Summary | Sumário'!D$6=Names!B$3,Names!O25,Names!P25)</f>
        <v>Revolving + overdue</v>
      </c>
      <c r="C31" s="429" t="s">
        <v>832</v>
      </c>
      <c r="D31" s="429" t="s">
        <v>832</v>
      </c>
      <c r="E31" s="429" t="s">
        <v>832</v>
      </c>
      <c r="F31" s="429" t="s">
        <v>832</v>
      </c>
      <c r="G31" s="429" t="s">
        <v>832</v>
      </c>
      <c r="H31" s="429" t="s">
        <v>832</v>
      </c>
      <c r="I31" s="429">
        <v>647603</v>
      </c>
      <c r="J31" s="429">
        <v>794462.4</v>
      </c>
      <c r="K31" s="429">
        <v>931362</v>
      </c>
      <c r="L31" s="429">
        <v>971156</v>
      </c>
      <c r="M31" s="429">
        <v>1075040.5751228977</v>
      </c>
      <c r="N31" s="429">
        <v>1218736.7472333608</v>
      </c>
      <c r="O31" s="429">
        <v>1321095.906</v>
      </c>
      <c r="P31" s="429">
        <v>1324931.0720000002</v>
      </c>
      <c r="Q31" s="429">
        <v>1455576.7368400001</v>
      </c>
      <c r="R31" s="429">
        <v>1434860.0293099999</v>
      </c>
      <c r="S31" s="330"/>
      <c r="T31" s="519">
        <f t="shared" ref="T31:T36" si="28">R31/Q31-1</f>
        <v>-1.4232645387680098E-2</v>
      </c>
      <c r="U31" s="519">
        <f t="shared" ref="U31:U36" si="29">R31/N31-1</f>
        <v>0.17733385209501384</v>
      </c>
      <c r="V31" s="495"/>
      <c r="W31" s="237"/>
    </row>
    <row r="32" spans="1:23" ht="13" customHeight="1">
      <c r="B32" s="89" t="str">
        <f>IF('Summary | Sumário'!D$6=Names!B$3,Names!O26,Names!P26)</f>
        <v>Revolving (1 to 30 days)</v>
      </c>
      <c r="C32" s="331" t="s">
        <v>832</v>
      </c>
      <c r="D32" s="331" t="s">
        <v>832</v>
      </c>
      <c r="E32" s="331" t="s">
        <v>832</v>
      </c>
      <c r="F32" s="331" t="s">
        <v>832</v>
      </c>
      <c r="G32" s="331" t="s">
        <v>832</v>
      </c>
      <c r="H32" s="331" t="s">
        <v>832</v>
      </c>
      <c r="I32" s="331">
        <v>140405</v>
      </c>
      <c r="J32" s="331">
        <v>165496.4</v>
      </c>
      <c r="K32" s="331">
        <v>167329</v>
      </c>
      <c r="L32" s="331">
        <v>149131</v>
      </c>
      <c r="M32" s="331">
        <v>172200.08631999997</v>
      </c>
      <c r="N32" s="331">
        <v>222117.52551000001</v>
      </c>
      <c r="O32" s="331">
        <v>208783.36499999999</v>
      </c>
      <c r="P32" s="331">
        <v>195288.79300000001</v>
      </c>
      <c r="Q32" s="331">
        <v>243111.20063000001</v>
      </c>
      <c r="R32" s="331">
        <v>205429.60673999999</v>
      </c>
      <c r="S32" s="330"/>
      <c r="T32" s="520">
        <f t="shared" si="28"/>
        <v>-0.15499735837901207</v>
      </c>
      <c r="U32" s="520">
        <f t="shared" si="29"/>
        <v>-7.5131031338851795E-2</v>
      </c>
      <c r="V32" s="495"/>
    </row>
    <row r="33" spans="1:24" ht="13" customHeight="1">
      <c r="B33" s="84" t="str">
        <f>IF('Summary | Sumário'!D$6=Names!B$3,Names!O27,Names!P27)</f>
        <v>Overdue &gt; 31 days</v>
      </c>
      <c r="C33" s="330" t="s">
        <v>832</v>
      </c>
      <c r="D33" s="330" t="s">
        <v>832</v>
      </c>
      <c r="E33" s="330" t="s">
        <v>832</v>
      </c>
      <c r="F33" s="330" t="s">
        <v>832</v>
      </c>
      <c r="G33" s="330" t="s">
        <v>832</v>
      </c>
      <c r="H33" s="330" t="s">
        <v>832</v>
      </c>
      <c r="I33" s="330">
        <v>507198</v>
      </c>
      <c r="J33" s="330">
        <v>628966</v>
      </c>
      <c r="K33" s="330">
        <v>764033</v>
      </c>
      <c r="L33" s="330">
        <v>822025</v>
      </c>
      <c r="M33" s="330">
        <v>902840.48880289786</v>
      </c>
      <c r="N33" s="330">
        <v>996619.22172336082</v>
      </c>
      <c r="O33" s="330">
        <v>1112312.541</v>
      </c>
      <c r="P33" s="330">
        <v>1129642.2790000001</v>
      </c>
      <c r="Q33" s="330">
        <v>1212465.53621</v>
      </c>
      <c r="R33" s="330">
        <v>1229430.4225699999</v>
      </c>
      <c r="S33" s="330"/>
      <c r="T33" s="521">
        <f t="shared" si="28"/>
        <v>1.3992056560246491E-2</v>
      </c>
      <c r="U33" s="521">
        <f t="shared" si="29"/>
        <v>0.23360095387690838</v>
      </c>
      <c r="V33" s="495"/>
    </row>
    <row r="34" spans="1:24" ht="13" customHeight="1">
      <c r="B34" s="90" t="str">
        <f>IF('Summary | Sumário'!D$6=Names!B$3,Names!O28,Names!P28)</f>
        <v>Installments with interest</v>
      </c>
      <c r="C34" s="331" t="s">
        <v>832</v>
      </c>
      <c r="D34" s="331" t="s">
        <v>832</v>
      </c>
      <c r="E34" s="331" t="s">
        <v>832</v>
      </c>
      <c r="F34" s="331" t="s">
        <v>832</v>
      </c>
      <c r="G34" s="331" t="s">
        <v>832</v>
      </c>
      <c r="H34" s="331" t="s">
        <v>832</v>
      </c>
      <c r="I34" s="331">
        <v>189041</v>
      </c>
      <c r="J34" s="331">
        <v>289823</v>
      </c>
      <c r="K34" s="331">
        <v>378271</v>
      </c>
      <c r="L34" s="331">
        <v>487611</v>
      </c>
      <c r="M34" s="331">
        <v>517722.8127045774</v>
      </c>
      <c r="N34" s="331">
        <v>558314.02034123032</v>
      </c>
      <c r="O34" s="331">
        <v>590338.44700000004</v>
      </c>
      <c r="P34" s="331">
        <v>646335.32499999995</v>
      </c>
      <c r="Q34" s="331">
        <v>721187.18327000004</v>
      </c>
      <c r="R34" s="331">
        <v>829225.31449999998</v>
      </c>
      <c r="S34" s="330"/>
      <c r="T34" s="520">
        <f t="shared" si="28"/>
        <v>0.14980595015587284</v>
      </c>
      <c r="U34" s="520">
        <f t="shared" si="29"/>
        <v>0.48523104254697769</v>
      </c>
      <c r="V34" s="495"/>
    </row>
    <row r="35" spans="1:24" s="231" customFormat="1" ht="13" customHeight="1">
      <c r="A35" s="229"/>
      <c r="B35" s="85" t="str">
        <f>IF('Summary | Sumário'!D$6=Names!B$3,Names!O29,Names!P29)</f>
        <v>Transactor</v>
      </c>
      <c r="C35" s="330">
        <v>0</v>
      </c>
      <c r="D35" s="330">
        <v>1674430.175</v>
      </c>
      <c r="E35" s="330">
        <v>2094215</v>
      </c>
      <c r="F35" s="330">
        <v>2650205</v>
      </c>
      <c r="G35" s="330">
        <v>3280955</v>
      </c>
      <c r="H35" s="330">
        <v>4122313</v>
      </c>
      <c r="I35" s="330">
        <f>I36-I31-I34</f>
        <v>4479286</v>
      </c>
      <c r="J35" s="330">
        <f t="shared" ref="J35:N35" si="30">J36-J31-J34</f>
        <v>4897121</v>
      </c>
      <c r="K35" s="330">
        <f t="shared" si="30"/>
        <v>5101939</v>
      </c>
      <c r="L35" s="330">
        <f t="shared" si="30"/>
        <v>5411798</v>
      </c>
      <c r="M35" s="330">
        <f t="shared" si="30"/>
        <v>5680268.6121725254</v>
      </c>
      <c r="N35" s="330">
        <f t="shared" si="30"/>
        <v>5903960.2324254084</v>
      </c>
      <c r="O35" s="330">
        <f t="shared" ref="O35" si="31">O36-O31-O34</f>
        <v>6738704.6470000008</v>
      </c>
      <c r="P35" s="330">
        <f>P36-P31-P34</f>
        <v>7490010.6029999992</v>
      </c>
      <c r="Q35" s="330">
        <f>Q36-Q31-Q34</f>
        <v>7935081.2156800013</v>
      </c>
      <c r="R35" s="330">
        <v>8243968.4851799998</v>
      </c>
      <c r="S35" s="330"/>
      <c r="T35" s="521">
        <f t="shared" si="28"/>
        <v>3.8926793703084828E-2</v>
      </c>
      <c r="U35" s="521">
        <f t="shared" si="29"/>
        <v>0.39634553090363411</v>
      </c>
      <c r="V35" s="495"/>
    </row>
    <row r="36" spans="1:24" s="256" customFormat="1" ht="13" customHeight="1">
      <c r="A36" s="325"/>
      <c r="B36" s="430" t="str">
        <f>IF('Summary | Sumário'!D$6=Names!B$3,Names!O30,Names!P30)</f>
        <v>Total credit card loan portfolio</v>
      </c>
      <c r="C36" s="431">
        <f t="shared" ref="C36:P36" si="32">C9</f>
        <v>783544</v>
      </c>
      <c r="D36" s="431">
        <f t="shared" si="32"/>
        <v>1904642</v>
      </c>
      <c r="E36" s="431">
        <f t="shared" si="32"/>
        <v>2404920.48868</v>
      </c>
      <c r="F36" s="431">
        <f t="shared" si="32"/>
        <v>3116734</v>
      </c>
      <c r="G36" s="431">
        <f t="shared" si="32"/>
        <v>3807684</v>
      </c>
      <c r="H36" s="431">
        <f t="shared" si="32"/>
        <v>4798318</v>
      </c>
      <c r="I36" s="431">
        <f t="shared" si="32"/>
        <v>5315930</v>
      </c>
      <c r="J36" s="431">
        <f t="shared" si="32"/>
        <v>5981406.4000000004</v>
      </c>
      <c r="K36" s="431">
        <f t="shared" si="32"/>
        <v>6411572</v>
      </c>
      <c r="L36" s="431">
        <f t="shared" si="32"/>
        <v>6870565</v>
      </c>
      <c r="M36" s="431">
        <f t="shared" si="32"/>
        <v>7273032</v>
      </c>
      <c r="N36" s="431">
        <f t="shared" si="32"/>
        <v>7681011</v>
      </c>
      <c r="O36" s="431">
        <f t="shared" si="32"/>
        <v>8650139</v>
      </c>
      <c r="P36" s="431">
        <f t="shared" si="32"/>
        <v>9461277</v>
      </c>
      <c r="Q36" s="431">
        <f t="shared" ref="Q36" si="33">Q9</f>
        <v>10111845.135790002</v>
      </c>
      <c r="R36" s="431">
        <f>R9</f>
        <v>10508082</v>
      </c>
      <c r="S36" s="511"/>
      <c r="T36" s="437">
        <f t="shared" si="28"/>
        <v>3.9185416596972278E-2</v>
      </c>
      <c r="U36" s="437">
        <f t="shared" si="29"/>
        <v>0.36805975150927406</v>
      </c>
      <c r="V36" s="495"/>
    </row>
    <row r="37" spans="1:24" ht="13" customHeight="1">
      <c r="C37" s="332"/>
      <c r="D37" s="332"/>
      <c r="E37" s="332"/>
      <c r="F37" s="332"/>
      <c r="G37" s="332"/>
      <c r="H37" s="332"/>
      <c r="I37" s="332"/>
      <c r="J37" s="332"/>
      <c r="K37" s="332"/>
      <c r="L37" s="332"/>
      <c r="M37" s="332"/>
      <c r="N37" s="332"/>
      <c r="O37" s="332"/>
      <c r="P37" s="332"/>
      <c r="Q37" s="332"/>
      <c r="R37" s="332"/>
      <c r="S37" s="249"/>
      <c r="T37" s="311"/>
      <c r="U37" s="311"/>
    </row>
    <row r="38" spans="1:24" ht="13" customHeight="1">
      <c r="B38" s="81" t="str">
        <f>IF('Summary | Sumário'!D$6=Names!B$3,Names!O31,Names!P31)</f>
        <v>Interest income</v>
      </c>
      <c r="C38" s="272"/>
      <c r="D38" s="272"/>
      <c r="E38" s="421"/>
      <c r="F38" s="421"/>
      <c r="G38" s="421"/>
      <c r="H38" s="421"/>
      <c r="I38" s="421"/>
      <c r="J38" s="421"/>
      <c r="K38" s="421"/>
      <c r="L38" s="421"/>
      <c r="M38" s="421"/>
      <c r="N38" s="421"/>
      <c r="O38" s="421"/>
      <c r="P38" s="421"/>
      <c r="Q38" s="421"/>
      <c r="R38" s="421"/>
      <c r="S38" s="512"/>
      <c r="T38" s="522"/>
      <c r="U38" s="522"/>
    </row>
    <row r="39" spans="1:24" ht="13" customHeight="1">
      <c r="B39" s="396" t="str">
        <f>IF('Summary | Sumário'!D$6=Names!B$3,Names!O32,Names!P32)</f>
        <v>Interest income</v>
      </c>
      <c r="C39" s="432">
        <v>775515</v>
      </c>
      <c r="D39" s="432">
        <v>942655.89517999999</v>
      </c>
      <c r="E39" s="432">
        <v>289003.935</v>
      </c>
      <c r="F39" s="432">
        <v>305659.75100000005</v>
      </c>
      <c r="G39" s="432">
        <v>367405.88</v>
      </c>
      <c r="H39" s="432">
        <v>473357.68</v>
      </c>
      <c r="I39" s="432">
        <v>521159.63199999993</v>
      </c>
      <c r="J39" s="432">
        <v>622312.6370000001</v>
      </c>
      <c r="K39" s="432">
        <v>788342.73100000003</v>
      </c>
      <c r="L39" s="432">
        <v>870843.08199999994</v>
      </c>
      <c r="M39" s="432">
        <v>1012926.822</v>
      </c>
      <c r="N39" s="432">
        <v>1151105</v>
      </c>
      <c r="O39" s="432">
        <v>1106935.08874</v>
      </c>
      <c r="P39" s="432">
        <v>1278860.08926</v>
      </c>
      <c r="Q39" s="432">
        <v>1217531</v>
      </c>
      <c r="R39" s="432">
        <v>1172415</v>
      </c>
      <c r="S39" s="327"/>
      <c r="T39" s="523">
        <f t="shared" ref="T39" si="34">R39/Q39-1</f>
        <v>-3.7055319330678183E-2</v>
      </c>
      <c r="U39" s="523">
        <f t="shared" ref="U39" si="35">R39/N39-1</f>
        <v>1.8512646543972888E-2</v>
      </c>
    </row>
    <row r="40" spans="1:24" ht="13" customHeight="1">
      <c r="B40" s="23" t="str">
        <f>IF('Summary | Sumário'!D$6=Names!B$3,Names!O33,Names!P33)</f>
        <v>Loans and advances to customers</v>
      </c>
      <c r="C40" s="333">
        <v>635873</v>
      </c>
      <c r="D40" s="333">
        <v>807878.44012000004</v>
      </c>
      <c r="E40" s="333">
        <v>268003.20799999998</v>
      </c>
      <c r="F40" s="333">
        <v>292783.40600000002</v>
      </c>
      <c r="G40" s="333">
        <v>335179.73</v>
      </c>
      <c r="H40" s="333">
        <v>434227.85400000005</v>
      </c>
      <c r="I40" s="333">
        <v>465786.92129999999</v>
      </c>
      <c r="J40" s="333">
        <v>587035.16590000002</v>
      </c>
      <c r="K40" s="333">
        <v>672679.28999000008</v>
      </c>
      <c r="L40" s="333">
        <v>739935.08169999998</v>
      </c>
      <c r="M40" s="333">
        <v>840890.87786000001</v>
      </c>
      <c r="N40" s="333">
        <v>976319.04593000002</v>
      </c>
      <c r="O40" s="333">
        <v>891716.27035000001</v>
      </c>
      <c r="P40" s="333">
        <v>1102861.8058600002</v>
      </c>
      <c r="Q40" s="333">
        <v>1048366</v>
      </c>
      <c r="R40" s="333">
        <v>1017250</v>
      </c>
      <c r="S40" s="327"/>
      <c r="T40" s="522">
        <f t="shared" ref="T40:T66" si="36">R40/Q40-1</f>
        <v>-2.9680474185542094E-2</v>
      </c>
      <c r="U40" s="522">
        <f t="shared" ref="U40:U66" si="37">R40/N40-1</f>
        <v>4.1923748431037522E-2</v>
      </c>
    </row>
    <row r="41" spans="1:24" ht="13" customHeight="1">
      <c r="B41" s="171" t="str">
        <f>IF('Summary | Sumário'!D$6=Names!B$3,Names!O34,Names!P34)</f>
        <v>Real Estate</v>
      </c>
      <c r="C41" s="327">
        <v>0</v>
      </c>
      <c r="D41" s="327">
        <v>435019.64619000006</v>
      </c>
      <c r="E41" s="327">
        <v>139297.851</v>
      </c>
      <c r="F41" s="327">
        <v>136320.81899999999</v>
      </c>
      <c r="G41" s="327">
        <v>141281.71</v>
      </c>
      <c r="H41" s="327">
        <v>162605.88200000001</v>
      </c>
      <c r="I41" s="327">
        <v>163483.92470999999</v>
      </c>
      <c r="J41" s="327">
        <v>208572.24767999997</v>
      </c>
      <c r="K41" s="327">
        <v>169001.99365000005</v>
      </c>
      <c r="L41" s="327">
        <v>172953.25990999999</v>
      </c>
      <c r="M41" s="327">
        <v>220549.84688</v>
      </c>
      <c r="N41" s="327">
        <v>230186.84327000001</v>
      </c>
      <c r="O41" s="327">
        <v>210305.65125</v>
      </c>
      <c r="P41" s="327">
        <v>264857.65859999997</v>
      </c>
      <c r="Q41" s="327">
        <v>296201</v>
      </c>
      <c r="R41" s="327">
        <v>291199</v>
      </c>
      <c r="S41" s="327"/>
      <c r="T41" s="524">
        <f t="shared" si="36"/>
        <v>-1.6887181339698354E-2</v>
      </c>
      <c r="U41" s="524">
        <f t="shared" si="37"/>
        <v>0.26505492609078085</v>
      </c>
    </row>
    <row r="42" spans="1:24" ht="13" customHeight="1">
      <c r="B42" s="172" t="str">
        <f>IF('Summary | Sumário'!D$6=Names!B$3,Names!O35,Names!P35)</f>
        <v>Personal</v>
      </c>
      <c r="C42" s="333">
        <v>0</v>
      </c>
      <c r="D42" s="333">
        <v>194589.16927000001</v>
      </c>
      <c r="E42" s="333">
        <v>63981.644999999997</v>
      </c>
      <c r="F42" s="333">
        <v>73178.934000000008</v>
      </c>
      <c r="G42" s="333">
        <v>85052.814000000013</v>
      </c>
      <c r="H42" s="333">
        <v>97242.27900000001</v>
      </c>
      <c r="I42" s="333">
        <v>108222.83400999999</v>
      </c>
      <c r="J42" s="333">
        <v>133460.16244000001</v>
      </c>
      <c r="K42" s="333">
        <v>159493.41924999998</v>
      </c>
      <c r="L42" s="333">
        <v>182021.28234999996</v>
      </c>
      <c r="M42" s="333">
        <v>223476.20140999998</v>
      </c>
      <c r="N42" s="333">
        <v>318868.07952999993</v>
      </c>
      <c r="O42" s="333">
        <v>215827.96117000002</v>
      </c>
      <c r="P42" s="333">
        <v>359297.75789000001</v>
      </c>
      <c r="Q42" s="333">
        <v>275126</v>
      </c>
      <c r="R42" s="333">
        <v>204785</v>
      </c>
      <c r="S42" s="327"/>
      <c r="T42" s="522">
        <f t="shared" si="36"/>
        <v>-0.2556683119734231</v>
      </c>
      <c r="U42" s="522">
        <f t="shared" si="37"/>
        <v>-0.35777516425649847</v>
      </c>
    </row>
    <row r="43" spans="1:24" ht="13" customHeight="1">
      <c r="B43" s="171" t="str">
        <f>IF('Summary | Sumário'!D$6=Names!B$3,Names!O36,Names!P36)</f>
        <v>SME</v>
      </c>
      <c r="C43" s="327">
        <v>0</v>
      </c>
      <c r="D43" s="327">
        <v>59990.754910000003</v>
      </c>
      <c r="E43" s="327">
        <v>20454.21</v>
      </c>
      <c r="F43" s="327">
        <v>37744.78</v>
      </c>
      <c r="G43" s="327">
        <v>42772.136999999988</v>
      </c>
      <c r="H43" s="327">
        <v>85160.73000000001</v>
      </c>
      <c r="I43" s="327">
        <v>84615.255999999994</v>
      </c>
      <c r="J43" s="327">
        <v>107134.802</v>
      </c>
      <c r="K43" s="327">
        <v>112397.92600000002</v>
      </c>
      <c r="L43" s="327">
        <v>146502.258</v>
      </c>
      <c r="M43" s="327">
        <v>124265.87599999999</v>
      </c>
      <c r="N43" s="327">
        <v>120750</v>
      </c>
      <c r="O43" s="327">
        <v>131787.38165</v>
      </c>
      <c r="P43" s="327">
        <v>145125.74235000001</v>
      </c>
      <c r="Q43" s="327">
        <v>124639</v>
      </c>
      <c r="R43" s="327">
        <v>152218</v>
      </c>
      <c r="S43" s="327"/>
      <c r="T43" s="524">
        <f t="shared" si="36"/>
        <v>0.22127103073676779</v>
      </c>
      <c r="U43" s="524">
        <f t="shared" si="37"/>
        <v>0.26060455486542433</v>
      </c>
    </row>
    <row r="44" spans="1:24" ht="13" customHeight="1">
      <c r="B44" s="172" t="str">
        <f>IF('Summary | Sumário'!D$6=Names!B$3,Names!O37,Names!P37)</f>
        <v>Credit Cards</v>
      </c>
      <c r="C44" s="333">
        <v>0</v>
      </c>
      <c r="D44" s="333">
        <v>118278.86974999998</v>
      </c>
      <c r="E44" s="333">
        <v>44269.502</v>
      </c>
      <c r="F44" s="333">
        <v>45538.873</v>
      </c>
      <c r="G44" s="333">
        <v>66073.068999999989</v>
      </c>
      <c r="H44" s="333">
        <v>89218.963000000018</v>
      </c>
      <c r="I44" s="333">
        <v>109464.90658000001</v>
      </c>
      <c r="J44" s="333">
        <v>137867.95378000001</v>
      </c>
      <c r="K44" s="333">
        <v>231785.95109000002</v>
      </c>
      <c r="L44" s="333">
        <v>238458.28143999999</v>
      </c>
      <c r="M44" s="333">
        <v>272598.95357000001</v>
      </c>
      <c r="N44" s="333">
        <v>306514.12313000002</v>
      </c>
      <c r="O44" s="333">
        <v>333795.27627999999</v>
      </c>
      <c r="P44" s="333">
        <v>333580.64701999992</v>
      </c>
      <c r="Q44" s="333">
        <v>352400</v>
      </c>
      <c r="R44" s="333">
        <v>369048</v>
      </c>
      <c r="S44" s="327"/>
      <c r="T44" s="522">
        <f t="shared" si="36"/>
        <v>4.7241770715096498E-2</v>
      </c>
      <c r="U44" s="522">
        <f t="shared" si="37"/>
        <v>0.20401629860128123</v>
      </c>
    </row>
    <row r="45" spans="1:24" ht="13" customHeight="1">
      <c r="B45" s="199" t="str">
        <f>IF('Summary | Sumário'!D$6=Names!B$3,Names!O45,Names!P45)</f>
        <v>Prepayment of receivables</v>
      </c>
      <c r="C45" s="327">
        <v>0</v>
      </c>
      <c r="D45" s="327">
        <v>793.77571</v>
      </c>
      <c r="E45" s="327">
        <v>2554.556</v>
      </c>
      <c r="F45" s="327">
        <v>2758.1950000000002</v>
      </c>
      <c r="G45" s="327">
        <v>1333.1729999999998</v>
      </c>
      <c r="H45" s="327">
        <v>5894.594000000001</v>
      </c>
      <c r="I45" s="327">
        <v>5242.8329999999996</v>
      </c>
      <c r="J45" s="327">
        <v>17718.065000000002</v>
      </c>
      <c r="K45" s="327">
        <v>32903.998999999996</v>
      </c>
      <c r="L45" s="327">
        <v>45839.381000000008</v>
      </c>
      <c r="M45" s="327">
        <v>64806.196000000004</v>
      </c>
      <c r="N45" s="327">
        <v>59977</v>
      </c>
      <c r="O45" s="327">
        <v>60383</v>
      </c>
      <c r="P45" s="327">
        <v>57276.804000000004</v>
      </c>
      <c r="Q45" s="327">
        <v>59662</v>
      </c>
      <c r="R45" s="327">
        <v>53645</v>
      </c>
      <c r="S45" s="327"/>
      <c r="T45" s="524">
        <f t="shared" si="36"/>
        <v>-0.10085146324293515</v>
      </c>
      <c r="U45" s="524">
        <f t="shared" si="37"/>
        <v>-0.10557380329126165</v>
      </c>
    </row>
    <row r="46" spans="1:24" ht="13" customHeight="1">
      <c r="B46" s="173" t="str">
        <f>IF('Summary | Sumário'!D$6=Names!B$3,Names!O39,Names!P39)</f>
        <v>Amounts due from financial institutions</v>
      </c>
      <c r="C46" s="333">
        <v>139642</v>
      </c>
      <c r="D46" s="333">
        <v>126619</v>
      </c>
      <c r="E46" s="333">
        <v>14427.704</v>
      </c>
      <c r="F46" s="333">
        <v>7946.8799999999992</v>
      </c>
      <c r="G46" s="333">
        <v>24631.656000000003</v>
      </c>
      <c r="H46" s="333">
        <v>24100.197999999997</v>
      </c>
      <c r="I46" s="333">
        <v>30138.153999999999</v>
      </c>
      <c r="J46" s="333">
        <v>31814.657000000003</v>
      </c>
      <c r="K46" s="333">
        <v>78399.862000000008</v>
      </c>
      <c r="L46" s="333">
        <v>80783.765999999989</v>
      </c>
      <c r="M46" s="333">
        <v>97468.479000000007</v>
      </c>
      <c r="N46" s="333">
        <v>114751</v>
      </c>
      <c r="O46" s="333">
        <v>147490</v>
      </c>
      <c r="P46" s="333">
        <v>137344.52100000001</v>
      </c>
      <c r="Q46" s="333">
        <v>117428</v>
      </c>
      <c r="R46" s="333">
        <v>99401</v>
      </c>
      <c r="S46" s="327"/>
      <c r="T46" s="522">
        <f t="shared" si="36"/>
        <v>-0.15351534557345781</v>
      </c>
      <c r="U46" s="522">
        <f t="shared" si="37"/>
        <v>-0.13376789744751683</v>
      </c>
      <c r="V46" s="237"/>
      <c r="W46" s="237"/>
    </row>
    <row r="47" spans="1:24" ht="13" customHeight="1">
      <c r="A47" s="312"/>
      <c r="B47" s="199" t="str">
        <f>IF('Summary | Sumário'!D$6=Names!B$3,Names!O41,Names!P41)</f>
        <v xml:space="preserve">Others </v>
      </c>
      <c r="C47" s="327">
        <v>0</v>
      </c>
      <c r="D47" s="327">
        <v>7364.6793500000003</v>
      </c>
      <c r="E47" s="327">
        <v>4018.4669999999996</v>
      </c>
      <c r="F47" s="327">
        <v>2171.27</v>
      </c>
      <c r="G47" s="327">
        <v>6261.3210000000008</v>
      </c>
      <c r="H47" s="327">
        <v>9135.0339999999997</v>
      </c>
      <c r="I47" s="327">
        <v>19991.723699999999</v>
      </c>
      <c r="J47" s="327">
        <v>-14255.250900000025</v>
      </c>
      <c r="K47" s="327">
        <v>4359.5800100000179</v>
      </c>
      <c r="L47" s="327">
        <v>4284.8532999999989</v>
      </c>
      <c r="M47" s="327">
        <v>9761.2691400000185</v>
      </c>
      <c r="N47" s="327">
        <v>57.954070000036154</v>
      </c>
      <c r="O47" s="327">
        <v>7345.8183899999567</v>
      </c>
      <c r="P47" s="327">
        <v>-18623.041600000011</v>
      </c>
      <c r="Q47" s="327">
        <v>-7926</v>
      </c>
      <c r="R47" s="327">
        <v>2119</v>
      </c>
      <c r="S47" s="327"/>
      <c r="T47" s="524">
        <f t="shared" si="36"/>
        <v>-1.2673479687105729</v>
      </c>
      <c r="U47" s="524">
        <f t="shared" si="37"/>
        <v>35.563437218450368</v>
      </c>
      <c r="V47" s="237"/>
      <c r="W47" s="237"/>
      <c r="X47" s="308"/>
    </row>
    <row r="48" spans="1:24" ht="13" customHeight="1">
      <c r="B48" s="22" t="str">
        <f>IF('Summary | Sumário'!D$6=Names!B$3,Names!O42,Names!P42)</f>
        <v>Interest expenses</v>
      </c>
      <c r="C48" s="333">
        <v>-256717</v>
      </c>
      <c r="D48" s="333">
        <v>-184335</v>
      </c>
      <c r="E48" s="333">
        <v>-65559</v>
      </c>
      <c r="F48" s="333">
        <v>-86261</v>
      </c>
      <c r="G48" s="333">
        <v>-138587</v>
      </c>
      <c r="H48" s="333">
        <v>-252835</v>
      </c>
      <c r="I48" s="333">
        <v>-336771</v>
      </c>
      <c r="J48" s="333">
        <v>-465041</v>
      </c>
      <c r="K48" s="333">
        <v>-579678</v>
      </c>
      <c r="L48" s="333">
        <v>-591360</v>
      </c>
      <c r="M48" s="333">
        <v>-672771</v>
      </c>
      <c r="N48" s="333">
        <v>-692206</v>
      </c>
      <c r="O48" s="333">
        <v>-770398</v>
      </c>
      <c r="P48" s="333">
        <v>-752198.00500000012</v>
      </c>
      <c r="Q48" s="333">
        <v>-762246.89030000009</v>
      </c>
      <c r="R48" s="333">
        <v>-772643</v>
      </c>
      <c r="S48" s="327"/>
      <c r="T48" s="522">
        <f t="shared" si="36"/>
        <v>1.3638769580166077E-2</v>
      </c>
      <c r="U48" s="522">
        <f t="shared" si="37"/>
        <v>0.11620384683172347</v>
      </c>
      <c r="V48" s="237"/>
      <c r="W48" s="237"/>
    </row>
    <row r="49" spans="2:23" ht="13" customHeight="1">
      <c r="B49" s="199" t="str">
        <f>IF('Summary | Sumário'!D$6=Names!B$3,Names!O51,Names!P51)</f>
        <v>Term deposits</v>
      </c>
      <c r="C49" s="327">
        <v>0</v>
      </c>
      <c r="D49" s="327">
        <v>-93319</v>
      </c>
      <c r="E49" s="327">
        <v>-25065.286</v>
      </c>
      <c r="F49" s="327">
        <v>-45288.006000000001</v>
      </c>
      <c r="G49" s="327">
        <v>-78002.811000000016</v>
      </c>
      <c r="H49" s="327">
        <v>-125884.79399999999</v>
      </c>
      <c r="I49" s="327">
        <v>-177604.02900000001</v>
      </c>
      <c r="J49" s="327">
        <v>-239713.47799999997</v>
      </c>
      <c r="K49" s="327">
        <v>-301469.19900000002</v>
      </c>
      <c r="L49" s="327">
        <v>-310030.12600000005</v>
      </c>
      <c r="M49" s="327">
        <v>-354160.50099999999</v>
      </c>
      <c r="N49" s="327">
        <v>-382393</v>
      </c>
      <c r="O49" s="327">
        <v>-448514</v>
      </c>
      <c r="P49" s="327">
        <v>-446402.49900000007</v>
      </c>
      <c r="Q49" s="327">
        <v>-432672.71377999999</v>
      </c>
      <c r="R49" s="327">
        <v>-447291</v>
      </c>
      <c r="S49" s="327"/>
      <c r="T49" s="524">
        <f t="shared" si="36"/>
        <v>3.3786013664436787E-2</v>
      </c>
      <c r="U49" s="524">
        <f t="shared" si="37"/>
        <v>0.16971544981210429</v>
      </c>
      <c r="V49" s="237"/>
      <c r="W49" s="237"/>
    </row>
    <row r="50" spans="2:23" ht="13" customHeight="1">
      <c r="B50" s="173" t="str">
        <f>IF('Summary | Sumário'!D$6=Names!B$3,Names!O52,Names!P52)</f>
        <v>Open market capture</v>
      </c>
      <c r="C50" s="333">
        <v>0</v>
      </c>
      <c r="D50" s="333">
        <v>-73597</v>
      </c>
      <c r="E50" s="333">
        <v>-34710.417999999998</v>
      </c>
      <c r="F50" s="333">
        <v>-35918.767</v>
      </c>
      <c r="G50" s="333">
        <v>-54855.176000000014</v>
      </c>
      <c r="H50" s="333">
        <v>-105762.47</v>
      </c>
      <c r="I50" s="333">
        <v>-137379.93400000001</v>
      </c>
      <c r="J50" s="333">
        <v>-201195.05099999998</v>
      </c>
      <c r="K50" s="333">
        <v>-197029.07000000007</v>
      </c>
      <c r="L50" s="333">
        <v>-224906.96399999992</v>
      </c>
      <c r="M50" s="333">
        <v>-271695.08500000002</v>
      </c>
      <c r="N50" s="333">
        <v>-260418</v>
      </c>
      <c r="O50" s="333">
        <v>-247243</v>
      </c>
      <c r="P50" s="333">
        <v>-237279.91500000004</v>
      </c>
      <c r="Q50" s="333">
        <v>-248176.12664000003</v>
      </c>
      <c r="R50" s="333">
        <v>-238004</v>
      </c>
      <c r="S50" s="327"/>
      <c r="T50" s="522">
        <f t="shared" si="36"/>
        <v>-4.0987530822235496E-2</v>
      </c>
      <c r="U50" s="522">
        <f t="shared" si="37"/>
        <v>-8.6069319325085103E-2</v>
      </c>
      <c r="V50" s="237"/>
      <c r="W50" s="237"/>
    </row>
    <row r="51" spans="2:23" ht="13" customHeight="1">
      <c r="B51" s="199" t="str">
        <f>IF('Summary | Sumário'!D$6=Names!B$3,Names!O53,Names!P53)</f>
        <v>Financial institutions deposits</v>
      </c>
      <c r="C51" s="327">
        <v>0</v>
      </c>
      <c r="D51" s="327">
        <v>-5056</v>
      </c>
      <c r="E51" s="327">
        <v>-217.92599999999999</v>
      </c>
      <c r="F51" s="327">
        <v>-795.05899999999997</v>
      </c>
      <c r="G51" s="327">
        <v>-2778.3970000000004</v>
      </c>
      <c r="H51" s="327">
        <v>-4230.7829999999994</v>
      </c>
      <c r="I51" s="327">
        <v>-3835.453</v>
      </c>
      <c r="J51" s="327">
        <v>-3359.3799999999997</v>
      </c>
      <c r="K51" s="327">
        <v>-7428.7410000000018</v>
      </c>
      <c r="L51" s="327">
        <v>-20845.823999999997</v>
      </c>
      <c r="M51" s="327">
        <v>-22276.928</v>
      </c>
      <c r="N51" s="327">
        <v>-24105</v>
      </c>
      <c r="O51" s="327">
        <v>-42409</v>
      </c>
      <c r="P51" s="327">
        <v>-42229.072</v>
      </c>
      <c r="Q51" s="327">
        <v>-42891.585159999995</v>
      </c>
      <c r="R51" s="327">
        <v>-42552</v>
      </c>
      <c r="S51" s="327"/>
      <c r="T51" s="524">
        <f t="shared" si="36"/>
        <v>-7.9172909728849605E-3</v>
      </c>
      <c r="U51" s="524">
        <f t="shared" si="37"/>
        <v>0.76527691350342253</v>
      </c>
      <c r="V51" s="237"/>
      <c r="W51" s="237"/>
    </row>
    <row r="52" spans="2:23" ht="13" customHeight="1">
      <c r="B52" s="173" t="str">
        <f>IF('Summary | Sumário'!D$6=Names!B$3,Names!O54,Names!P54)</f>
        <v>Savings</v>
      </c>
      <c r="C52" s="333">
        <v>0</v>
      </c>
      <c r="D52" s="333">
        <v>-8745</v>
      </c>
      <c r="E52" s="333">
        <v>-2737.674</v>
      </c>
      <c r="F52" s="333">
        <v>-4166.7550000000001</v>
      </c>
      <c r="G52" s="333">
        <v>-7301.5100000000011</v>
      </c>
      <c r="H52" s="333">
        <v>-11433.834999999999</v>
      </c>
      <c r="I52" s="333">
        <v>-17702.957999999999</v>
      </c>
      <c r="J52" s="333">
        <v>-19864.777000000002</v>
      </c>
      <c r="K52" s="333">
        <v>-21620.343000000001</v>
      </c>
      <c r="L52" s="333">
        <v>-21805.294000000002</v>
      </c>
      <c r="M52" s="333">
        <v>-22812.173999999999</v>
      </c>
      <c r="N52" s="333">
        <v>-22937</v>
      </c>
      <c r="O52" s="333">
        <v>-24012</v>
      </c>
      <c r="P52" s="333">
        <v>-22164.826000000001</v>
      </c>
      <c r="Q52" s="333">
        <v>-23452.67596</v>
      </c>
      <c r="R52" s="333">
        <v>-24599</v>
      </c>
      <c r="S52" s="327"/>
      <c r="T52" s="522">
        <f t="shared" si="36"/>
        <v>4.887817671446637E-2</v>
      </c>
      <c r="U52" s="522">
        <f t="shared" si="37"/>
        <v>7.2459345162837252E-2</v>
      </c>
      <c r="V52" s="237"/>
      <c r="W52" s="237"/>
    </row>
    <row r="53" spans="2:23" ht="13" customHeight="1">
      <c r="B53" s="199" t="str">
        <f>IF('Summary | Sumário'!D$6=Names!B$3,Names!O55,Names!P55)</f>
        <v xml:space="preserve">Others </v>
      </c>
      <c r="C53" s="327">
        <v>0</v>
      </c>
      <c r="D53" s="327">
        <v>7364.6793500000003</v>
      </c>
      <c r="E53" s="327">
        <v>4018.4669999999996</v>
      </c>
      <c r="F53" s="327">
        <v>2171.27</v>
      </c>
      <c r="G53" s="327">
        <v>6261.3210000000008</v>
      </c>
      <c r="H53" s="327">
        <v>9135.0339999999997</v>
      </c>
      <c r="I53" s="327">
        <v>19991.723699999999</v>
      </c>
      <c r="J53" s="327">
        <v>-14255.250900000025</v>
      </c>
      <c r="K53" s="327">
        <v>4359.5800100000179</v>
      </c>
      <c r="L53" s="327">
        <v>4284.8532999999989</v>
      </c>
      <c r="M53" s="327">
        <v>9761.2691400000185</v>
      </c>
      <c r="N53" s="327">
        <v>57.954070000036154</v>
      </c>
      <c r="O53" s="327">
        <v>7345.8183899999567</v>
      </c>
      <c r="P53" s="327">
        <v>-18623.041600000011</v>
      </c>
      <c r="Q53" s="327">
        <v>-7926</v>
      </c>
      <c r="R53" s="327">
        <v>2119</v>
      </c>
      <c r="S53" s="327"/>
      <c r="T53" s="524">
        <f t="shared" si="36"/>
        <v>-1.2673479687105729</v>
      </c>
      <c r="U53" s="524">
        <f t="shared" si="37"/>
        <v>35.563437218450368</v>
      </c>
      <c r="V53" s="237"/>
      <c r="W53" s="237"/>
    </row>
    <row r="54" spans="2:23" ht="13" customHeight="1">
      <c r="B54" s="22" t="str">
        <f>IF('Summary | Sumário'!D$6=Names!B$3,Names!O56,Names!P56)</f>
        <v>Income from securities and derivatives</v>
      </c>
      <c r="C54" s="333">
        <v>66753</v>
      </c>
      <c r="D54" s="333">
        <v>-42358</v>
      </c>
      <c r="E54" s="333">
        <v>68136</v>
      </c>
      <c r="F54" s="333">
        <v>82897</v>
      </c>
      <c r="G54" s="333">
        <v>218551</v>
      </c>
      <c r="H54" s="333">
        <v>327699</v>
      </c>
      <c r="I54" s="333">
        <v>359022</v>
      </c>
      <c r="J54" s="333">
        <v>403816</v>
      </c>
      <c r="K54" s="333">
        <v>346923</v>
      </c>
      <c r="L54" s="333">
        <v>395860</v>
      </c>
      <c r="M54" s="333">
        <v>371406</v>
      </c>
      <c r="N54" s="333">
        <v>343176</v>
      </c>
      <c r="O54" s="333">
        <v>482020</v>
      </c>
      <c r="P54" s="333">
        <v>349233</v>
      </c>
      <c r="Q54" s="333">
        <v>515381</v>
      </c>
      <c r="R54" s="333">
        <v>629896.33208385389</v>
      </c>
      <c r="S54" s="327"/>
      <c r="T54" s="522">
        <f t="shared" si="36"/>
        <v>0.2221954866086524</v>
      </c>
      <c r="U54" s="522">
        <f t="shared" si="37"/>
        <v>0.83549062895964132</v>
      </c>
      <c r="V54" s="237"/>
      <c r="W54" s="237"/>
    </row>
    <row r="55" spans="2:23" ht="13" customHeight="1">
      <c r="B55" s="199" t="str">
        <f>IF('Summary | Sumário'!D$6=Names!B$3,Names!O57,Names!P57)</f>
        <v>Income from securities</v>
      </c>
      <c r="C55" s="327">
        <v>62518</v>
      </c>
      <c r="D55" s="327">
        <v>12060</v>
      </c>
      <c r="E55" s="327">
        <v>88068</v>
      </c>
      <c r="F55" s="327">
        <v>106662</v>
      </c>
      <c r="G55" s="327">
        <v>228420</v>
      </c>
      <c r="H55" s="327">
        <v>322463</v>
      </c>
      <c r="I55" s="327">
        <v>348013</v>
      </c>
      <c r="J55" s="327">
        <v>406846</v>
      </c>
      <c r="K55" s="327">
        <v>340982</v>
      </c>
      <c r="L55" s="327">
        <v>375896</v>
      </c>
      <c r="M55" s="327">
        <v>370924</v>
      </c>
      <c r="N55" s="327">
        <v>402038</v>
      </c>
      <c r="O55" s="327">
        <v>417887</v>
      </c>
      <c r="P55" s="327">
        <v>424259</v>
      </c>
      <c r="Q55" s="327">
        <v>446719</v>
      </c>
      <c r="R55" s="327">
        <v>456585.33208385383</v>
      </c>
      <c r="S55" s="327"/>
      <c r="T55" s="524">
        <f t="shared" si="36"/>
        <v>2.2086215459503178E-2</v>
      </c>
      <c r="U55" s="524">
        <f t="shared" si="37"/>
        <v>0.13567705561129495</v>
      </c>
      <c r="V55" s="237"/>
      <c r="W55" s="237"/>
    </row>
    <row r="56" spans="2:23" ht="13" customHeight="1">
      <c r="B56" s="172" t="str">
        <f>IF('Summary | Sumário'!D$6=Names!B$3,Names!O58,Names!P58)</f>
        <v>Fair value throught other comprehensive income</v>
      </c>
      <c r="C56" s="333">
        <v>49230</v>
      </c>
      <c r="D56" s="333">
        <v>-7110</v>
      </c>
      <c r="E56" s="333">
        <v>82568</v>
      </c>
      <c r="F56" s="333">
        <v>86703</v>
      </c>
      <c r="G56" s="333">
        <v>221395</v>
      </c>
      <c r="H56" s="333">
        <v>269918</v>
      </c>
      <c r="I56" s="333">
        <v>272383</v>
      </c>
      <c r="J56" s="333">
        <v>328769</v>
      </c>
      <c r="K56" s="333">
        <v>217653</v>
      </c>
      <c r="L56" s="333">
        <v>282165</v>
      </c>
      <c r="M56" s="333">
        <v>288695</v>
      </c>
      <c r="N56" s="333">
        <v>295458</v>
      </c>
      <c r="O56" s="333">
        <v>333051</v>
      </c>
      <c r="P56" s="333">
        <v>367590</v>
      </c>
      <c r="Q56" s="333">
        <v>380391.57521807228</v>
      </c>
      <c r="R56" s="333">
        <v>381322</v>
      </c>
      <c r="S56" s="327"/>
      <c r="T56" s="522">
        <f t="shared" si="36"/>
        <v>2.4459657956261704E-3</v>
      </c>
      <c r="U56" s="522">
        <f t="shared" si="37"/>
        <v>0.29061321744545765</v>
      </c>
      <c r="V56" s="237"/>
      <c r="W56" s="237"/>
    </row>
    <row r="57" spans="2:23" ht="13" customHeight="1">
      <c r="B57" s="171" t="str">
        <f>IF('Summary | Sumário'!D$6=Names!B$3,Names!O59,Names!P59)</f>
        <v>Fair value through proft or loss</v>
      </c>
      <c r="C57" s="327">
        <v>10422</v>
      </c>
      <c r="D57" s="327">
        <v>2021</v>
      </c>
      <c r="E57" s="327">
        <v>-320</v>
      </c>
      <c r="F57" s="327">
        <v>8357</v>
      </c>
      <c r="G57" s="327">
        <v>4751</v>
      </c>
      <c r="H57" s="327">
        <v>-71542</v>
      </c>
      <c r="I57" s="327">
        <v>47341</v>
      </c>
      <c r="J57" s="327">
        <v>35635</v>
      </c>
      <c r="K57" s="327">
        <v>45470</v>
      </c>
      <c r="L57" s="327">
        <v>80954</v>
      </c>
      <c r="M57" s="327">
        <v>39277</v>
      </c>
      <c r="N57" s="327">
        <v>55362</v>
      </c>
      <c r="O57" s="327">
        <v>52227</v>
      </c>
      <c r="P57" s="327">
        <v>47384</v>
      </c>
      <c r="Q57" s="327">
        <v>49225.531450000009</v>
      </c>
      <c r="R57" s="327">
        <v>63158</v>
      </c>
      <c r="S57" s="327"/>
      <c r="T57" s="524">
        <f t="shared" si="36"/>
        <v>0.28303338002864753</v>
      </c>
      <c r="U57" s="524">
        <f t="shared" si="37"/>
        <v>0.14081861204436263</v>
      </c>
      <c r="V57" s="237"/>
      <c r="W57" s="237"/>
    </row>
    <row r="58" spans="2:23" ht="13" customHeight="1">
      <c r="B58" s="172" t="str">
        <f>IF('Summary | Sumário'!D$6=Names!B$3,Names!O60,Names!P60)</f>
        <v>Amortized cost</v>
      </c>
      <c r="C58" s="333">
        <v>2866</v>
      </c>
      <c r="D58" s="333">
        <v>17149</v>
      </c>
      <c r="E58" s="333">
        <v>5820</v>
      </c>
      <c r="F58" s="333">
        <v>11602</v>
      </c>
      <c r="G58" s="333">
        <v>2274</v>
      </c>
      <c r="H58" s="333">
        <v>124087</v>
      </c>
      <c r="I58" s="333">
        <v>28289</v>
      </c>
      <c r="J58" s="333">
        <v>42442</v>
      </c>
      <c r="K58" s="333">
        <v>77859</v>
      </c>
      <c r="L58" s="333">
        <v>12777</v>
      </c>
      <c r="M58" s="333">
        <v>42952</v>
      </c>
      <c r="N58" s="333">
        <v>51218</v>
      </c>
      <c r="O58" s="333">
        <v>32609</v>
      </c>
      <c r="P58" s="333">
        <v>9285</v>
      </c>
      <c r="Q58" s="333">
        <v>17100.697370000002</v>
      </c>
      <c r="R58" s="333">
        <v>12105.332083853827</v>
      </c>
      <c r="S58" s="327"/>
      <c r="T58" s="522">
        <f t="shared" si="36"/>
        <v>-0.29211471193622873</v>
      </c>
      <c r="U58" s="522">
        <f t="shared" si="37"/>
        <v>-0.76365082424433151</v>
      </c>
      <c r="V58" s="237"/>
      <c r="W58" s="237"/>
    </row>
    <row r="59" spans="2:23" ht="13" customHeight="1">
      <c r="B59" s="199" t="str">
        <f>IF('Summary | Sumário'!D$6=Names!B$3,Names!O61,Names!P61)</f>
        <v>Income from derivatives</v>
      </c>
      <c r="C59" s="327">
        <v>4235</v>
      </c>
      <c r="D59" s="327">
        <v>-54418</v>
      </c>
      <c r="E59" s="327">
        <v>-19931.596000000001</v>
      </c>
      <c r="F59" s="327">
        <v>-23765.403999999999</v>
      </c>
      <c r="G59" s="327">
        <v>-9869</v>
      </c>
      <c r="H59" s="327">
        <v>5235.6660000000011</v>
      </c>
      <c r="I59" s="327">
        <v>11009.383000000002</v>
      </c>
      <c r="J59" s="327">
        <v>-3030.3259999999991</v>
      </c>
      <c r="K59" s="327">
        <v>5940.7360000000008</v>
      </c>
      <c r="L59" s="327">
        <v>19964.310000000001</v>
      </c>
      <c r="M59" s="327">
        <v>482.30199999999968</v>
      </c>
      <c r="N59" s="327">
        <v>-58862</v>
      </c>
      <c r="O59" s="327">
        <v>64133.019220000024</v>
      </c>
      <c r="P59" s="327">
        <v>-75026.321220000013</v>
      </c>
      <c r="Q59" s="327">
        <v>68661.610820000031</v>
      </c>
      <c r="R59" s="327">
        <v>173311</v>
      </c>
      <c r="S59" s="327"/>
      <c r="T59" s="524">
        <f t="shared" si="36"/>
        <v>1.5241324508733674</v>
      </c>
      <c r="U59" s="524">
        <f t="shared" si="37"/>
        <v>-3.9443613876524752</v>
      </c>
      <c r="V59" s="237"/>
      <c r="W59" s="237"/>
    </row>
    <row r="60" spans="2:23" ht="13" customHeight="1">
      <c r="B60" s="172" t="str">
        <f>IF('Summary | Sumário'!D$6=Names!B$3,Names!O62,Names!P62)</f>
        <v>Future contracts dolar</v>
      </c>
      <c r="C60" s="333">
        <v>0</v>
      </c>
      <c r="D60" s="333">
        <v>80</v>
      </c>
      <c r="E60" s="333">
        <v>47</v>
      </c>
      <c r="F60" s="333">
        <v>-27</v>
      </c>
      <c r="G60" s="333">
        <v>-486</v>
      </c>
      <c r="H60" s="333">
        <v>3305.3969999999999</v>
      </c>
      <c r="I60" s="333">
        <v>26420.572</v>
      </c>
      <c r="J60" s="333">
        <v>431.68600000000151</v>
      </c>
      <c r="K60" s="333">
        <v>3805.4429999999993</v>
      </c>
      <c r="L60" s="333">
        <v>4326.760000000002</v>
      </c>
      <c r="M60" s="333">
        <v>13826.72</v>
      </c>
      <c r="N60" s="333">
        <v>7133</v>
      </c>
      <c r="O60" s="333">
        <v>-2828.2197999999735</v>
      </c>
      <c r="P60" s="333">
        <v>15118.499799999972</v>
      </c>
      <c r="Q60" s="333">
        <v>3594.1129100000003</v>
      </c>
      <c r="R60" s="333">
        <v>-22518</v>
      </c>
      <c r="S60" s="327"/>
      <c r="T60" s="522">
        <f t="shared" si="36"/>
        <v>-7.2652455734897874</v>
      </c>
      <c r="U60" s="522">
        <f t="shared" si="37"/>
        <v>-4.1568764895555868</v>
      </c>
      <c r="V60" s="237"/>
      <c r="W60" s="237"/>
    </row>
    <row r="61" spans="2:23" ht="13" customHeight="1">
      <c r="B61" s="171" t="str">
        <f>IF('Summary | Sumário'!D$6=Names!B$3,Names!O63,Names!P63)</f>
        <v>Fixed-term contracts</v>
      </c>
      <c r="C61" s="327">
        <v>4337</v>
      </c>
      <c r="D61" s="327">
        <v>305</v>
      </c>
      <c r="E61" s="327">
        <v>239.404</v>
      </c>
      <c r="F61" s="327">
        <v>259.596</v>
      </c>
      <c r="G61" s="327">
        <v>165</v>
      </c>
      <c r="H61" s="327">
        <v>8323.2690000000002</v>
      </c>
      <c r="I61" s="327">
        <v>444.61500000000001</v>
      </c>
      <c r="J61" s="327">
        <v>647.42100000000005</v>
      </c>
      <c r="K61" s="327">
        <v>47.963999999999942</v>
      </c>
      <c r="L61" s="327">
        <v>3335.3869999999997</v>
      </c>
      <c r="M61" s="327">
        <v>3045.3519999999999</v>
      </c>
      <c r="N61" s="327">
        <v>-5487</v>
      </c>
      <c r="O61" s="327">
        <v>-824.76097999999956</v>
      </c>
      <c r="P61" s="327">
        <v>821.4089799999997</v>
      </c>
      <c r="Q61" s="327">
        <v>-1212.2091199999995</v>
      </c>
      <c r="R61" s="327">
        <v>15229</v>
      </c>
      <c r="S61" s="327"/>
      <c r="T61" s="524">
        <f t="shared" si="36"/>
        <v>-13.563013879981373</v>
      </c>
      <c r="U61" s="524">
        <f t="shared" si="37"/>
        <v>-3.7754692910515764</v>
      </c>
      <c r="V61" s="237"/>
      <c r="W61" s="237"/>
    </row>
    <row r="62" spans="2:23" ht="13" customHeight="1">
      <c r="B62" s="172" t="str">
        <f>IF('Summary | Sumário'!D$6=Names!B$3,Names!O64,Names!P64)</f>
        <v>Futures contrats and swaps</v>
      </c>
      <c r="C62" s="333">
        <v>-102</v>
      </c>
      <c r="D62" s="333">
        <v>-54803</v>
      </c>
      <c r="E62" s="333">
        <v>-20218</v>
      </c>
      <c r="F62" s="333">
        <v>-23998</v>
      </c>
      <c r="G62" s="333">
        <v>-9548</v>
      </c>
      <c r="H62" s="333">
        <v>-6393</v>
      </c>
      <c r="I62" s="333">
        <v>-15855.804</v>
      </c>
      <c r="J62" s="333">
        <v>-4109.4330000000009</v>
      </c>
      <c r="K62" s="333">
        <v>2087.3290000000015</v>
      </c>
      <c r="L62" s="333">
        <v>12302.163</v>
      </c>
      <c r="M62" s="333">
        <v>-16389.77</v>
      </c>
      <c r="N62" s="333">
        <v>-60508</v>
      </c>
      <c r="O62" s="333">
        <v>67786</v>
      </c>
      <c r="P62" s="333">
        <v>-90966.23</v>
      </c>
      <c r="Q62" s="333">
        <v>66279.707030000034</v>
      </c>
      <c r="R62" s="333">
        <v>180600</v>
      </c>
      <c r="S62" s="327"/>
      <c r="T62" s="522">
        <f t="shared" si="36"/>
        <v>1.7248159065980095</v>
      </c>
      <c r="U62" s="522">
        <f t="shared" si="37"/>
        <v>-3.984729291994447</v>
      </c>
      <c r="V62" s="237"/>
      <c r="W62" s="237"/>
    </row>
    <row r="63" spans="2:23" ht="13" customHeight="1">
      <c r="B63" s="200" t="str">
        <f>IF('Summary | Sumário'!D$6=Names!B$3,Names!O65,Names!P65)</f>
        <v>Hedge accounting real estate loans</v>
      </c>
      <c r="C63" s="334">
        <v>0</v>
      </c>
      <c r="D63" s="327">
        <v>-70972.398829336977</v>
      </c>
      <c r="E63" s="327">
        <v>-16468.116999999998</v>
      </c>
      <c r="F63" s="327">
        <v>-36410.913999999997</v>
      </c>
      <c r="G63" s="327">
        <v>-2915.415</v>
      </c>
      <c r="H63" s="327">
        <v>-17559.793000000001</v>
      </c>
      <c r="I63" s="327">
        <v>-8323.277</v>
      </c>
      <c r="J63" s="327">
        <v>-14497.851000000001</v>
      </c>
      <c r="K63" s="327">
        <v>-8870.1569999999992</v>
      </c>
      <c r="L63" s="327">
        <v>4105.884</v>
      </c>
      <c r="M63" s="327">
        <v>-5114.3909999999996</v>
      </c>
      <c r="N63" s="327">
        <v>6039.93</v>
      </c>
      <c r="O63" s="327">
        <v>6136.5408399999997</v>
      </c>
      <c r="P63" s="327">
        <v>-16501.901250000003</v>
      </c>
      <c r="Q63" s="327">
        <v>26412.795423179959</v>
      </c>
      <c r="R63" s="327">
        <v>67242.322886524373</v>
      </c>
      <c r="S63" s="327"/>
      <c r="T63" s="524">
        <f t="shared" si="36"/>
        <v>1.5458237876446912</v>
      </c>
      <c r="U63" s="524">
        <f t="shared" si="37"/>
        <v>10.132963939403995</v>
      </c>
      <c r="V63" s="237"/>
      <c r="W63" s="237"/>
    </row>
    <row r="64" spans="2:23" ht="13" customHeight="1">
      <c r="B64" s="195" t="str">
        <f>IF('Summary | Sumário'!D$6=Names!B$3,Names!O66,Names!P66)</f>
        <v>Hedge accounting from personal loans</v>
      </c>
      <c r="C64" s="335">
        <v>0</v>
      </c>
      <c r="D64" s="333">
        <v>0</v>
      </c>
      <c r="E64" s="333">
        <v>0</v>
      </c>
      <c r="F64" s="333">
        <v>0</v>
      </c>
      <c r="G64" s="333">
        <v>0</v>
      </c>
      <c r="H64" s="333">
        <v>0</v>
      </c>
      <c r="I64" s="333">
        <v>0</v>
      </c>
      <c r="J64" s="333">
        <v>0</v>
      </c>
      <c r="K64" s="333">
        <v>0</v>
      </c>
      <c r="L64" s="333">
        <v>0</v>
      </c>
      <c r="M64" s="333">
        <v>-14277.970720000001</v>
      </c>
      <c r="N64" s="333">
        <v>-65034.58827</v>
      </c>
      <c r="O64" s="333">
        <v>45457.766470000002</v>
      </c>
      <c r="P64" s="333">
        <v>-70951.081309999994</v>
      </c>
      <c r="Q64" s="333">
        <v>42486.294860000002</v>
      </c>
      <c r="R64" s="333">
        <v>120316.48633000001</v>
      </c>
      <c r="S64" s="327"/>
      <c r="T64" s="522">
        <f t="shared" si="36"/>
        <v>1.8318893592972634</v>
      </c>
      <c r="U64" s="522">
        <f t="shared" si="37"/>
        <v>-2.8500384107990295</v>
      </c>
      <c r="V64" s="237"/>
      <c r="W64" s="237"/>
    </row>
    <row r="65" spans="1:24" ht="13" customHeight="1">
      <c r="B65" s="200" t="str">
        <f>IF('Summary | Sumário'!D$6=Names!B$3,Names!O67,Names!P67)</f>
        <v>Other results</v>
      </c>
      <c r="C65" s="334">
        <v>0</v>
      </c>
      <c r="D65" s="327">
        <v>16169.398829336977</v>
      </c>
      <c r="E65" s="327">
        <v>-3749.8830000000016</v>
      </c>
      <c r="F65" s="327">
        <v>12412.913999999997</v>
      </c>
      <c r="G65" s="327">
        <v>-6632.585</v>
      </c>
      <c r="H65" s="327">
        <v>11166.793000000001</v>
      </c>
      <c r="I65" s="327">
        <v>-7532.527</v>
      </c>
      <c r="J65" s="327">
        <v>10388.418</v>
      </c>
      <c r="K65" s="327">
        <v>10957.486000000001</v>
      </c>
      <c r="L65" s="327">
        <v>8196.2790000000005</v>
      </c>
      <c r="M65" s="327">
        <v>3002.5917200000004</v>
      </c>
      <c r="N65" s="327">
        <v>-1513.3417300000001</v>
      </c>
      <c r="O65" s="327">
        <v>16191.692689999996</v>
      </c>
      <c r="P65" s="327">
        <v>-3513.2474399999919</v>
      </c>
      <c r="Q65" s="327">
        <v>-2619.3832531799271</v>
      </c>
      <c r="R65" s="327">
        <v>-6958.809216524387</v>
      </c>
      <c r="S65" s="327"/>
      <c r="T65" s="524">
        <f t="shared" si="36"/>
        <v>1.6566594285415865</v>
      </c>
      <c r="U65" s="524">
        <f t="shared" si="37"/>
        <v>3.5983065678922275</v>
      </c>
      <c r="V65" s="237"/>
      <c r="W65" s="237"/>
    </row>
    <row r="66" spans="1:24" ht="13" customHeight="1">
      <c r="A66" s="312"/>
      <c r="B66" s="430" t="str">
        <f>IF('Summary | Sumário'!D$6=Names!B$3,Names!O44,Names!P44)</f>
        <v>Net interest income</v>
      </c>
      <c r="C66" s="431">
        <v>585551</v>
      </c>
      <c r="D66" s="431">
        <v>715962.89517999999</v>
      </c>
      <c r="E66" s="431">
        <v>291580.935</v>
      </c>
      <c r="F66" s="431">
        <v>302295.75100000005</v>
      </c>
      <c r="G66" s="431">
        <v>447369.88</v>
      </c>
      <c r="H66" s="431">
        <v>548221.67999999993</v>
      </c>
      <c r="I66" s="431">
        <v>543410.63199999998</v>
      </c>
      <c r="J66" s="431">
        <v>561087.6370000001</v>
      </c>
      <c r="K66" s="431">
        <v>555587.73100000003</v>
      </c>
      <c r="L66" s="431">
        <v>675343.08199999994</v>
      </c>
      <c r="M66" s="431">
        <v>711561.82200000004</v>
      </c>
      <c r="N66" s="431">
        <v>802075</v>
      </c>
      <c r="O66" s="431">
        <v>818557.08874000004</v>
      </c>
      <c r="P66" s="431">
        <v>875895.08425999992</v>
      </c>
      <c r="Q66" s="431">
        <v>970665.10969999991</v>
      </c>
      <c r="R66" s="431">
        <v>1029668.3320838539</v>
      </c>
      <c r="S66" s="511"/>
      <c r="T66" s="437">
        <f t="shared" si="36"/>
        <v>6.0786384298998852E-2</v>
      </c>
      <c r="U66" s="437">
        <f t="shared" si="37"/>
        <v>0.28375567382583156</v>
      </c>
      <c r="V66" s="237"/>
      <c r="W66" s="237"/>
      <c r="X66" s="308"/>
    </row>
    <row r="67" spans="1:24" s="256" customFormat="1" ht="13" customHeight="1">
      <c r="A67" s="325"/>
      <c r="B67" s="26"/>
      <c r="T67" s="525"/>
      <c r="U67" s="525"/>
    </row>
    <row r="68" spans="1:24" s="256" customFormat="1" ht="13" customHeight="1">
      <c r="A68" s="325"/>
      <c r="B68" s="81" t="str">
        <f>IF('Summary | Sumário'!D$6=Names!B$3,Names!O91,Names!P91)</f>
        <v>Interest earning credit portfolio</v>
      </c>
      <c r="C68" s="336"/>
      <c r="D68" s="336"/>
      <c r="E68" s="336"/>
      <c r="F68" s="336"/>
      <c r="G68" s="336"/>
      <c r="H68" s="336"/>
      <c r="I68" s="336"/>
      <c r="J68" s="336"/>
      <c r="K68" s="336"/>
      <c r="L68" s="336"/>
      <c r="M68" s="336"/>
      <c r="N68" s="336"/>
      <c r="O68" s="336"/>
      <c r="P68" s="336"/>
      <c r="Q68" s="336"/>
      <c r="R68" s="336"/>
      <c r="T68" s="526"/>
      <c r="U68" s="526"/>
    </row>
    <row r="69" spans="1:24" s="256" customFormat="1" ht="13" customHeight="1">
      <c r="A69" s="325"/>
      <c r="B69" s="396" t="str">
        <f>IF('Summary | Sumário'!D$6=Names!B$3,Names!O91,Names!P91)</f>
        <v>Interest earning credit portfolio</v>
      </c>
      <c r="C69" s="433">
        <f t="shared" ref="C69:O69" si="38">C70+C71+C73+C72+C76+C77</f>
        <v>0</v>
      </c>
      <c r="D69" s="433">
        <f t="shared" si="38"/>
        <v>7115627.8250000002</v>
      </c>
      <c r="E69" s="433">
        <f t="shared" si="38"/>
        <v>8234470.6262999987</v>
      </c>
      <c r="F69" s="433">
        <f t="shared" si="38"/>
        <v>9948556.0610000007</v>
      </c>
      <c r="G69" s="433">
        <f t="shared" si="38"/>
        <v>11676683.932</v>
      </c>
      <c r="H69" s="433">
        <f t="shared" si="38"/>
        <v>13392153</v>
      </c>
      <c r="I69" s="433">
        <f t="shared" si="38"/>
        <v>14044371.585999999</v>
      </c>
      <c r="J69" s="433">
        <f t="shared" si="38"/>
        <v>14967442.610000001</v>
      </c>
      <c r="K69" s="433">
        <f t="shared" si="38"/>
        <v>16933115</v>
      </c>
      <c r="L69" s="433">
        <f t="shared" si="38"/>
        <v>19132195</v>
      </c>
      <c r="M69" s="433">
        <f t="shared" si="38"/>
        <v>19449029.387827475</v>
      </c>
      <c r="N69" s="433">
        <f t="shared" si="38"/>
        <v>20570399.767574593</v>
      </c>
      <c r="O69" s="433">
        <f t="shared" si="38"/>
        <v>21520038.353</v>
      </c>
      <c r="P69" s="433">
        <f t="shared" ref="P69:Q69" si="39">P70+P71+P73+P72+P76+P77</f>
        <v>23530826.397</v>
      </c>
      <c r="Q69" s="433">
        <f t="shared" si="39"/>
        <v>24208542.316270199</v>
      </c>
      <c r="R69" s="433">
        <f t="shared" ref="R69" si="40">R70+R71+R73+R72+R76+R77</f>
        <v>27430402.931400001</v>
      </c>
      <c r="S69" s="513"/>
      <c r="T69" s="527">
        <f t="shared" ref="T69" si="41">R69/Q69-1</f>
        <v>0.13308775774427528</v>
      </c>
      <c r="U69" s="527">
        <f t="shared" ref="U69" si="42">R69/N69-1</f>
        <v>0.33348905423991448</v>
      </c>
    </row>
    <row r="70" spans="1:24" s="256" customFormat="1" ht="13" customHeight="1">
      <c r="A70" s="325"/>
      <c r="B70" s="173" t="str">
        <f>IF('Summary | Sumário'!D$6=Names!B$3,Names!O92,Names!P92)</f>
        <v>Real estate</v>
      </c>
      <c r="C70" s="317">
        <v>0</v>
      </c>
      <c r="D70" s="317">
        <f t="shared" ref="D70:P70" si="43">D6</f>
        <v>3471356</v>
      </c>
      <c r="E70" s="317">
        <f t="shared" si="43"/>
        <v>3925594.9876600001</v>
      </c>
      <c r="F70" s="317">
        <f t="shared" si="43"/>
        <v>4211173</v>
      </c>
      <c r="G70" s="317">
        <f t="shared" si="43"/>
        <v>4703223</v>
      </c>
      <c r="H70" s="317">
        <f t="shared" si="43"/>
        <v>5121411</v>
      </c>
      <c r="I70" s="317">
        <f t="shared" si="43"/>
        <v>5350879</v>
      </c>
      <c r="J70" s="317">
        <f t="shared" si="43"/>
        <v>5647720</v>
      </c>
      <c r="K70" s="317">
        <f t="shared" si="43"/>
        <v>5930070</v>
      </c>
      <c r="L70" s="317">
        <f t="shared" si="43"/>
        <v>6251813</v>
      </c>
      <c r="M70" s="317">
        <f t="shared" si="43"/>
        <v>6616802</v>
      </c>
      <c r="N70" s="317">
        <f t="shared" si="43"/>
        <v>7020433</v>
      </c>
      <c r="O70" s="317">
        <f t="shared" si="43"/>
        <v>7527810</v>
      </c>
      <c r="P70" s="317">
        <f t="shared" si="43"/>
        <v>8583568</v>
      </c>
      <c r="Q70" s="317">
        <f t="shared" ref="Q70:R70" si="44">Q6</f>
        <v>9124375.4985301998</v>
      </c>
      <c r="R70" s="317">
        <f t="shared" si="44"/>
        <v>9703768</v>
      </c>
      <c r="S70" s="285"/>
      <c r="T70" s="245">
        <f t="shared" ref="T70:T77" si="45">R70/Q70-1</f>
        <v>6.3499414459995851E-2</v>
      </c>
      <c r="U70" s="245">
        <f t="shared" ref="U70:U77" si="46">R70/N70-1</f>
        <v>0.38221787744431146</v>
      </c>
    </row>
    <row r="71" spans="1:24" s="256" customFormat="1" ht="13" customHeight="1">
      <c r="A71" s="325"/>
      <c r="B71" s="199" t="str">
        <f>IF('Summary | Sumário'!D$6=Names!B$3,Names!O93,Names!P93)</f>
        <v>Personal</v>
      </c>
      <c r="C71" s="285">
        <v>0</v>
      </c>
      <c r="D71" s="285">
        <f t="shared" ref="D71:P71" si="47">D7</f>
        <v>1653554</v>
      </c>
      <c r="E71" s="285">
        <f t="shared" si="47"/>
        <v>2123654.0038399999</v>
      </c>
      <c r="F71" s="285">
        <f t="shared" si="47"/>
        <v>2620848</v>
      </c>
      <c r="G71" s="285">
        <f t="shared" si="47"/>
        <v>3100640</v>
      </c>
      <c r="H71" s="285">
        <f t="shared" si="47"/>
        <v>3579283</v>
      </c>
      <c r="I71" s="285">
        <f t="shared" si="47"/>
        <v>3936755</v>
      </c>
      <c r="J71" s="285">
        <f t="shared" si="47"/>
        <v>4460508.5</v>
      </c>
      <c r="K71" s="285">
        <f t="shared" si="47"/>
        <v>5057444</v>
      </c>
      <c r="L71" s="285">
        <f t="shared" si="47"/>
        <v>5463781</v>
      </c>
      <c r="M71" s="285">
        <f t="shared" si="47"/>
        <v>6081266</v>
      </c>
      <c r="N71" s="285">
        <f t="shared" si="47"/>
        <v>6500480</v>
      </c>
      <c r="O71" s="285">
        <f t="shared" si="47"/>
        <v>6663058</v>
      </c>
      <c r="P71" s="285">
        <f t="shared" si="47"/>
        <v>7138744</v>
      </c>
      <c r="Q71" s="285">
        <f t="shared" ref="Q71:R71" si="48">Q7</f>
        <v>7437794.5190500002</v>
      </c>
      <c r="R71" s="285">
        <f t="shared" si="48"/>
        <v>7555457</v>
      </c>
      <c r="S71" s="285"/>
      <c r="T71" s="311">
        <f t="shared" si="45"/>
        <v>1.5819539064791055E-2</v>
      </c>
      <c r="U71" s="311">
        <f t="shared" si="46"/>
        <v>0.16229216919365963</v>
      </c>
    </row>
    <row r="72" spans="1:24" s="256" customFormat="1" ht="13" customHeight="1">
      <c r="A72" s="325"/>
      <c r="B72" s="173" t="str">
        <f>IF('Summary | Sumário'!D$6=Names!B$3,Names!O94,Names!P94)</f>
        <v>SME</v>
      </c>
      <c r="C72" s="317">
        <v>0</v>
      </c>
      <c r="D72" s="317">
        <f t="shared" ref="D72:P72" si="49">D8</f>
        <v>1582869</v>
      </c>
      <c r="E72" s="317">
        <f t="shared" si="49"/>
        <v>1572378.9388100002</v>
      </c>
      <c r="F72" s="317">
        <f t="shared" si="49"/>
        <v>2153921</v>
      </c>
      <c r="G72" s="317">
        <f t="shared" si="49"/>
        <v>2703302</v>
      </c>
      <c r="H72" s="317">
        <f t="shared" si="49"/>
        <v>3017159</v>
      </c>
      <c r="I72" s="317">
        <f t="shared" si="49"/>
        <v>2929546</v>
      </c>
      <c r="J72" s="317">
        <f t="shared" si="49"/>
        <v>2905002.5</v>
      </c>
      <c r="K72" s="317">
        <f t="shared" si="49"/>
        <v>2978792</v>
      </c>
      <c r="L72" s="317">
        <f t="shared" si="49"/>
        <v>3392500</v>
      </c>
      <c r="M72" s="317">
        <f t="shared" si="49"/>
        <v>3110840</v>
      </c>
      <c r="N72" s="317">
        <f t="shared" si="49"/>
        <v>3215316</v>
      </c>
      <c r="O72" s="317">
        <f t="shared" si="49"/>
        <v>3438526</v>
      </c>
      <c r="P72" s="317">
        <f t="shared" si="49"/>
        <v>3855754</v>
      </c>
      <c r="Q72" s="317">
        <f t="shared" ref="Q72:R72" si="50">Q8</f>
        <v>3376688</v>
      </c>
      <c r="R72" s="317">
        <f t="shared" si="50"/>
        <v>4359140</v>
      </c>
      <c r="S72" s="285"/>
      <c r="T72" s="245">
        <f t="shared" si="45"/>
        <v>0.29095137009993222</v>
      </c>
      <c r="U72" s="245">
        <f t="shared" si="46"/>
        <v>0.35574232828126373</v>
      </c>
    </row>
    <row r="73" spans="1:24" s="256" customFormat="1" ht="13" customHeight="1">
      <c r="A73" s="325"/>
      <c r="B73" s="199" t="str">
        <f>IF('Summary | Sumário'!D$6=Names!B$3,Names!O95,Names!P95)</f>
        <v>Interest earning credit card portfolio</v>
      </c>
      <c r="C73" s="285">
        <v>0</v>
      </c>
      <c r="D73" s="285">
        <f>D74-D75</f>
        <v>230211.82499999995</v>
      </c>
      <c r="E73" s="285">
        <f t="shared" ref="E73:O73" si="51">E74-E75</f>
        <v>310705.48867999995</v>
      </c>
      <c r="F73" s="285">
        <f t="shared" si="51"/>
        <v>466529</v>
      </c>
      <c r="G73" s="285">
        <f t="shared" si="51"/>
        <v>526729</v>
      </c>
      <c r="H73" s="285">
        <f t="shared" si="51"/>
        <v>676005</v>
      </c>
      <c r="I73" s="285">
        <f t="shared" si="51"/>
        <v>836644</v>
      </c>
      <c r="J73" s="285">
        <f t="shared" si="51"/>
        <v>1084285.4000000004</v>
      </c>
      <c r="K73" s="285">
        <f t="shared" si="51"/>
        <v>1309633</v>
      </c>
      <c r="L73" s="285">
        <f t="shared" si="51"/>
        <v>1458767</v>
      </c>
      <c r="M73" s="285">
        <f t="shared" si="51"/>
        <v>1592763.3878274746</v>
      </c>
      <c r="N73" s="285">
        <f t="shared" si="51"/>
        <v>1777050.7675745916</v>
      </c>
      <c r="O73" s="285">
        <f t="shared" si="51"/>
        <v>1911434.3529999992</v>
      </c>
      <c r="P73" s="285">
        <f>P74-P75</f>
        <v>1971266.3970000008</v>
      </c>
      <c r="Q73" s="285">
        <f t="shared" ref="Q73" si="52">Q74-Q75</f>
        <v>2176763.9201100003</v>
      </c>
      <c r="R73" s="285">
        <f t="shared" ref="R73" si="53">R74-R75</f>
        <v>2264113.5148200002</v>
      </c>
      <c r="S73" s="285"/>
      <c r="T73" s="311">
        <f t="shared" si="45"/>
        <v>4.0128189328673569E-2</v>
      </c>
      <c r="U73" s="311">
        <f t="shared" si="46"/>
        <v>0.27408488048440871</v>
      </c>
      <c r="X73" s="464"/>
    </row>
    <row r="74" spans="1:24" s="256" customFormat="1" ht="13" customHeight="1">
      <c r="A74" s="325"/>
      <c r="B74" s="196" t="str">
        <f>IF('Summary | Sumário'!D$6=Names!B$3,Names!O96,Names!P96)</f>
        <v>Credit cards</v>
      </c>
      <c r="C74" s="317">
        <v>0</v>
      </c>
      <c r="D74" s="317">
        <f t="shared" ref="D74:P74" si="54">D9</f>
        <v>1904642</v>
      </c>
      <c r="E74" s="317">
        <f t="shared" si="54"/>
        <v>2404920.48868</v>
      </c>
      <c r="F74" s="317">
        <f t="shared" si="54"/>
        <v>3116734</v>
      </c>
      <c r="G74" s="317">
        <f t="shared" si="54"/>
        <v>3807684</v>
      </c>
      <c r="H74" s="317">
        <f t="shared" si="54"/>
        <v>4798318</v>
      </c>
      <c r="I74" s="317">
        <f t="shared" si="54"/>
        <v>5315930</v>
      </c>
      <c r="J74" s="317">
        <f t="shared" si="54"/>
        <v>5981406.4000000004</v>
      </c>
      <c r="K74" s="317">
        <f t="shared" si="54"/>
        <v>6411572</v>
      </c>
      <c r="L74" s="317">
        <f t="shared" si="54"/>
        <v>6870565</v>
      </c>
      <c r="M74" s="317">
        <f t="shared" si="54"/>
        <v>7273032</v>
      </c>
      <c r="N74" s="317">
        <f t="shared" si="54"/>
        <v>7681011</v>
      </c>
      <c r="O74" s="317">
        <f t="shared" si="54"/>
        <v>8650139</v>
      </c>
      <c r="P74" s="317">
        <f t="shared" si="54"/>
        <v>9461277</v>
      </c>
      <c r="Q74" s="317">
        <f t="shared" ref="Q74:R74" si="55">Q9</f>
        <v>10111845.135790002</v>
      </c>
      <c r="R74" s="317">
        <f t="shared" si="55"/>
        <v>10508082</v>
      </c>
      <c r="S74" s="285"/>
      <c r="T74" s="245">
        <f t="shared" si="45"/>
        <v>3.9185416596972278E-2</v>
      </c>
      <c r="U74" s="245">
        <f t="shared" si="46"/>
        <v>0.36805975150927406</v>
      </c>
    </row>
    <row r="75" spans="1:24" s="256" customFormat="1" ht="13" customHeight="1">
      <c r="A75" s="325"/>
      <c r="B75" s="86" t="str">
        <f>IF('Summary | Sumário'!D$6=Names!B$3,Names!O97,Names!P97)</f>
        <v>(-) Transactor</v>
      </c>
      <c r="C75" s="285">
        <f t="shared" ref="C75:O75" si="56">C35</f>
        <v>0</v>
      </c>
      <c r="D75" s="285">
        <f t="shared" si="56"/>
        <v>1674430.175</v>
      </c>
      <c r="E75" s="285">
        <f t="shared" si="56"/>
        <v>2094215</v>
      </c>
      <c r="F75" s="285">
        <f t="shared" si="56"/>
        <v>2650205</v>
      </c>
      <c r="G75" s="285">
        <f t="shared" si="56"/>
        <v>3280955</v>
      </c>
      <c r="H75" s="285">
        <f t="shared" si="56"/>
        <v>4122313</v>
      </c>
      <c r="I75" s="285">
        <f t="shared" si="56"/>
        <v>4479286</v>
      </c>
      <c r="J75" s="285">
        <f t="shared" si="56"/>
        <v>4897121</v>
      </c>
      <c r="K75" s="285">
        <f t="shared" si="56"/>
        <v>5101939</v>
      </c>
      <c r="L75" s="285">
        <f t="shared" si="56"/>
        <v>5411798</v>
      </c>
      <c r="M75" s="285">
        <f t="shared" si="56"/>
        <v>5680268.6121725254</v>
      </c>
      <c r="N75" s="285">
        <f t="shared" si="56"/>
        <v>5903960.2324254084</v>
      </c>
      <c r="O75" s="285">
        <f t="shared" si="56"/>
        <v>6738704.6470000008</v>
      </c>
      <c r="P75" s="285">
        <f t="shared" ref="P75" si="57">P35</f>
        <v>7490010.6029999992</v>
      </c>
      <c r="Q75" s="285">
        <f>Q35</f>
        <v>7935081.2156800013</v>
      </c>
      <c r="R75" s="285">
        <f t="shared" ref="R75" si="58">R35</f>
        <v>8243968.4851799998</v>
      </c>
      <c r="S75" s="285"/>
      <c r="T75" s="311">
        <f t="shared" si="45"/>
        <v>3.8926793703084828E-2</v>
      </c>
      <c r="U75" s="311">
        <f t="shared" si="46"/>
        <v>0.39634553090363411</v>
      </c>
    </row>
    <row r="76" spans="1:24" s="256" customFormat="1" ht="13" customHeight="1">
      <c r="A76" s="325"/>
      <c r="B76" s="173" t="str">
        <f>IF('Summary | Sumário'!D$6=Names!B$3,Names!O98,Names!P98)</f>
        <v>Agribusiness</v>
      </c>
      <c r="C76" s="317">
        <f t="shared" ref="C76:P76" si="59">C10</f>
        <v>0</v>
      </c>
      <c r="D76" s="317">
        <f t="shared" si="59"/>
        <v>177637</v>
      </c>
      <c r="E76" s="317">
        <f t="shared" si="59"/>
        <v>216360.92530999999</v>
      </c>
      <c r="F76" s="317">
        <f t="shared" si="59"/>
        <v>424570</v>
      </c>
      <c r="G76" s="317">
        <f t="shared" si="59"/>
        <v>545234</v>
      </c>
      <c r="H76" s="317">
        <f t="shared" si="59"/>
        <v>700191</v>
      </c>
      <c r="I76" s="317">
        <f t="shared" si="59"/>
        <v>643194</v>
      </c>
      <c r="J76" s="317">
        <f t="shared" si="59"/>
        <v>490009</v>
      </c>
      <c r="K76" s="317">
        <f t="shared" si="59"/>
        <v>627390</v>
      </c>
      <c r="L76" s="317">
        <f t="shared" si="59"/>
        <v>719669</v>
      </c>
      <c r="M76" s="317">
        <f t="shared" si="59"/>
        <v>750934</v>
      </c>
      <c r="N76" s="317">
        <f t="shared" si="59"/>
        <v>724143</v>
      </c>
      <c r="O76" s="317">
        <f t="shared" si="59"/>
        <v>764068</v>
      </c>
      <c r="P76" s="317">
        <f t="shared" si="59"/>
        <v>744958</v>
      </c>
      <c r="Q76" s="317">
        <f t="shared" ref="Q76:R76" si="60">Q10</f>
        <v>807923.72772000008</v>
      </c>
      <c r="R76" s="317">
        <f t="shared" si="60"/>
        <v>845105</v>
      </c>
      <c r="S76" s="285"/>
      <c r="T76" s="245">
        <f t="shared" si="45"/>
        <v>4.6020770283510926E-2</v>
      </c>
      <c r="U76" s="245">
        <f t="shared" si="46"/>
        <v>0.16704159261361351</v>
      </c>
    </row>
    <row r="77" spans="1:24" s="256" customFormat="1" ht="13" customHeight="1">
      <c r="A77" s="325"/>
      <c r="B77" s="199" t="str">
        <f>IF('Summary | Sumário'!D$6=Names!B$3,Names!O99,Names!P99)</f>
        <v>Prepayment of receivables</v>
      </c>
      <c r="C77" s="285">
        <f t="shared" ref="C77:P77" si="61">C11</f>
        <v>0</v>
      </c>
      <c r="D77" s="285">
        <f t="shared" si="61"/>
        <v>0</v>
      </c>
      <c r="E77" s="285">
        <f t="shared" si="61"/>
        <v>85776.282000000007</v>
      </c>
      <c r="F77" s="285">
        <f t="shared" si="61"/>
        <v>71515.061000000002</v>
      </c>
      <c r="G77" s="285">
        <f t="shared" si="61"/>
        <v>97555.932000000001</v>
      </c>
      <c r="H77" s="285">
        <f t="shared" si="61"/>
        <v>298104</v>
      </c>
      <c r="I77" s="285">
        <f t="shared" si="61"/>
        <v>347353.58600000001</v>
      </c>
      <c r="J77" s="285">
        <f t="shared" si="61"/>
        <v>379917.21</v>
      </c>
      <c r="K77" s="285">
        <f t="shared" si="61"/>
        <v>1029786.0000000001</v>
      </c>
      <c r="L77" s="285">
        <f t="shared" si="61"/>
        <v>1845665</v>
      </c>
      <c r="M77" s="285">
        <f t="shared" si="61"/>
        <v>1296424</v>
      </c>
      <c r="N77" s="285">
        <f t="shared" si="61"/>
        <v>1332977</v>
      </c>
      <c r="O77" s="285">
        <f t="shared" si="61"/>
        <v>1215142</v>
      </c>
      <c r="P77" s="285">
        <f t="shared" si="61"/>
        <v>1236536</v>
      </c>
      <c r="Q77" s="285">
        <f t="shared" ref="Q77:R77" si="62">Q11</f>
        <v>1284996.6508599999</v>
      </c>
      <c r="R77" s="285">
        <f t="shared" si="62"/>
        <v>2702819.41658</v>
      </c>
      <c r="S77" s="285"/>
      <c r="T77" s="311">
        <f t="shared" si="45"/>
        <v>1.1033668957589149</v>
      </c>
      <c r="U77" s="311">
        <f t="shared" si="46"/>
        <v>1.0276564536222303</v>
      </c>
    </row>
    <row r="78" spans="1:24" s="256" customFormat="1" ht="13" customHeight="1">
      <c r="A78" s="325"/>
      <c r="B78" s="192"/>
      <c r="C78" s="336"/>
      <c r="D78" s="336"/>
      <c r="E78" s="336"/>
      <c r="F78" s="336"/>
      <c r="G78" s="336"/>
      <c r="H78" s="336"/>
      <c r="I78" s="336"/>
      <c r="J78" s="336"/>
      <c r="K78" s="336"/>
      <c r="L78" s="336"/>
      <c r="M78" s="336"/>
      <c r="N78" s="336"/>
      <c r="O78" s="336"/>
      <c r="P78" s="336"/>
      <c r="Q78" s="336"/>
      <c r="R78" s="336"/>
      <c r="T78" s="526"/>
      <c r="U78" s="526"/>
      <c r="V78" s="465"/>
      <c r="W78" s="465"/>
    </row>
    <row r="79" spans="1:24" ht="13" customHeight="1">
      <c r="A79" s="312"/>
      <c r="B79" s="79" t="str">
        <f>IF('Summary | Sumário'!D$6=Names!B$3,Names!O69,Names!P69)</f>
        <v>Loan interest income including hedge accounting results</v>
      </c>
      <c r="T79" s="311"/>
      <c r="U79" s="311"/>
      <c r="V79" s="237"/>
      <c r="W79" s="237"/>
    </row>
    <row r="80" spans="1:24" ht="13" customHeight="1">
      <c r="B80" s="422" t="str">
        <f>IF('Summary | Sumário'!D$6=Names!B$3,Names!O70,Names!P70)</f>
        <v>Loan interest income including hedge accounting results</v>
      </c>
      <c r="C80" s="423">
        <f t="shared" ref="C80:N80" si="63">C81+C84+C87+C88+C89+C90</f>
        <v>0</v>
      </c>
      <c r="D80" s="423">
        <f t="shared" si="63"/>
        <v>745064.49635066302</v>
      </c>
      <c r="E80" s="423">
        <f t="shared" si="63"/>
        <v>258108.114</v>
      </c>
      <c r="F80" s="423">
        <f t="shared" si="63"/>
        <v>261301.95699999999</v>
      </c>
      <c r="G80" s="423">
        <f t="shared" si="63"/>
        <v>339858.80899999995</v>
      </c>
      <c r="H80" s="423">
        <f t="shared" si="63"/>
        <v>431697.68899999995</v>
      </c>
      <c r="I80" s="423">
        <f t="shared" si="63"/>
        <v>482698.20099999994</v>
      </c>
      <c r="J80" s="423">
        <f t="shared" si="63"/>
        <v>576000.12900000007</v>
      </c>
      <c r="K80" s="423">
        <f t="shared" si="63"/>
        <v>701072.71200000006</v>
      </c>
      <c r="L80" s="423">
        <f t="shared" si="63"/>
        <v>794165.20000000007</v>
      </c>
      <c r="M80" s="423">
        <f t="shared" si="63"/>
        <v>896065.98127999995</v>
      </c>
      <c r="N80" s="423">
        <f t="shared" si="63"/>
        <v>977359.34172999999</v>
      </c>
      <c r="O80" s="423">
        <f>O81+O84+O87+O88+O89+O90</f>
        <v>1011039.39605</v>
      </c>
      <c r="P80" s="423">
        <f>P81+P84+P87+P88+P89+P90</f>
        <v>1054262.5856999997</v>
      </c>
      <c r="Q80" s="423">
        <f>Q81+Q84+Q87+Q88+Q89+Q90</f>
        <v>1169201.0902831801</v>
      </c>
      <c r="R80" s="423">
        <f>R81+R84+R87+R88+R89+R90</f>
        <v>1260572.8092165245</v>
      </c>
      <c r="S80" s="274"/>
      <c r="T80" s="514">
        <f t="shared" ref="T80" si="64">R80/Q80-1</f>
        <v>7.8148848553685646E-2</v>
      </c>
      <c r="U80" s="514">
        <f t="shared" ref="U80" si="65">R80/N80-1</f>
        <v>0.28977414487614683</v>
      </c>
      <c r="V80" s="248"/>
      <c r="W80" s="248"/>
      <c r="X80" s="285"/>
    </row>
    <row r="81" spans="2:23" ht="13" customHeight="1">
      <c r="B81" s="199" t="str">
        <f>IF('Summary | Sumário'!D$6=Names!B$3,Names!O71,Names!P71)</f>
        <v>Real estate net of hedge accounting</v>
      </c>
      <c r="C81" s="327">
        <f>C82+C83</f>
        <v>0</v>
      </c>
      <c r="D81" s="327">
        <f t="shared" ref="D81:O81" si="66">D82+D83</f>
        <v>364047.24736066308</v>
      </c>
      <c r="E81" s="327">
        <f t="shared" si="66"/>
        <v>122829.734</v>
      </c>
      <c r="F81" s="327">
        <f t="shared" si="66"/>
        <v>99909.904999999999</v>
      </c>
      <c r="G81" s="327">
        <f t="shared" si="66"/>
        <v>138366.29499999998</v>
      </c>
      <c r="H81" s="327">
        <f t="shared" si="66"/>
        <v>145046.08900000001</v>
      </c>
      <c r="I81" s="327">
        <f t="shared" si="66"/>
        <v>155160.64770999999</v>
      </c>
      <c r="J81" s="327">
        <f t="shared" si="66"/>
        <v>194074.39667999998</v>
      </c>
      <c r="K81" s="327">
        <f t="shared" si="66"/>
        <v>160131.83665000004</v>
      </c>
      <c r="L81" s="327">
        <f t="shared" si="66"/>
        <v>177059.14390999998</v>
      </c>
      <c r="M81" s="327">
        <f t="shared" si="66"/>
        <v>215435.45587999999</v>
      </c>
      <c r="N81" s="327">
        <f t="shared" si="66"/>
        <v>236226.77327000001</v>
      </c>
      <c r="O81" s="327">
        <f t="shared" si="66"/>
        <v>216442.19209</v>
      </c>
      <c r="P81" s="327">
        <f t="shared" ref="P81:Q81" si="67">P82+P83</f>
        <v>248355.75734999997</v>
      </c>
      <c r="Q81" s="327">
        <f t="shared" si="67"/>
        <v>322613.79542317998</v>
      </c>
      <c r="R81" s="327">
        <f t="shared" ref="R81" si="68">R82+R83</f>
        <v>358441.32288652437</v>
      </c>
      <c r="S81" s="327"/>
      <c r="T81" s="524">
        <f t="shared" ref="T81:T90" si="69">R81/Q81-1</f>
        <v>0.11105392258985258</v>
      </c>
      <c r="U81" s="524">
        <f t="shared" ref="U81:U90" si="70">R81/N81-1</f>
        <v>0.51736112687293434</v>
      </c>
    </row>
    <row r="82" spans="2:23" ht="13" customHeight="1">
      <c r="B82" s="196" t="str">
        <f>IF('Summary | Sumário'!D$6=Names!B$3,Names!O72,Names!P72)</f>
        <v>Real estate</v>
      </c>
      <c r="C82" s="333">
        <f t="shared" ref="C82:O82" si="71">C41</f>
        <v>0</v>
      </c>
      <c r="D82" s="333">
        <f t="shared" si="71"/>
        <v>435019.64619000006</v>
      </c>
      <c r="E82" s="333">
        <f t="shared" si="71"/>
        <v>139297.851</v>
      </c>
      <c r="F82" s="333">
        <f t="shared" si="71"/>
        <v>136320.81899999999</v>
      </c>
      <c r="G82" s="333">
        <f t="shared" si="71"/>
        <v>141281.71</v>
      </c>
      <c r="H82" s="333">
        <f t="shared" si="71"/>
        <v>162605.88200000001</v>
      </c>
      <c r="I82" s="333">
        <f t="shared" si="71"/>
        <v>163483.92470999999</v>
      </c>
      <c r="J82" s="333">
        <f t="shared" si="71"/>
        <v>208572.24767999997</v>
      </c>
      <c r="K82" s="333">
        <f t="shared" si="71"/>
        <v>169001.99365000005</v>
      </c>
      <c r="L82" s="333">
        <f t="shared" si="71"/>
        <v>172953.25990999999</v>
      </c>
      <c r="M82" s="333">
        <f t="shared" si="71"/>
        <v>220549.84688</v>
      </c>
      <c r="N82" s="333">
        <f t="shared" si="71"/>
        <v>230186.84327000001</v>
      </c>
      <c r="O82" s="333">
        <f t="shared" si="71"/>
        <v>210305.65125</v>
      </c>
      <c r="P82" s="333">
        <f t="shared" ref="P82:Q82" si="72">P41</f>
        <v>264857.65859999997</v>
      </c>
      <c r="Q82" s="333">
        <f t="shared" si="72"/>
        <v>296201</v>
      </c>
      <c r="R82" s="333">
        <f t="shared" ref="R82" si="73">R41</f>
        <v>291199</v>
      </c>
      <c r="S82" s="327"/>
      <c r="T82" s="522">
        <f t="shared" si="69"/>
        <v>-1.6887181339698354E-2</v>
      </c>
      <c r="U82" s="522">
        <f t="shared" si="70"/>
        <v>0.26505492609078085</v>
      </c>
      <c r="W82" s="285"/>
    </row>
    <row r="83" spans="2:23" ht="13" customHeight="1">
      <c r="B83" s="86" t="str">
        <f>IF('Summary | Sumário'!D$6=Names!B$3,Names!O73,Names!P73)</f>
        <v>(+) Hedge accounting from real estate loans</v>
      </c>
      <c r="C83" s="327">
        <f t="shared" ref="C83:O83" si="74">C63</f>
        <v>0</v>
      </c>
      <c r="D83" s="327">
        <f t="shared" si="74"/>
        <v>-70972.398829336977</v>
      </c>
      <c r="E83" s="327">
        <f t="shared" si="74"/>
        <v>-16468.116999999998</v>
      </c>
      <c r="F83" s="327">
        <f t="shared" si="74"/>
        <v>-36410.913999999997</v>
      </c>
      <c r="G83" s="327">
        <f t="shared" si="74"/>
        <v>-2915.415</v>
      </c>
      <c r="H83" s="327">
        <f t="shared" si="74"/>
        <v>-17559.793000000001</v>
      </c>
      <c r="I83" s="327">
        <f t="shared" si="74"/>
        <v>-8323.277</v>
      </c>
      <c r="J83" s="327">
        <f t="shared" si="74"/>
        <v>-14497.851000000001</v>
      </c>
      <c r="K83" s="327">
        <f t="shared" si="74"/>
        <v>-8870.1569999999992</v>
      </c>
      <c r="L83" s="327">
        <f t="shared" si="74"/>
        <v>4105.884</v>
      </c>
      <c r="M83" s="327">
        <f t="shared" si="74"/>
        <v>-5114.3909999999996</v>
      </c>
      <c r="N83" s="327">
        <f t="shared" si="74"/>
        <v>6039.93</v>
      </c>
      <c r="O83" s="327">
        <f t="shared" si="74"/>
        <v>6136.5408399999997</v>
      </c>
      <c r="P83" s="327">
        <f t="shared" ref="P83:Q83" si="75">P63</f>
        <v>-16501.901250000003</v>
      </c>
      <c r="Q83" s="327">
        <f t="shared" si="75"/>
        <v>26412.795423179959</v>
      </c>
      <c r="R83" s="327">
        <f t="shared" ref="R83" si="76">R63</f>
        <v>67242.322886524373</v>
      </c>
      <c r="S83" s="327"/>
      <c r="T83" s="524">
        <f t="shared" si="69"/>
        <v>1.5458237876446912</v>
      </c>
      <c r="U83" s="524">
        <f t="shared" si="70"/>
        <v>10.132963939403995</v>
      </c>
    </row>
    <row r="84" spans="2:23" ht="13" customHeight="1">
      <c r="B84" s="173" t="str">
        <f>IF('Summary | Sumário'!D$6=Names!B$3,Names!O74,Names!P74)</f>
        <v>Personal net of hedge accounting</v>
      </c>
      <c r="C84" s="333">
        <f>C85+C86</f>
        <v>0</v>
      </c>
      <c r="D84" s="333">
        <f t="shared" ref="D84:O84" si="77">D85+D86</f>
        <v>194589.16927000001</v>
      </c>
      <c r="E84" s="333">
        <f t="shared" si="77"/>
        <v>63981.644999999997</v>
      </c>
      <c r="F84" s="333">
        <f t="shared" si="77"/>
        <v>73178.934000000008</v>
      </c>
      <c r="G84" s="333">
        <f t="shared" si="77"/>
        <v>85052.814000000013</v>
      </c>
      <c r="H84" s="333">
        <f t="shared" si="77"/>
        <v>97242.27900000001</v>
      </c>
      <c r="I84" s="333">
        <f t="shared" si="77"/>
        <v>108222.83400999999</v>
      </c>
      <c r="J84" s="333">
        <f t="shared" si="77"/>
        <v>133460.16244000001</v>
      </c>
      <c r="K84" s="333">
        <f t="shared" si="77"/>
        <v>159493.41924999998</v>
      </c>
      <c r="L84" s="333">
        <f t="shared" si="77"/>
        <v>182021.28234999996</v>
      </c>
      <c r="M84" s="333">
        <f t="shared" si="77"/>
        <v>209198.23068999997</v>
      </c>
      <c r="N84" s="333">
        <f t="shared" si="77"/>
        <v>253833.49125999992</v>
      </c>
      <c r="O84" s="333">
        <f t="shared" si="77"/>
        <v>261285.72764000003</v>
      </c>
      <c r="P84" s="333">
        <f t="shared" ref="P84:Q84" si="78">P85+P86</f>
        <v>288346.67658000003</v>
      </c>
      <c r="Q84" s="333">
        <f t="shared" si="78"/>
        <v>317612.29486000002</v>
      </c>
      <c r="R84" s="333">
        <f t="shared" ref="R84" si="79">R85+R86</f>
        <v>325101.48632999999</v>
      </c>
      <c r="S84" s="327"/>
      <c r="T84" s="522">
        <f t="shared" si="69"/>
        <v>2.357966486562213E-2</v>
      </c>
      <c r="U84" s="522">
        <f t="shared" si="70"/>
        <v>0.2807667133136531</v>
      </c>
    </row>
    <row r="85" spans="2:23" ht="13" customHeight="1">
      <c r="B85" s="86" t="str">
        <f>IF('Summary | Sumário'!D$6=Names!B$3,Names!O75,Names!P75)</f>
        <v>Personal</v>
      </c>
      <c r="C85" s="327">
        <f t="shared" ref="C85:O85" si="80">C42</f>
        <v>0</v>
      </c>
      <c r="D85" s="327">
        <f t="shared" si="80"/>
        <v>194589.16927000001</v>
      </c>
      <c r="E85" s="327">
        <f t="shared" si="80"/>
        <v>63981.644999999997</v>
      </c>
      <c r="F85" s="327">
        <f t="shared" si="80"/>
        <v>73178.934000000008</v>
      </c>
      <c r="G85" s="327">
        <f t="shared" si="80"/>
        <v>85052.814000000013</v>
      </c>
      <c r="H85" s="327">
        <f t="shared" si="80"/>
        <v>97242.27900000001</v>
      </c>
      <c r="I85" s="327">
        <f t="shared" si="80"/>
        <v>108222.83400999999</v>
      </c>
      <c r="J85" s="327">
        <f t="shared" si="80"/>
        <v>133460.16244000001</v>
      </c>
      <c r="K85" s="327">
        <f t="shared" si="80"/>
        <v>159493.41924999998</v>
      </c>
      <c r="L85" s="327">
        <f t="shared" si="80"/>
        <v>182021.28234999996</v>
      </c>
      <c r="M85" s="327">
        <f t="shared" si="80"/>
        <v>223476.20140999998</v>
      </c>
      <c r="N85" s="327">
        <f t="shared" si="80"/>
        <v>318868.07952999993</v>
      </c>
      <c r="O85" s="327">
        <f t="shared" si="80"/>
        <v>215827.96117000002</v>
      </c>
      <c r="P85" s="327">
        <f t="shared" ref="P85:Q85" si="81">P42</f>
        <v>359297.75789000001</v>
      </c>
      <c r="Q85" s="327">
        <f t="shared" si="81"/>
        <v>275126</v>
      </c>
      <c r="R85" s="327">
        <f t="shared" ref="R85" si="82">R42</f>
        <v>204785</v>
      </c>
      <c r="S85" s="327"/>
      <c r="T85" s="524">
        <f t="shared" si="69"/>
        <v>-0.2556683119734231</v>
      </c>
      <c r="U85" s="524">
        <f t="shared" si="70"/>
        <v>-0.35777516425649847</v>
      </c>
    </row>
    <row r="86" spans="2:23" ht="13" customHeight="1">
      <c r="B86" s="196" t="str">
        <f>IF('Summary | Sumário'!D$6=Names!B$3,Names!O76,Names!P76)</f>
        <v>(+) Hedge accounting from personal loans</v>
      </c>
      <c r="C86" s="333">
        <f>C64</f>
        <v>0</v>
      </c>
      <c r="D86" s="333">
        <f t="shared" ref="D86:O86" si="83">D64</f>
        <v>0</v>
      </c>
      <c r="E86" s="333">
        <f t="shared" si="83"/>
        <v>0</v>
      </c>
      <c r="F86" s="333">
        <f t="shared" si="83"/>
        <v>0</v>
      </c>
      <c r="G86" s="333">
        <f t="shared" si="83"/>
        <v>0</v>
      </c>
      <c r="H86" s="333">
        <f t="shared" si="83"/>
        <v>0</v>
      </c>
      <c r="I86" s="333">
        <f t="shared" si="83"/>
        <v>0</v>
      </c>
      <c r="J86" s="333">
        <f t="shared" si="83"/>
        <v>0</v>
      </c>
      <c r="K86" s="333">
        <f t="shared" si="83"/>
        <v>0</v>
      </c>
      <c r="L86" s="333">
        <f t="shared" si="83"/>
        <v>0</v>
      </c>
      <c r="M86" s="333">
        <f t="shared" si="83"/>
        <v>-14277.970720000001</v>
      </c>
      <c r="N86" s="333">
        <f t="shared" si="83"/>
        <v>-65034.58827</v>
      </c>
      <c r="O86" s="333">
        <f t="shared" si="83"/>
        <v>45457.766470000002</v>
      </c>
      <c r="P86" s="333">
        <f t="shared" ref="P86:Q86" si="84">P64</f>
        <v>-70951.081309999994</v>
      </c>
      <c r="Q86" s="333">
        <f t="shared" si="84"/>
        <v>42486.294860000002</v>
      </c>
      <c r="R86" s="333">
        <f t="shared" ref="R86" si="85">R64</f>
        <v>120316.48633000001</v>
      </c>
      <c r="S86" s="327"/>
      <c r="T86" s="522">
        <f t="shared" si="69"/>
        <v>1.8318893592972634</v>
      </c>
      <c r="U86" s="522">
        <f t="shared" si="70"/>
        <v>-2.8500384107990295</v>
      </c>
    </row>
    <row r="87" spans="2:23" ht="13" customHeight="1">
      <c r="B87" s="199" t="str">
        <f>IF('Summary | Sumário'!D$6=Names!B$3,Names!O77,Names!P77)</f>
        <v>SME</v>
      </c>
      <c r="C87" s="327">
        <f t="shared" ref="C87:O87" si="86">C43</f>
        <v>0</v>
      </c>
      <c r="D87" s="327">
        <f t="shared" si="86"/>
        <v>59990.754910000003</v>
      </c>
      <c r="E87" s="327">
        <f t="shared" si="86"/>
        <v>20454.21</v>
      </c>
      <c r="F87" s="327">
        <f t="shared" si="86"/>
        <v>37744.78</v>
      </c>
      <c r="G87" s="327">
        <f t="shared" si="86"/>
        <v>42772.136999999988</v>
      </c>
      <c r="H87" s="327">
        <f t="shared" si="86"/>
        <v>85160.73000000001</v>
      </c>
      <c r="I87" s="327">
        <f t="shared" si="86"/>
        <v>84615.255999999994</v>
      </c>
      <c r="J87" s="327">
        <f t="shared" si="86"/>
        <v>107134.802</v>
      </c>
      <c r="K87" s="327">
        <f t="shared" si="86"/>
        <v>112397.92600000002</v>
      </c>
      <c r="L87" s="327">
        <f t="shared" si="86"/>
        <v>146502.258</v>
      </c>
      <c r="M87" s="327">
        <f t="shared" si="86"/>
        <v>124265.87599999999</v>
      </c>
      <c r="N87" s="327">
        <f t="shared" si="86"/>
        <v>120750</v>
      </c>
      <c r="O87" s="327">
        <f t="shared" si="86"/>
        <v>131787.38165</v>
      </c>
      <c r="P87" s="327">
        <f>P43+200</f>
        <v>145325.74235000001</v>
      </c>
      <c r="Q87" s="327">
        <f>Q43+200</f>
        <v>124839</v>
      </c>
      <c r="R87" s="327">
        <f>R43</f>
        <v>152218</v>
      </c>
      <c r="S87" s="327"/>
      <c r="T87" s="524">
        <f t="shared" si="69"/>
        <v>0.21931447704643592</v>
      </c>
      <c r="U87" s="524">
        <f t="shared" si="70"/>
        <v>0.26060455486542433</v>
      </c>
    </row>
    <row r="88" spans="2:23" ht="13" customHeight="1">
      <c r="B88" s="173" t="str">
        <f>IF('Summary | Sumário'!D$6=Names!B$3,Names!O78,Names!P78)</f>
        <v>Credit Cards</v>
      </c>
      <c r="C88" s="333">
        <f t="shared" ref="C88:O88" si="87">C44</f>
        <v>0</v>
      </c>
      <c r="D88" s="333">
        <f t="shared" si="87"/>
        <v>118278.86974999998</v>
      </c>
      <c r="E88" s="333">
        <f t="shared" si="87"/>
        <v>44269.502</v>
      </c>
      <c r="F88" s="333">
        <f t="shared" si="87"/>
        <v>45538.873</v>
      </c>
      <c r="G88" s="333">
        <f t="shared" si="87"/>
        <v>66073.068999999989</v>
      </c>
      <c r="H88" s="333">
        <f t="shared" si="87"/>
        <v>89218.963000000018</v>
      </c>
      <c r="I88" s="333">
        <f t="shared" si="87"/>
        <v>109464.90658000001</v>
      </c>
      <c r="J88" s="333">
        <f t="shared" si="87"/>
        <v>137867.95378000001</v>
      </c>
      <c r="K88" s="333">
        <f t="shared" si="87"/>
        <v>231785.95109000002</v>
      </c>
      <c r="L88" s="333">
        <f t="shared" si="87"/>
        <v>238458.28143999999</v>
      </c>
      <c r="M88" s="333">
        <f t="shared" si="87"/>
        <v>272598.95357000001</v>
      </c>
      <c r="N88" s="333">
        <f t="shared" si="87"/>
        <v>306514.12313000002</v>
      </c>
      <c r="O88" s="333">
        <f t="shared" si="87"/>
        <v>333795.27627999999</v>
      </c>
      <c r="P88" s="333">
        <f>P44</f>
        <v>333580.64701999992</v>
      </c>
      <c r="Q88" s="333">
        <f>Q44</f>
        <v>352400</v>
      </c>
      <c r="R88" s="333">
        <f>R44</f>
        <v>369048</v>
      </c>
      <c r="S88" s="327"/>
      <c r="T88" s="522">
        <f t="shared" si="69"/>
        <v>4.7241770715096498E-2</v>
      </c>
      <c r="U88" s="522">
        <f t="shared" si="70"/>
        <v>0.20401629860128123</v>
      </c>
    </row>
    <row r="89" spans="2:23" ht="13" customHeight="1">
      <c r="B89" s="199" t="str">
        <f>IF('Summary | Sumário'!D$6=Names!B$3,Names!O80,Names!P80)</f>
        <v>Prepayment of receivables</v>
      </c>
      <c r="C89" s="327">
        <f t="shared" ref="C89:O89" si="88">C45</f>
        <v>0</v>
      </c>
      <c r="D89" s="327">
        <f t="shared" si="88"/>
        <v>793.77571</v>
      </c>
      <c r="E89" s="327">
        <f t="shared" si="88"/>
        <v>2554.556</v>
      </c>
      <c r="F89" s="327">
        <f t="shared" si="88"/>
        <v>2758.1950000000002</v>
      </c>
      <c r="G89" s="327">
        <f t="shared" si="88"/>
        <v>1333.1729999999998</v>
      </c>
      <c r="H89" s="327">
        <f t="shared" si="88"/>
        <v>5894.594000000001</v>
      </c>
      <c r="I89" s="327">
        <f t="shared" si="88"/>
        <v>5242.8329999999996</v>
      </c>
      <c r="J89" s="327">
        <f t="shared" si="88"/>
        <v>17718.065000000002</v>
      </c>
      <c r="K89" s="327">
        <f t="shared" si="88"/>
        <v>32903.998999999996</v>
      </c>
      <c r="L89" s="327">
        <f t="shared" si="88"/>
        <v>45839.381000000008</v>
      </c>
      <c r="M89" s="327">
        <f t="shared" si="88"/>
        <v>64806.196000000004</v>
      </c>
      <c r="N89" s="327">
        <f t="shared" si="88"/>
        <v>59977</v>
      </c>
      <c r="O89" s="327">
        <f t="shared" si="88"/>
        <v>60383</v>
      </c>
      <c r="P89" s="327">
        <f t="shared" ref="P89:Q89" si="89">P45</f>
        <v>57276.804000000004</v>
      </c>
      <c r="Q89" s="327">
        <f t="shared" si="89"/>
        <v>59662</v>
      </c>
      <c r="R89" s="327">
        <f t="shared" ref="R89" si="90">R45</f>
        <v>53645</v>
      </c>
      <c r="S89" s="327"/>
      <c r="T89" s="524">
        <f t="shared" si="69"/>
        <v>-0.10085146324293515</v>
      </c>
      <c r="U89" s="524">
        <f t="shared" si="70"/>
        <v>-0.10557380329126165</v>
      </c>
    </row>
    <row r="90" spans="2:23" ht="14" customHeight="1">
      <c r="B90" s="173" t="str">
        <f>IF('Summary | Sumário'!D$6=Names!B$3,Names!O41,Names!P41)</f>
        <v xml:space="preserve">Others </v>
      </c>
      <c r="C90" s="333">
        <f>C47</f>
        <v>0</v>
      </c>
      <c r="D90" s="333">
        <f t="shared" ref="D90:O90" si="91">D47</f>
        <v>7364.6793500000003</v>
      </c>
      <c r="E90" s="333">
        <f t="shared" si="91"/>
        <v>4018.4669999999996</v>
      </c>
      <c r="F90" s="333">
        <f t="shared" si="91"/>
        <v>2171.27</v>
      </c>
      <c r="G90" s="333">
        <f t="shared" si="91"/>
        <v>6261.3210000000008</v>
      </c>
      <c r="H90" s="333">
        <f t="shared" si="91"/>
        <v>9135.0339999999997</v>
      </c>
      <c r="I90" s="333">
        <f t="shared" si="91"/>
        <v>19991.723699999999</v>
      </c>
      <c r="J90" s="333">
        <f t="shared" si="91"/>
        <v>-14255.250900000025</v>
      </c>
      <c r="K90" s="333">
        <f t="shared" si="91"/>
        <v>4359.5800100000179</v>
      </c>
      <c r="L90" s="333">
        <f t="shared" si="91"/>
        <v>4284.8532999999989</v>
      </c>
      <c r="M90" s="333">
        <f t="shared" si="91"/>
        <v>9761.2691400000185</v>
      </c>
      <c r="N90" s="333">
        <f t="shared" si="91"/>
        <v>57.954070000036154</v>
      </c>
      <c r="O90" s="333">
        <f t="shared" si="91"/>
        <v>7345.8183899999567</v>
      </c>
      <c r="P90" s="333">
        <f t="shared" ref="P90:Q90" si="92">P47</f>
        <v>-18623.041600000011</v>
      </c>
      <c r="Q90" s="333">
        <f t="shared" si="92"/>
        <v>-7926</v>
      </c>
      <c r="R90" s="333">
        <f t="shared" ref="R90" si="93">R47</f>
        <v>2119</v>
      </c>
      <c r="S90" s="327"/>
      <c r="T90" s="522">
        <f t="shared" si="69"/>
        <v>-1.2673479687105729</v>
      </c>
      <c r="U90" s="522">
        <f t="shared" si="70"/>
        <v>35.563437218450368</v>
      </c>
    </row>
    <row r="91" spans="2:23" ht="13" customHeight="1">
      <c r="T91" s="311"/>
      <c r="U91" s="311"/>
    </row>
    <row r="92" spans="2:23" ht="13" customHeight="1">
      <c r="B92" s="81" t="str">
        <f>IF('Summary | Sumário'!D$6=Names!B$3,Names!O82,Names!P82)</f>
        <v>Implied rates</v>
      </c>
      <c r="C92" s="272"/>
      <c r="D92" s="272"/>
      <c r="E92" s="272"/>
      <c r="F92" s="272"/>
      <c r="G92" s="272"/>
      <c r="H92" s="272"/>
      <c r="I92" s="272"/>
      <c r="J92" s="272"/>
      <c r="K92" s="272"/>
      <c r="L92" s="272"/>
      <c r="M92" s="272"/>
      <c r="N92" s="272"/>
      <c r="O92" s="272"/>
      <c r="P92" s="272"/>
      <c r="Q92" s="272"/>
      <c r="R92" s="272"/>
      <c r="T92" s="245"/>
      <c r="U92" s="245"/>
    </row>
    <row r="93" spans="2:23" ht="13" customHeight="1">
      <c r="B93" s="425" t="str">
        <f>IF('Summary | Sumário'!D$6=Names!B$3,Names!O83,Names!P83)</f>
        <v>All-in rate (%)</v>
      </c>
      <c r="C93" s="432">
        <v>0</v>
      </c>
      <c r="D93" s="434">
        <f>((D80/AVERAGE(D69)))</f>
        <v>0.1047081880439219</v>
      </c>
      <c r="E93" s="434">
        <f t="shared" ref="E93:Q93" si="94">((E80/AVERAGE(D69:E69)+1)^4)-1</f>
        <v>0.14145709739371348</v>
      </c>
      <c r="F93" s="434">
        <f t="shared" si="94"/>
        <v>0.12001724608674325</v>
      </c>
      <c r="G93" s="434">
        <f t="shared" si="94"/>
        <v>0.13177960977619052</v>
      </c>
      <c r="H93" s="434">
        <f t="shared" si="94"/>
        <v>0.14504583836768137</v>
      </c>
      <c r="I93" s="434">
        <f t="shared" si="94"/>
        <v>0.14835051044173042</v>
      </c>
      <c r="J93" s="434">
        <f t="shared" si="94"/>
        <v>0.16854513879351618</v>
      </c>
      <c r="K93" s="434">
        <f t="shared" si="94"/>
        <v>0.18774945856548442</v>
      </c>
      <c r="L93" s="434">
        <f t="shared" si="94"/>
        <v>0.18814434315369089</v>
      </c>
      <c r="M93" s="434">
        <f t="shared" si="94"/>
        <v>0.19915520287433885</v>
      </c>
      <c r="N93" s="434">
        <f t="shared" si="94"/>
        <v>0.21016334238648682</v>
      </c>
      <c r="O93" s="434">
        <f t="shared" si="94"/>
        <v>0.20646177392715148</v>
      </c>
      <c r="P93" s="434">
        <f t="shared" si="94"/>
        <v>0.20077098751189482</v>
      </c>
      <c r="Q93" s="434">
        <f t="shared" si="94"/>
        <v>0.21080238752839575</v>
      </c>
      <c r="R93" s="434">
        <f>((R80/AVERAGE(Q69:R69)+1)^4)-1</f>
        <v>0.2100632883739566</v>
      </c>
      <c r="S93" s="498"/>
      <c r="T93" s="531">
        <f t="shared" ref="T93:T98" si="95">(R93-Q93)*100</f>
        <v>-7.3909915443914898E-2</v>
      </c>
      <c r="U93" s="531">
        <f t="shared" ref="U93:U98" si="96">(R93-N93)*100</f>
        <v>-1.0005401253021518E-2</v>
      </c>
    </row>
    <row r="94" spans="2:23" ht="13" customHeight="1">
      <c r="B94" s="23" t="str">
        <f>IF('Summary | Sumário'!D$6=Names!B$3,Names!O84,Names!P84)</f>
        <v>Real estate net of hedge accounting (%)</v>
      </c>
      <c r="C94" s="333">
        <v>0</v>
      </c>
      <c r="D94" s="338">
        <f>((D81/AVERAGE(D70)))</f>
        <v>0.10487176981002902</v>
      </c>
      <c r="E94" s="338">
        <f t="shared" ref="E94:R94" si="97">((E81/AVERAGE(D70:E70)+1)^4)-1</f>
        <v>0.13960916231790121</v>
      </c>
      <c r="F94" s="338">
        <f t="shared" si="97"/>
        <v>0.10190862569461623</v>
      </c>
      <c r="G94" s="338">
        <f t="shared" si="97"/>
        <v>0.13007606927532178</v>
      </c>
      <c r="H94" s="338">
        <f t="shared" si="97"/>
        <v>0.12344288745102516</v>
      </c>
      <c r="I94" s="338">
        <f t="shared" si="97"/>
        <v>0.12390384526537068</v>
      </c>
      <c r="J94" s="338">
        <f t="shared" si="97"/>
        <v>0.14881297718441022</v>
      </c>
      <c r="K94" s="338">
        <f t="shared" si="97"/>
        <v>0.11532393671744878</v>
      </c>
      <c r="L94" s="338">
        <f t="shared" si="97"/>
        <v>0.12144612894237694</v>
      </c>
      <c r="M94" s="338">
        <f t="shared" si="97"/>
        <v>0.14080701525935813</v>
      </c>
      <c r="N94" s="338">
        <f t="shared" si="97"/>
        <v>0.14594668266669952</v>
      </c>
      <c r="O94" s="338">
        <f t="shared" si="97"/>
        <v>0.12443874399941635</v>
      </c>
      <c r="P94" s="338">
        <f t="shared" si="97"/>
        <v>0.12914043405586395</v>
      </c>
      <c r="Q94" s="338">
        <f t="shared" si="97"/>
        <v>0.15391001378356184</v>
      </c>
      <c r="R94" s="338">
        <f t="shared" si="97"/>
        <v>0.16122138271672948</v>
      </c>
      <c r="S94" s="249"/>
      <c r="T94" s="534">
        <f t="shared" si="95"/>
        <v>0.7311368933167639</v>
      </c>
      <c r="U94" s="534">
        <f t="shared" si="96"/>
        <v>1.5274700050029955</v>
      </c>
    </row>
    <row r="95" spans="2:23" ht="13" customHeight="1">
      <c r="B95" s="17" t="str">
        <f>IF('Summary | Sumário'!D$6=Names!B$3,Names!O85,Names!P85)</f>
        <v>Personal net of hedge accounting (%)</v>
      </c>
      <c r="C95" s="327">
        <v>0</v>
      </c>
      <c r="D95" s="249">
        <f>((D84/AVERAGE(D71)))</f>
        <v>0.11767935566059531</v>
      </c>
      <c r="E95" s="249">
        <f t="shared" ref="E95:Q95" si="98">((E84/AVERAGE(D71:E71)+1)^4)-1</f>
        <v>0.14255403353395346</v>
      </c>
      <c r="F95" s="249">
        <f t="shared" si="98"/>
        <v>0.12921943057949825</v>
      </c>
      <c r="G95" s="249">
        <f t="shared" si="98"/>
        <v>0.12433354838978916</v>
      </c>
      <c r="H95" s="249">
        <f t="shared" si="98"/>
        <v>0.12164462530105191</v>
      </c>
      <c r="I95" s="249">
        <f t="shared" si="98"/>
        <v>0.12026347607482735</v>
      </c>
      <c r="J95" s="249">
        <f t="shared" si="98"/>
        <v>0.13333814712064163</v>
      </c>
      <c r="K95" s="249">
        <f t="shared" si="98"/>
        <v>0.14094797150740179</v>
      </c>
      <c r="L95" s="249">
        <f t="shared" si="98"/>
        <v>0.14575352402368003</v>
      </c>
      <c r="M95" s="249">
        <f t="shared" si="98"/>
        <v>0.15303365779610112</v>
      </c>
      <c r="N95" s="249">
        <f t="shared" si="98"/>
        <v>0.17143184914060194</v>
      </c>
      <c r="O95" s="249">
        <f t="shared" si="98"/>
        <v>0.16850213419115523</v>
      </c>
      <c r="P95" s="249">
        <f t="shared" si="98"/>
        <v>0.17790589321003303</v>
      </c>
      <c r="Q95" s="249">
        <f t="shared" si="98"/>
        <v>0.18604344023571406</v>
      </c>
      <c r="R95" s="249">
        <f>((R84/AVERAGE(Q71:R71)+1)^4)-1</f>
        <v>0.18507911974743108</v>
      </c>
      <c r="S95" s="249"/>
      <c r="T95" s="535">
        <f t="shared" si="95"/>
        <v>-9.6432048828298811E-2</v>
      </c>
      <c r="U95" s="535">
        <f t="shared" si="96"/>
        <v>1.3647270606829132</v>
      </c>
    </row>
    <row r="96" spans="2:23" ht="13" customHeight="1">
      <c r="B96" s="23" t="str">
        <f>IF('Summary | Sumário'!D$6=Names!B$3,Names!O86,Names!P86)</f>
        <v>SME (%)</v>
      </c>
      <c r="C96" s="333">
        <v>0</v>
      </c>
      <c r="D96" s="338">
        <f>((D87/AVERAGE(D72)))</f>
        <v>3.7900012515249208E-2</v>
      </c>
      <c r="E96" s="338">
        <f t="shared" ref="E96:R96" si="99">((E87/AVERAGE(D72:E72)+1)^4)-1</f>
        <v>5.287812357767141E-2</v>
      </c>
      <c r="F96" s="338">
        <f t="shared" si="99"/>
        <v>8.3530222746464489E-2</v>
      </c>
      <c r="G96" s="338">
        <f t="shared" si="99"/>
        <v>7.2330056118097952E-2</v>
      </c>
      <c r="H96" s="338">
        <f t="shared" si="99"/>
        <v>0.12452165667114934</v>
      </c>
      <c r="I96" s="338">
        <f t="shared" si="99"/>
        <v>0.11878339098679125</v>
      </c>
      <c r="J96" s="338">
        <f t="shared" si="99"/>
        <v>0.15518910007411235</v>
      </c>
      <c r="K96" s="338">
        <f t="shared" si="99"/>
        <v>0.16180709347410005</v>
      </c>
      <c r="L96" s="338">
        <f t="shared" si="99"/>
        <v>0.19703599512306247</v>
      </c>
      <c r="M96" s="338">
        <f t="shared" si="99"/>
        <v>0.16185223715062791</v>
      </c>
      <c r="N96" s="338">
        <f t="shared" si="99"/>
        <v>0.16166793069063989</v>
      </c>
      <c r="O96" s="338">
        <f t="shared" si="99"/>
        <v>0.16811562153127424</v>
      </c>
      <c r="P96" s="338">
        <f t="shared" si="99"/>
        <v>0.169168019688543</v>
      </c>
      <c r="Q96" s="338">
        <f t="shared" si="99"/>
        <v>0.14540437803132478</v>
      </c>
      <c r="R96" s="338">
        <f t="shared" si="99"/>
        <v>0.16695474907655505</v>
      </c>
      <c r="S96" s="249"/>
      <c r="T96" s="534">
        <f t="shared" si="95"/>
        <v>2.1550371045230277</v>
      </c>
      <c r="U96" s="534">
        <f t="shared" si="96"/>
        <v>0.52868183859151596</v>
      </c>
    </row>
    <row r="97" spans="2:21" ht="13" customHeight="1">
      <c r="B97" s="17" t="str">
        <f>IF('Summary | Sumário'!D$6=Names!B$3,Names!O87,Names!P87)</f>
        <v>Credit cards (%)</v>
      </c>
      <c r="C97" s="327">
        <v>0</v>
      </c>
      <c r="D97" s="249">
        <f>((D88/AVERAGE(D73)))</f>
        <v>0.513782772670344</v>
      </c>
      <c r="E97" s="249">
        <f t="shared" ref="E97:O97" si="100">((E88*4/AVERAGE(D73:E73)))</f>
        <v>0.65473226137019969</v>
      </c>
      <c r="F97" s="249">
        <f t="shared" si="100"/>
        <v>0.4687272493771088</v>
      </c>
      <c r="G97" s="249">
        <f t="shared" si="100"/>
        <v>0.53217245871666763</v>
      </c>
      <c r="H97" s="249">
        <f t="shared" si="100"/>
        <v>0.59344103018622585</v>
      </c>
      <c r="I97" s="249">
        <f t="shared" si="100"/>
        <v>0.57893090375890244</v>
      </c>
      <c r="J97" s="249">
        <f t="shared" si="100"/>
        <v>0.57417187234470979</v>
      </c>
      <c r="K97" s="249">
        <f t="shared" si="100"/>
        <v>0.77458262934943811</v>
      </c>
      <c r="L97" s="249">
        <f t="shared" si="100"/>
        <v>0.68908620557722866</v>
      </c>
      <c r="M97" s="249">
        <f t="shared" si="100"/>
        <v>0.71465505874008561</v>
      </c>
      <c r="N97" s="249">
        <f t="shared" si="100"/>
        <v>0.7276700945389164</v>
      </c>
      <c r="O97" s="249">
        <f t="shared" si="100"/>
        <v>0.72397261286064563</v>
      </c>
      <c r="P97" s="249">
        <f>((P88*4/AVERAGE(O73:P73)))</f>
        <v>0.6873167282232604</v>
      </c>
      <c r="Q97" s="249">
        <f>((Q88*4/AVERAGE(P73:Q73)))</f>
        <v>0.67964787730003418</v>
      </c>
      <c r="R97" s="249">
        <f>((R88*4/AVERAGE(Q73:R73)))</f>
        <v>0.66481996931008236</v>
      </c>
      <c r="S97" s="249"/>
      <c r="T97" s="535">
        <f t="shared" si="95"/>
        <v>-1.4827907989951816</v>
      </c>
      <c r="U97" s="535">
        <f t="shared" si="96"/>
        <v>-6.2850125228834042</v>
      </c>
    </row>
    <row r="98" spans="2:21" ht="14" customHeight="1">
      <c r="B98" s="23" t="str">
        <f>IF('Summary | Sumário'!D$6=Names!B$3,Names!O89,Names!P89)</f>
        <v>Prepayment of receivables (%)</v>
      </c>
      <c r="C98" s="333">
        <v>0</v>
      </c>
      <c r="D98" s="333">
        <v>0</v>
      </c>
      <c r="E98" s="339">
        <f t="shared" ref="E98:R98" si="101">((E89/AVERAGE(D77:E77)+1)^4)-1</f>
        <v>0.26039742256808451</v>
      </c>
      <c r="F98" s="339">
        <f t="shared" si="101"/>
        <v>0.14783862266255832</v>
      </c>
      <c r="G98" s="339">
        <f t="shared" si="101"/>
        <v>6.459029810892325E-2</v>
      </c>
      <c r="H98" s="339">
        <f t="shared" si="101"/>
        <v>0.12461856520973669</v>
      </c>
      <c r="I98" s="339">
        <f t="shared" si="101"/>
        <v>6.658196771964553E-2</v>
      </c>
      <c r="J98" s="339">
        <f t="shared" si="101"/>
        <v>0.20961222212585384</v>
      </c>
      <c r="K98" s="339">
        <f t="shared" si="101"/>
        <v>0.20021568035746928</v>
      </c>
      <c r="L98" s="339">
        <f t="shared" si="101"/>
        <v>0.13376298520647723</v>
      </c>
      <c r="M98" s="339">
        <f t="shared" si="101"/>
        <v>0.17549478254727435</v>
      </c>
      <c r="N98" s="339">
        <f t="shared" si="101"/>
        <v>0.19535247550652524</v>
      </c>
      <c r="O98" s="339">
        <f t="shared" si="101"/>
        <v>0.2034848250158352</v>
      </c>
      <c r="P98" s="339">
        <f t="shared" si="101"/>
        <v>0.20041020690686762</v>
      </c>
      <c r="Q98" s="339">
        <f t="shared" si="101"/>
        <v>0.20315318920311509</v>
      </c>
      <c r="R98" s="339">
        <f t="shared" si="101"/>
        <v>0.11203932179714449</v>
      </c>
      <c r="S98" s="498"/>
      <c r="T98" s="536">
        <f t="shared" si="95"/>
        <v>-9.1113867405970606</v>
      </c>
      <c r="U98" s="536">
        <f t="shared" si="96"/>
        <v>-8.3313153709380749</v>
      </c>
    </row>
    <row r="99" spans="2:21" ht="13" customHeight="1">
      <c r="B99" s="17"/>
      <c r="N99" s="332"/>
      <c r="O99" s="332"/>
      <c r="P99" s="332"/>
      <c r="Q99" s="332"/>
      <c r="R99" s="332"/>
      <c r="S99" s="249"/>
      <c r="T99" s="311"/>
      <c r="U99" s="311"/>
    </row>
    <row r="100" spans="2:21" ht="13" customHeight="1">
      <c r="B100" s="81" t="str">
        <f>IF('Summary | Sumário'!D$6=Names!B$3,Names!O101,Names!P102)</f>
        <v>Renegotiated Portfolio</v>
      </c>
      <c r="C100" s="272"/>
      <c r="D100" s="272"/>
      <c r="E100" s="272"/>
      <c r="F100" s="272"/>
      <c r="G100" s="272"/>
      <c r="H100" s="272"/>
      <c r="I100" s="272"/>
      <c r="J100" s="272"/>
      <c r="K100" s="272"/>
      <c r="L100" s="272"/>
      <c r="M100" s="272"/>
      <c r="N100" s="272"/>
      <c r="O100" s="272"/>
      <c r="P100" s="272"/>
      <c r="Q100" s="272"/>
      <c r="R100" s="272"/>
      <c r="T100" s="245"/>
      <c r="U100" s="245"/>
    </row>
    <row r="101" spans="2:21" ht="13" customHeight="1">
      <c r="B101" s="425" t="str">
        <f>IF('Summary | Sumário'!D$6=Names!B$3,Names!O102,Names!P102)</f>
        <v>Renegotiated portfolio</v>
      </c>
      <c r="C101" s="429" t="s">
        <v>832</v>
      </c>
      <c r="D101" s="429" t="s">
        <v>832</v>
      </c>
      <c r="E101" s="429" t="s">
        <v>832</v>
      </c>
      <c r="F101" s="429" t="s">
        <v>832</v>
      </c>
      <c r="G101" s="429" t="s">
        <v>832</v>
      </c>
      <c r="H101" s="429" t="s">
        <v>832</v>
      </c>
      <c r="I101" s="429">
        <v>705976.27219999675</v>
      </c>
      <c r="J101" s="429">
        <v>721629.40601000446</v>
      </c>
      <c r="K101" s="429">
        <v>788511.83772999898</v>
      </c>
      <c r="L101" s="429">
        <v>807372.72962999996</v>
      </c>
      <c r="M101" s="429">
        <v>839302.77655999793</v>
      </c>
      <c r="N101" s="429">
        <v>925448.81361999619</v>
      </c>
      <c r="O101" s="429">
        <v>971835.995925333</v>
      </c>
      <c r="P101" s="429">
        <v>1013503.8981579969</v>
      </c>
      <c r="Q101" s="429">
        <v>1089191.80005044</v>
      </c>
      <c r="R101" s="429">
        <v>1481864.0399573899</v>
      </c>
      <c r="S101" s="330"/>
      <c r="T101" s="519">
        <f t="shared" ref="T101" si="102">R101/Q101-1</f>
        <v>0.36051707319938098</v>
      </c>
      <c r="U101" s="519">
        <f t="shared" ref="U101" si="103">R101/N101-1</f>
        <v>0.60123825126633812</v>
      </c>
    </row>
    <row r="102" spans="2:21" ht="13" customHeight="1">
      <c r="B102" s="471" t="str">
        <f>IF('Summary | Sumário'!D$6=Names!B$3,Names!O103,Names!P103)</f>
        <v>Renegotiated portfolio (% of total gross loan portfolio)</v>
      </c>
      <c r="C102" s="281" t="s">
        <v>832</v>
      </c>
      <c r="D102" s="281" t="s">
        <v>832</v>
      </c>
      <c r="E102" s="281" t="s">
        <v>832</v>
      </c>
      <c r="F102" s="281" t="s">
        <v>832</v>
      </c>
      <c r="G102" s="281" t="s">
        <v>832</v>
      </c>
      <c r="H102" s="281" t="s">
        <v>832</v>
      </c>
      <c r="I102" s="472">
        <f t="shared" ref="I102:P102" si="104">I101/I12</f>
        <v>3.8112142211782558E-2</v>
      </c>
      <c r="J102" s="472">
        <f t="shared" si="104"/>
        <v>3.6327473393210095E-2</v>
      </c>
      <c r="K102" s="472">
        <f t="shared" si="104"/>
        <v>3.5784429560735319E-2</v>
      </c>
      <c r="L102" s="472">
        <f t="shared" si="104"/>
        <v>3.2894921768841769E-2</v>
      </c>
      <c r="M102" s="472">
        <f t="shared" si="104"/>
        <v>3.3399372181427349E-2</v>
      </c>
      <c r="N102" s="472">
        <f t="shared" si="104"/>
        <v>3.4956418724380732E-2</v>
      </c>
      <c r="O102" s="472">
        <f t="shared" si="104"/>
        <v>3.4390630748343372E-2</v>
      </c>
      <c r="P102" s="472">
        <f t="shared" si="104"/>
        <v>3.2671713473043845E-2</v>
      </c>
      <c r="Q102" s="472">
        <f t="shared" ref="Q102:R102" si="105">Q101/Q12</f>
        <v>3.3885159181503054E-2</v>
      </c>
      <c r="R102" s="472">
        <f t="shared" si="105"/>
        <v>4.1538616690767527E-2</v>
      </c>
      <c r="S102" s="249"/>
      <c r="T102" s="537">
        <f t="shared" ref="T102" si="106">(R102-Q102)*100</f>
        <v>0.7653457509264473</v>
      </c>
      <c r="U102" s="537">
        <f t="shared" ref="U102" si="107">(R102-N102)*100</f>
        <v>0.65821979663867947</v>
      </c>
    </row>
    <row r="103" spans="2:21" ht="13" customHeight="1">
      <c r="R103" s="337"/>
      <c r="S103" s="248"/>
      <c r="T103" s="337"/>
      <c r="U103" s="337"/>
    </row>
    <row r="104" spans="2:21" ht="13" customHeight="1">
      <c r="L104" s="332"/>
      <c r="M104" s="332"/>
      <c r="N104" s="332"/>
      <c r="O104" s="332"/>
      <c r="P104" s="332"/>
      <c r="Q104" s="332"/>
      <c r="R104" s="332"/>
      <c r="S104" s="249"/>
      <c r="T104" s="332"/>
      <c r="U104" s="332"/>
    </row>
    <row r="105" spans="2:21" ht="13" customHeight="1">
      <c r="I105" s="332"/>
      <c r="J105" s="332"/>
      <c r="K105" s="332"/>
      <c r="L105" s="332"/>
      <c r="M105" s="332"/>
      <c r="N105" s="332"/>
      <c r="O105" s="332"/>
      <c r="P105" s="332"/>
      <c r="Q105" s="332"/>
      <c r="R105" s="332"/>
      <c r="S105" s="249"/>
      <c r="T105" s="332"/>
      <c r="U105" s="332"/>
    </row>
    <row r="106" spans="2:21" ht="13" customHeight="1">
      <c r="R106" s="285"/>
      <c r="S106" s="285"/>
      <c r="T106" s="285"/>
      <c r="U106" s="285"/>
    </row>
    <row r="107" spans="2:21" ht="13" customHeight="1">
      <c r="O107" s="332"/>
      <c r="P107" s="332"/>
      <c r="Q107" s="332"/>
      <c r="R107" s="332"/>
      <c r="S107" s="249"/>
      <c r="T107" s="332"/>
      <c r="U107" s="332"/>
    </row>
  </sheetData>
  <sheetProtection algorithmName="SHA-512" hashValue="y4iRtnAMDn5ZdSZhmNN7diSvK8N9MlijoPoQOP45ir8+f3kiiqSO1jjxeEElQRaidrORXlBDG13L2f36PeHjAg==" saltValue="nVSuQgGLHhqoVz3Rk3l89Q=="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rgb="FFEB7100"/>
  </sheetPr>
  <dimension ref="A1:AB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21" width="10.83203125" style="201" customWidth="1"/>
    <col min="22" max="22" width="5.83203125" style="201" customWidth="1"/>
    <col min="23" max="24" width="10.83203125" style="201" customWidth="1"/>
    <col min="25" max="16384" width="10.83203125" style="201"/>
  </cols>
  <sheetData>
    <row r="1" spans="1:28" ht="13" customHeight="1">
      <c r="C1" s="202"/>
      <c r="D1" s="202"/>
      <c r="E1" s="202"/>
      <c r="F1" s="202"/>
      <c r="H1" s="202"/>
      <c r="I1" s="202"/>
      <c r="J1" s="202"/>
      <c r="K1" s="202"/>
      <c r="L1" s="202"/>
      <c r="M1" s="202"/>
      <c r="N1" s="202"/>
      <c r="O1" s="202"/>
      <c r="P1" s="202"/>
    </row>
    <row r="2" spans="1:28" s="10" customFormat="1" ht="13" customHeight="1">
      <c r="B2" s="384" t="str">
        <f>IF('Summary | Sumário'!D$6=Names!B$3,Names!Q1,Names!R1)</f>
        <v>Funding (IFRS,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12">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5"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1:28" ht="13" customHeight="1">
      <c r="B3" s="14"/>
      <c r="C3" s="212"/>
      <c r="D3" s="212"/>
      <c r="E3" s="213"/>
      <c r="F3" s="213"/>
      <c r="G3" s="213"/>
      <c r="H3" s="213"/>
      <c r="I3" s="213"/>
      <c r="J3" s="213"/>
      <c r="K3" s="213"/>
      <c r="L3" s="213"/>
      <c r="M3" s="213"/>
      <c r="N3" s="213"/>
      <c r="O3" s="213"/>
      <c r="P3" s="213"/>
      <c r="Q3" s="213"/>
      <c r="R3" s="213"/>
      <c r="S3" s="213"/>
      <c r="T3" s="213"/>
      <c r="U3" s="213"/>
      <c r="V3" s="213"/>
      <c r="W3" s="213"/>
      <c r="X3" s="213"/>
    </row>
    <row r="4" spans="1:28" s="231" customFormat="1" ht="13" customHeight="1">
      <c r="A4" s="229"/>
      <c r="B4" s="3" t="str">
        <f>IF('Summary | Sumário'!D$6=Names!B$3,Names!Q2,Names!R2)</f>
        <v>Funding - including other interest bearing liabilities</v>
      </c>
      <c r="C4" s="274"/>
      <c r="Y4" s="318"/>
    </row>
    <row r="5" spans="1:28" ht="13" customHeight="1">
      <c r="A5" s="312"/>
      <c r="B5" s="388" t="str">
        <f>IF('Summary | Sumário'!D$6=Names!B$3,Names!Q3,Names!R3)</f>
        <v>Liabilities with customers</v>
      </c>
      <c r="C5" s="423">
        <v>4714439</v>
      </c>
      <c r="D5" s="423">
        <v>12436632</v>
      </c>
      <c r="E5" s="423">
        <f>K5</f>
        <v>18333543</v>
      </c>
      <c r="F5" s="423">
        <f>O5</f>
        <v>23642804</v>
      </c>
      <c r="G5" s="423">
        <f>S5</f>
        <v>32651620</v>
      </c>
      <c r="H5" s="423">
        <v>13392679</v>
      </c>
      <c r="I5" s="423">
        <v>15629130.619999999</v>
      </c>
      <c r="J5" s="423">
        <v>17093473.298</v>
      </c>
      <c r="K5" s="423">
        <v>18333543</v>
      </c>
      <c r="L5" s="423">
        <v>18958118</v>
      </c>
      <c r="M5" s="423">
        <v>19746409</v>
      </c>
      <c r="N5" s="423">
        <v>21452026</v>
      </c>
      <c r="O5" s="423">
        <v>23642804</v>
      </c>
      <c r="P5" s="423">
        <v>24182006</v>
      </c>
      <c r="Q5" s="423">
        <v>26299326</v>
      </c>
      <c r="R5" s="423">
        <v>29063988</v>
      </c>
      <c r="S5" s="423">
        <v>32651620</v>
      </c>
      <c r="T5" s="423">
        <v>32643444.086135942</v>
      </c>
      <c r="U5" s="423">
        <v>35978317.836610004</v>
      </c>
      <c r="V5" s="274"/>
      <c r="W5" s="538">
        <f>U5/T5-1</f>
        <v>0.10216059744414108</v>
      </c>
      <c r="X5" s="538">
        <f>U5/Q5-1</f>
        <v>0.36803193498609077</v>
      </c>
    </row>
    <row r="6" spans="1:28" ht="13" customHeight="1">
      <c r="A6" s="312"/>
      <c r="B6" s="17" t="str">
        <f>IF('Summary | Sumário'!D$6=Names!B$3,Names!Q4,Names!R4)</f>
        <v>Demand deposits</v>
      </c>
      <c r="C6" s="274">
        <v>2094127</v>
      </c>
      <c r="D6" s="274">
        <v>6713351</v>
      </c>
      <c r="E6" s="274">
        <f t="shared" ref="E6:E15" si="0">K6</f>
        <v>9932809</v>
      </c>
      <c r="F6" s="274">
        <f t="shared" ref="F6:F15" si="1">O6</f>
        <v>11566826</v>
      </c>
      <c r="G6" s="274">
        <f t="shared" ref="G6:G15" si="2">S6</f>
        <v>2572536</v>
      </c>
      <c r="H6" s="274">
        <v>6984899</v>
      </c>
      <c r="I6" s="274">
        <v>8299742</v>
      </c>
      <c r="J6" s="274">
        <v>9163029</v>
      </c>
      <c r="K6" s="274">
        <v>9932809</v>
      </c>
      <c r="L6" s="274">
        <v>9620809</v>
      </c>
      <c r="M6" s="274">
        <v>9784611</v>
      </c>
      <c r="N6" s="274">
        <v>10418989</v>
      </c>
      <c r="O6" s="274">
        <v>11566826</v>
      </c>
      <c r="P6" s="274">
        <v>11005662</v>
      </c>
      <c r="Q6" s="274">
        <v>3109793</v>
      </c>
      <c r="R6" s="274">
        <v>1813779</v>
      </c>
      <c r="S6" s="274">
        <v>2572536</v>
      </c>
      <c r="T6" s="274">
        <v>1593427.4698459422</v>
      </c>
      <c r="U6" s="274">
        <v>1431720.5057700002</v>
      </c>
      <c r="V6" s="274"/>
      <c r="W6" s="539">
        <f t="shared" ref="W6:W15" si="3">U6/T6-1</f>
        <v>-0.10148373059714877</v>
      </c>
      <c r="X6" s="539">
        <f t="shared" ref="X6:X15" si="4">U6/Q6-1</f>
        <v>-0.53960906537187525</v>
      </c>
      <c r="Y6" s="319"/>
    </row>
    <row r="7" spans="1:28" ht="13" customHeight="1">
      <c r="A7" s="312"/>
      <c r="B7" s="23" t="str">
        <f>IF('Summary | Sumário'!D$6=Names!B$3,Names!Q5,Names!R5)</f>
        <v>Time deposits</v>
      </c>
      <c r="C7" s="269">
        <v>2259047</v>
      </c>
      <c r="D7" s="269">
        <v>4771204</v>
      </c>
      <c r="E7" s="269">
        <f t="shared" si="0"/>
        <v>6922061</v>
      </c>
      <c r="F7" s="269">
        <f t="shared" si="1"/>
        <v>10517060</v>
      </c>
      <c r="G7" s="269">
        <f t="shared" si="2"/>
        <v>28158459</v>
      </c>
      <c r="H7" s="269">
        <v>5394450</v>
      </c>
      <c r="I7" s="269">
        <v>6119961</v>
      </c>
      <c r="J7" s="269">
        <v>6580559</v>
      </c>
      <c r="K7" s="269">
        <v>6922061</v>
      </c>
      <c r="L7" s="269">
        <v>7894003</v>
      </c>
      <c r="M7" s="269">
        <v>8579727</v>
      </c>
      <c r="N7" s="269">
        <v>9558462</v>
      </c>
      <c r="O7" s="269">
        <v>10517060</v>
      </c>
      <c r="P7" s="269">
        <v>11687031</v>
      </c>
      <c r="Q7" s="269">
        <v>21616586</v>
      </c>
      <c r="R7" s="269">
        <v>25572336</v>
      </c>
      <c r="S7" s="269">
        <v>28158459</v>
      </c>
      <c r="T7" s="269">
        <v>29169018.986099999</v>
      </c>
      <c r="U7" s="269">
        <v>32531468</v>
      </c>
      <c r="V7" s="274"/>
      <c r="W7" s="540">
        <f t="shared" si="3"/>
        <v>0.1152746691790465</v>
      </c>
      <c r="X7" s="540">
        <f t="shared" si="4"/>
        <v>0.50493088964187027</v>
      </c>
      <c r="Y7" s="320"/>
    </row>
    <row r="8" spans="1:28" ht="13" customHeight="1">
      <c r="A8" s="312"/>
      <c r="B8" s="17" t="str">
        <f>IF('Summary | Sumário'!D$6=Names!B$3,Names!Q6,Names!R6)</f>
        <v>Savings deposits</v>
      </c>
      <c r="C8" s="274">
        <v>307098</v>
      </c>
      <c r="D8" s="274">
        <v>887666</v>
      </c>
      <c r="E8" s="274">
        <f t="shared" si="0"/>
        <v>1230039</v>
      </c>
      <c r="F8" s="274">
        <f t="shared" si="1"/>
        <v>1307055</v>
      </c>
      <c r="G8" s="274">
        <f t="shared" si="2"/>
        <v>1540604</v>
      </c>
      <c r="H8" s="274">
        <v>935359</v>
      </c>
      <c r="I8" s="274">
        <v>1049178</v>
      </c>
      <c r="J8" s="274">
        <v>1138085</v>
      </c>
      <c r="K8" s="274">
        <v>1230039</v>
      </c>
      <c r="L8" s="274">
        <v>1215061</v>
      </c>
      <c r="M8" s="274">
        <v>1182012</v>
      </c>
      <c r="N8" s="274">
        <v>1216043</v>
      </c>
      <c r="O8" s="274">
        <v>1307055</v>
      </c>
      <c r="P8" s="274">
        <v>1274938</v>
      </c>
      <c r="Q8" s="274">
        <v>1305803</v>
      </c>
      <c r="R8" s="274">
        <v>1350713</v>
      </c>
      <c r="S8" s="274">
        <v>1540604</v>
      </c>
      <c r="T8" s="274">
        <v>1549652.25122</v>
      </c>
      <c r="U8" s="274">
        <v>1715785.11815</v>
      </c>
      <c r="V8" s="274"/>
      <c r="W8" s="539">
        <f t="shared" si="3"/>
        <v>0.10720654701673094</v>
      </c>
      <c r="X8" s="539">
        <f t="shared" si="4"/>
        <v>0.31396934924333908</v>
      </c>
      <c r="Y8" s="320"/>
    </row>
    <row r="9" spans="1:28" ht="13" customHeight="1">
      <c r="A9" s="312"/>
      <c r="B9" s="23" t="str">
        <f>IF('Summary | Sumário'!D$6=Names!B$3,Names!Q7,Names!R7)</f>
        <v>Creditors by resources to release</v>
      </c>
      <c r="C9" s="269">
        <v>54167</v>
      </c>
      <c r="D9" s="269">
        <v>64410</v>
      </c>
      <c r="E9" s="269">
        <f t="shared" si="0"/>
        <v>248633</v>
      </c>
      <c r="F9" s="269">
        <f t="shared" si="1"/>
        <v>251863</v>
      </c>
      <c r="G9" s="269">
        <f t="shared" si="2"/>
        <v>380021</v>
      </c>
      <c r="H9" s="269">
        <v>77971</v>
      </c>
      <c r="I9" s="269">
        <v>160250</v>
      </c>
      <c r="J9" s="269">
        <v>211800</v>
      </c>
      <c r="K9" s="269">
        <v>248633</v>
      </c>
      <c r="L9" s="269">
        <v>228245</v>
      </c>
      <c r="M9" s="269">
        <v>200059</v>
      </c>
      <c r="N9" s="269">
        <v>258532</v>
      </c>
      <c r="O9" s="269">
        <v>251863</v>
      </c>
      <c r="P9" s="269">
        <v>214375</v>
      </c>
      <c r="Q9" s="269">
        <v>267144</v>
      </c>
      <c r="R9" s="269">
        <v>327160</v>
      </c>
      <c r="S9" s="269">
        <v>380021</v>
      </c>
      <c r="T9" s="269">
        <v>331346</v>
      </c>
      <c r="U9" s="269">
        <v>299344.21268999996</v>
      </c>
      <c r="V9" s="274"/>
      <c r="W9" s="540">
        <f t="shared" si="3"/>
        <v>-9.6581178918713539E-2</v>
      </c>
      <c r="X9" s="540">
        <f t="shared" si="4"/>
        <v>0.12053503986613934</v>
      </c>
      <c r="Y9" s="320"/>
    </row>
    <row r="10" spans="1:28" ht="13" customHeight="1">
      <c r="A10" s="312"/>
      <c r="B10" s="16" t="str">
        <f>IF('Summary | Sumário'!D$6=Names!B$3,Names!Q8,Names!R8)</f>
        <v>Securities issued</v>
      </c>
      <c r="C10" s="274">
        <v>1719580</v>
      </c>
      <c r="D10" s="274">
        <v>1729436</v>
      </c>
      <c r="E10" s="274">
        <f t="shared" si="0"/>
        <v>3572093</v>
      </c>
      <c r="F10" s="274">
        <f t="shared" si="1"/>
        <v>6202165</v>
      </c>
      <c r="G10" s="274">
        <f t="shared" si="2"/>
        <v>8095042</v>
      </c>
      <c r="H10" s="274">
        <v>1704892</v>
      </c>
      <c r="I10" s="274">
        <v>2081723</v>
      </c>
      <c r="J10" s="274">
        <v>3093320</v>
      </c>
      <c r="K10" s="274">
        <v>3572093</v>
      </c>
      <c r="L10" s="274">
        <v>4280956</v>
      </c>
      <c r="M10" s="274">
        <v>6104223</v>
      </c>
      <c r="N10" s="274">
        <v>6916919</v>
      </c>
      <c r="O10" s="274">
        <v>6202165</v>
      </c>
      <c r="P10" s="274">
        <v>6640557</v>
      </c>
      <c r="Q10" s="274">
        <v>7006191.0407400001</v>
      </c>
      <c r="R10" s="274">
        <v>7462564.5372699993</v>
      </c>
      <c r="S10" s="274">
        <v>8095042</v>
      </c>
      <c r="T10" s="274">
        <v>8249142.2142699994</v>
      </c>
      <c r="U10" s="274">
        <v>8543248.1731000002</v>
      </c>
      <c r="V10" s="274"/>
      <c r="W10" s="539">
        <f t="shared" si="3"/>
        <v>3.5652914107994649E-2</v>
      </c>
      <c r="X10" s="539">
        <f t="shared" si="4"/>
        <v>0.21938555820448413</v>
      </c>
      <c r="Y10" s="320"/>
    </row>
    <row r="11" spans="1:28" ht="13" customHeight="1">
      <c r="A11" s="312"/>
      <c r="B11" s="22" t="str">
        <f>IF('Summary | Sumário'!D$6=Names!B$3,Names!Q24,Names!R24)</f>
        <v>Interest bearing liabilities with financial institutions</v>
      </c>
      <c r="C11" s="269">
        <f>SUM(C12:C13)</f>
        <v>510733</v>
      </c>
      <c r="D11" s="269">
        <f t="shared" ref="D11:R11" si="5">SUM(D12:D13)</f>
        <v>102874</v>
      </c>
      <c r="E11" s="269">
        <f t="shared" si="0"/>
        <v>1113010</v>
      </c>
      <c r="F11" s="269">
        <f t="shared" si="1"/>
        <v>2635401</v>
      </c>
      <c r="G11" s="269">
        <f t="shared" si="2"/>
        <v>2658958</v>
      </c>
      <c r="H11" s="269">
        <f t="shared" si="5"/>
        <v>215077.01337999999</v>
      </c>
      <c r="I11" s="269">
        <f t="shared" si="5"/>
        <v>385394.85464999999</v>
      </c>
      <c r="J11" s="269">
        <f t="shared" si="5"/>
        <v>947510.22100000002</v>
      </c>
      <c r="K11" s="269">
        <f t="shared" si="5"/>
        <v>1113010</v>
      </c>
      <c r="L11" s="269">
        <f t="shared" si="5"/>
        <v>1473583</v>
      </c>
      <c r="M11" s="269">
        <f t="shared" si="5"/>
        <v>1795650</v>
      </c>
      <c r="N11" s="269">
        <f t="shared" si="5"/>
        <v>2286525</v>
      </c>
      <c r="O11" s="269">
        <f t="shared" si="5"/>
        <v>2635401</v>
      </c>
      <c r="P11" s="269">
        <f t="shared" si="5"/>
        <v>2673490</v>
      </c>
      <c r="Q11" s="269">
        <f t="shared" si="5"/>
        <v>2320817</v>
      </c>
      <c r="R11" s="269">
        <f t="shared" si="5"/>
        <v>2957425.0232100002</v>
      </c>
      <c r="S11" s="269">
        <f t="shared" ref="S11:T11" si="6">SUM(S12:S13)</f>
        <v>2658958</v>
      </c>
      <c r="T11" s="269">
        <f t="shared" si="6"/>
        <v>2788975.0564099997</v>
      </c>
      <c r="U11" s="269">
        <f t="shared" ref="U11" si="7">SUM(U12:U13)</f>
        <v>3136404.7647300004</v>
      </c>
      <c r="V11" s="274"/>
      <c r="W11" s="540">
        <f t="shared" si="3"/>
        <v>0.12457254055445599</v>
      </c>
      <c r="X11" s="540">
        <f t="shared" si="4"/>
        <v>0.3514226949949093</v>
      </c>
      <c r="Y11" s="320"/>
    </row>
    <row r="12" spans="1:28" ht="13" customHeight="1">
      <c r="A12" s="312"/>
      <c r="B12" s="17" t="str">
        <f>IF('Summary | Sumário'!D$6=Names!B$3,Names!Q20,Names!R20)</f>
        <v>Securities sold under agreements to reurchase</v>
      </c>
      <c r="C12" s="274">
        <v>178491</v>
      </c>
      <c r="D12" s="274">
        <v>102874</v>
      </c>
      <c r="E12" s="274">
        <f t="shared" si="0"/>
        <v>973533</v>
      </c>
      <c r="F12" s="274">
        <f t="shared" si="1"/>
        <v>1902873</v>
      </c>
      <c r="G12" s="274">
        <f t="shared" si="2"/>
        <v>1011092</v>
      </c>
      <c r="H12" s="274">
        <v>164878.20288</v>
      </c>
      <c r="I12" s="274">
        <v>209582.78599999999</v>
      </c>
      <c r="J12" s="274">
        <v>656030.402</v>
      </c>
      <c r="K12" s="274">
        <v>973533</v>
      </c>
      <c r="L12" s="274">
        <v>976192</v>
      </c>
      <c r="M12" s="274">
        <v>1480935</v>
      </c>
      <c r="N12" s="274">
        <v>1354877</v>
      </c>
      <c r="O12" s="274">
        <v>1902873</v>
      </c>
      <c r="P12" s="274">
        <v>1882289</v>
      </c>
      <c r="Q12" s="274">
        <v>1727567</v>
      </c>
      <c r="R12" s="274">
        <v>1600987.9855800001</v>
      </c>
      <c r="S12" s="274">
        <v>1011092</v>
      </c>
      <c r="T12" s="274">
        <v>1107832.7549099999</v>
      </c>
      <c r="U12" s="274">
        <v>1372709.7429000004</v>
      </c>
      <c r="V12" s="274"/>
      <c r="W12" s="539">
        <f t="shared" si="3"/>
        <v>0.23909474315147783</v>
      </c>
      <c r="X12" s="539">
        <f t="shared" si="4"/>
        <v>-0.20540868001067369</v>
      </c>
      <c r="Y12" s="320"/>
    </row>
    <row r="13" spans="1:28" ht="13" customHeight="1">
      <c r="A13" s="312"/>
      <c r="B13" s="23" t="str">
        <f>IF('Summary | Sumário'!D$6=Names!B$3,Names!Q21,Names!R21)</f>
        <v>Interbank deposits</v>
      </c>
      <c r="C13" s="269">
        <v>332242</v>
      </c>
      <c r="D13" s="269">
        <v>0</v>
      </c>
      <c r="E13" s="269">
        <f t="shared" si="0"/>
        <v>139477</v>
      </c>
      <c r="F13" s="269">
        <f t="shared" si="1"/>
        <v>732528</v>
      </c>
      <c r="G13" s="269">
        <f t="shared" si="2"/>
        <v>1647866</v>
      </c>
      <c r="H13" s="269">
        <v>50198.8105</v>
      </c>
      <c r="I13" s="269">
        <v>175812.06864999997</v>
      </c>
      <c r="J13" s="269">
        <v>291479.81900000002</v>
      </c>
      <c r="K13" s="269">
        <v>139477</v>
      </c>
      <c r="L13" s="269">
        <v>497391</v>
      </c>
      <c r="M13" s="269">
        <v>314715</v>
      </c>
      <c r="N13" s="269">
        <v>931648</v>
      </c>
      <c r="O13" s="269">
        <v>732528</v>
      </c>
      <c r="P13" s="269">
        <v>791201</v>
      </c>
      <c r="Q13" s="269">
        <v>593250</v>
      </c>
      <c r="R13" s="269">
        <v>1356437.0376300002</v>
      </c>
      <c r="S13" s="269">
        <v>1647866</v>
      </c>
      <c r="T13" s="269">
        <v>1681142.3015000001</v>
      </c>
      <c r="U13" s="269">
        <v>1763695.02183</v>
      </c>
      <c r="V13" s="274"/>
      <c r="W13" s="540">
        <f t="shared" si="3"/>
        <v>4.9105135392965904E-2</v>
      </c>
      <c r="X13" s="540">
        <f t="shared" si="4"/>
        <v>1.972937247079646</v>
      </c>
      <c r="Y13" s="320"/>
    </row>
    <row r="14" spans="1:28" ht="13" customHeight="1">
      <c r="A14" s="312"/>
      <c r="B14" s="16" t="str">
        <f>IF('Summary | Sumário'!D$6=Names!B$3,Names!Q22,Names!R22)</f>
        <v>Borrowing and onlending</v>
      </c>
      <c r="C14" s="274">
        <v>29800</v>
      </c>
      <c r="D14" s="274">
        <v>27405</v>
      </c>
      <c r="E14" s="274">
        <f t="shared" si="0"/>
        <v>25071</v>
      </c>
      <c r="F14" s="274">
        <f t="shared" si="1"/>
        <v>36448</v>
      </c>
      <c r="G14" s="274">
        <f t="shared" si="2"/>
        <v>107412</v>
      </c>
      <c r="H14" s="274">
        <v>27179</v>
      </c>
      <c r="I14" s="274">
        <v>26325</v>
      </c>
      <c r="J14" s="274">
        <v>25580</v>
      </c>
      <c r="K14" s="274">
        <v>25071</v>
      </c>
      <c r="L14" s="274">
        <v>33002</v>
      </c>
      <c r="M14" s="274">
        <v>31855</v>
      </c>
      <c r="N14" s="274">
        <v>33119</v>
      </c>
      <c r="O14" s="274">
        <v>36448</v>
      </c>
      <c r="P14" s="274">
        <v>36632</v>
      </c>
      <c r="Q14" s="274">
        <v>38753</v>
      </c>
      <c r="R14" s="274">
        <v>87649</v>
      </c>
      <c r="S14" s="274">
        <v>107412</v>
      </c>
      <c r="T14" s="274">
        <v>102019.6489</v>
      </c>
      <c r="U14" s="274">
        <v>101630.08156999999</v>
      </c>
      <c r="V14" s="274"/>
      <c r="W14" s="539">
        <f t="shared" si="3"/>
        <v>-3.8185519573965543E-3</v>
      </c>
      <c r="X14" s="539">
        <f t="shared" si="4"/>
        <v>1.6225087495161663</v>
      </c>
      <c r="Y14" s="320"/>
    </row>
    <row r="15" spans="1:28" ht="13" customHeight="1">
      <c r="A15" s="312"/>
      <c r="B15" s="435" t="str">
        <f>IF('Summary | Sumário'!D$6=Names!B$3,Names!Q9,Names!R9)</f>
        <v>Total funding</v>
      </c>
      <c r="C15" s="436">
        <f>C5+C10+C11+C14</f>
        <v>6974552</v>
      </c>
      <c r="D15" s="436">
        <f t="shared" ref="D15:R15" si="8">D5+D10+D11+D14</f>
        <v>14296347</v>
      </c>
      <c r="E15" s="436">
        <f t="shared" si="0"/>
        <v>23043717</v>
      </c>
      <c r="F15" s="436">
        <f t="shared" si="1"/>
        <v>32516818</v>
      </c>
      <c r="G15" s="436">
        <f t="shared" si="2"/>
        <v>43513032</v>
      </c>
      <c r="H15" s="436">
        <f t="shared" si="8"/>
        <v>15339827.01338</v>
      </c>
      <c r="I15" s="436">
        <f t="shared" si="8"/>
        <v>18122573.474649996</v>
      </c>
      <c r="J15" s="436">
        <f t="shared" si="8"/>
        <v>21159883.519000001</v>
      </c>
      <c r="K15" s="436">
        <f t="shared" si="8"/>
        <v>23043717</v>
      </c>
      <c r="L15" s="436">
        <f t="shared" si="8"/>
        <v>24745659</v>
      </c>
      <c r="M15" s="436">
        <f t="shared" si="8"/>
        <v>27678137</v>
      </c>
      <c r="N15" s="436">
        <f t="shared" si="8"/>
        <v>30688589</v>
      </c>
      <c r="O15" s="436">
        <f t="shared" si="8"/>
        <v>32516818</v>
      </c>
      <c r="P15" s="436">
        <f t="shared" si="8"/>
        <v>33532685</v>
      </c>
      <c r="Q15" s="436">
        <f t="shared" si="8"/>
        <v>35665087.040739998</v>
      </c>
      <c r="R15" s="436">
        <f t="shared" si="8"/>
        <v>39571626.560479999</v>
      </c>
      <c r="S15" s="436">
        <f t="shared" ref="S15:T15" si="9">S5+S10+S11+S14</f>
        <v>43513032</v>
      </c>
      <c r="T15" s="436">
        <f t="shared" si="9"/>
        <v>43783581.005715944</v>
      </c>
      <c r="U15" s="436">
        <f t="shared" ref="U15" si="10">U5+U10+U11+U14</f>
        <v>47759600.856010005</v>
      </c>
      <c r="V15" s="513"/>
      <c r="W15" s="541">
        <f t="shared" si="3"/>
        <v>9.0810750490577519E-2</v>
      </c>
      <c r="X15" s="541">
        <f t="shared" si="4"/>
        <v>0.33911353704126723</v>
      </c>
      <c r="Y15" s="320"/>
    </row>
    <row r="16" spans="1:28" ht="13" customHeight="1">
      <c r="A16" s="312"/>
      <c r="E16" s="285"/>
      <c r="F16" s="285"/>
      <c r="Y16" s="320"/>
    </row>
    <row r="17" spans="1:25" ht="13" customHeight="1">
      <c r="A17" s="312"/>
      <c r="B17" s="24" t="str">
        <f>IF('Summary | Sumário'!D$6=Names!B$3,Names!Q37,Names!R10)</f>
        <v>All-in cost of funding</v>
      </c>
      <c r="C17" s="272"/>
      <c r="D17" s="272"/>
      <c r="E17" s="272"/>
      <c r="F17" s="272"/>
      <c r="G17" s="272"/>
      <c r="H17" s="272"/>
      <c r="I17" s="272"/>
      <c r="J17" s="272"/>
      <c r="K17" s="272"/>
      <c r="L17" s="272"/>
      <c r="M17" s="272"/>
      <c r="N17" s="272"/>
      <c r="O17" s="272"/>
      <c r="P17" s="272"/>
      <c r="Q17" s="272"/>
      <c r="R17" s="272"/>
      <c r="S17" s="272"/>
      <c r="T17" s="272"/>
      <c r="U17" s="272"/>
      <c r="W17" s="272"/>
      <c r="X17" s="272"/>
      <c r="Y17" s="320"/>
    </row>
    <row r="18" spans="1:25" ht="13" customHeight="1">
      <c r="A18" s="312"/>
      <c r="B18" s="396" t="str">
        <f>IF('Summary | Sumário'!D$6=Names!B$3,Names!Q11,Names!R11)</f>
        <v>Annualized interest expenses</v>
      </c>
      <c r="C18" s="426">
        <f>C19</f>
        <v>256717</v>
      </c>
      <c r="D18" s="426">
        <f t="shared" ref="D18:F18" si="11">D19</f>
        <v>184335</v>
      </c>
      <c r="E18" s="426">
        <f t="shared" si="11"/>
        <v>543242</v>
      </c>
      <c r="F18" s="426">
        <f t="shared" si="11"/>
        <v>1972850</v>
      </c>
      <c r="G18" s="426">
        <f t="shared" ref="G18" si="12">S18</f>
        <v>3008792.0200000005</v>
      </c>
      <c r="H18" s="426">
        <f>H19*4</f>
        <v>262236</v>
      </c>
      <c r="I18" s="426">
        <f t="shared" ref="I18:U18" si="13">I19*4</f>
        <v>345044</v>
      </c>
      <c r="J18" s="426">
        <f t="shared" si="13"/>
        <v>554348</v>
      </c>
      <c r="K18" s="426">
        <f t="shared" si="13"/>
        <v>1011340</v>
      </c>
      <c r="L18" s="426">
        <f t="shared" si="13"/>
        <v>1347084</v>
      </c>
      <c r="M18" s="426">
        <f t="shared" si="13"/>
        <v>1860164</v>
      </c>
      <c r="N18" s="426">
        <f t="shared" si="13"/>
        <v>2318712</v>
      </c>
      <c r="O18" s="426">
        <f t="shared" si="13"/>
        <v>2365440</v>
      </c>
      <c r="P18" s="426">
        <f t="shared" si="13"/>
        <v>2691084</v>
      </c>
      <c r="Q18" s="426">
        <f t="shared" si="13"/>
        <v>2768824</v>
      </c>
      <c r="R18" s="426">
        <f t="shared" si="13"/>
        <v>3081592</v>
      </c>
      <c r="S18" s="426">
        <f t="shared" si="13"/>
        <v>3008792.0200000005</v>
      </c>
      <c r="T18" s="426">
        <f t="shared" si="13"/>
        <v>3048987.5612000003</v>
      </c>
      <c r="U18" s="426">
        <f t="shared" si="13"/>
        <v>3090572</v>
      </c>
      <c r="V18" s="274"/>
      <c r="W18" s="542">
        <f t="shared" ref="W18:W22" si="14">U18/T18-1</f>
        <v>1.3638769580166077E-2</v>
      </c>
      <c r="X18" s="542">
        <f t="shared" ref="X18:X22" si="15">U18/Q18-1</f>
        <v>0.11620384683172347</v>
      </c>
      <c r="Y18" s="320"/>
    </row>
    <row r="19" spans="1:25" ht="13" customHeight="1">
      <c r="A19" s="312"/>
      <c r="B19" s="193" t="str">
        <f>IF('Summary | Sumário'!D$6=Names!B$3,Names!Q12,Names!R12)</f>
        <v>Interest expenses</v>
      </c>
      <c r="C19" s="269">
        <v>256717</v>
      </c>
      <c r="D19" s="269">
        <v>184335</v>
      </c>
      <c r="E19" s="269">
        <v>543242</v>
      </c>
      <c r="F19" s="269">
        <v>1972850</v>
      </c>
      <c r="G19" s="269">
        <v>2887573</v>
      </c>
      <c r="H19" s="269">
        <v>65559</v>
      </c>
      <c r="I19" s="269">
        <v>86261</v>
      </c>
      <c r="J19" s="269">
        <v>138587</v>
      </c>
      <c r="K19" s="269">
        <v>252835</v>
      </c>
      <c r="L19" s="269">
        <v>336771</v>
      </c>
      <c r="M19" s="269">
        <v>465041</v>
      </c>
      <c r="N19" s="269">
        <v>579678</v>
      </c>
      <c r="O19" s="269">
        <v>591360</v>
      </c>
      <c r="P19" s="269">
        <v>672771</v>
      </c>
      <c r="Q19" s="269">
        <v>692206</v>
      </c>
      <c r="R19" s="269">
        <v>770398</v>
      </c>
      <c r="S19" s="269">
        <v>752198.00500000012</v>
      </c>
      <c r="T19" s="269">
        <v>762246.89030000009</v>
      </c>
      <c r="U19" s="269">
        <v>772643</v>
      </c>
      <c r="V19" s="274"/>
      <c r="W19" s="540">
        <f t="shared" si="14"/>
        <v>1.3638769580166077E-2</v>
      </c>
      <c r="X19" s="540">
        <f t="shared" si="15"/>
        <v>0.11620384683172347</v>
      </c>
      <c r="Y19" s="320"/>
    </row>
    <row r="20" spans="1:25" ht="13" customHeight="1">
      <c r="A20" s="312"/>
      <c r="B20" s="16" t="str">
        <f>IF('Summary | Sumário'!D$6=Names!B$3,Names!Q13,Names!R13)</f>
        <v>(÷) Average funding</v>
      </c>
      <c r="C20" s="321">
        <f>AVERAGE(C21:C22)</f>
        <v>6974552</v>
      </c>
      <c r="D20" s="321">
        <f t="shared" ref="D20:R20" si="16">AVERAGE(D21:D22)</f>
        <v>10635449.5</v>
      </c>
      <c r="E20" s="321">
        <f t="shared" si="16"/>
        <v>18670032</v>
      </c>
      <c r="F20" s="321">
        <f t="shared" si="16"/>
        <v>27780267.5</v>
      </c>
      <c r="G20" s="321">
        <f t="shared" si="16"/>
        <v>38014925</v>
      </c>
      <c r="H20" s="321">
        <f t="shared" si="16"/>
        <v>23928322.506689999</v>
      </c>
      <c r="I20" s="321">
        <f t="shared" si="16"/>
        <v>16731200.244014997</v>
      </c>
      <c r="J20" s="321">
        <f t="shared" si="16"/>
        <v>19641228.496824998</v>
      </c>
      <c r="K20" s="321">
        <f t="shared" si="16"/>
        <v>22101800.259500001</v>
      </c>
      <c r="L20" s="321">
        <f t="shared" si="16"/>
        <v>23894688</v>
      </c>
      <c r="M20" s="321">
        <f t="shared" si="16"/>
        <v>26211898</v>
      </c>
      <c r="N20" s="321">
        <f t="shared" si="16"/>
        <v>29183363</v>
      </c>
      <c r="O20" s="321">
        <f t="shared" si="16"/>
        <v>31602703.5</v>
      </c>
      <c r="P20" s="321">
        <f t="shared" si="16"/>
        <v>33024751.5</v>
      </c>
      <c r="Q20" s="321">
        <f t="shared" si="16"/>
        <v>34598886.020369999</v>
      </c>
      <c r="R20" s="321">
        <f t="shared" si="16"/>
        <v>37618356.800609998</v>
      </c>
      <c r="S20" s="321">
        <f t="shared" ref="S20:T20" si="17">AVERAGE(S21:S22)</f>
        <v>41542329.280239999</v>
      </c>
      <c r="T20" s="321">
        <f t="shared" si="17"/>
        <v>43648306.502857968</v>
      </c>
      <c r="U20" s="321">
        <f t="shared" ref="U20" si="18">AVERAGE(U21:U22)</f>
        <v>45771590.930862978</v>
      </c>
      <c r="V20" s="321"/>
      <c r="W20" s="543">
        <f t="shared" si="14"/>
        <v>4.8645287712731466E-2</v>
      </c>
      <c r="X20" s="543">
        <f t="shared" si="15"/>
        <v>0.32292094329034415</v>
      </c>
      <c r="Y20" s="320"/>
    </row>
    <row r="21" spans="1:25" ht="13" customHeight="1">
      <c r="A21" s="312"/>
      <c r="B21" s="193" t="str">
        <f>IF('Summary | Sumário'!D$6=Names!B$3,Names!Q14,Names!R14)</f>
        <v>Total funding</v>
      </c>
      <c r="C21" s="322">
        <f>C15</f>
        <v>6974552</v>
      </c>
      <c r="D21" s="322">
        <f t="shared" ref="D21:R21" si="19">D15</f>
        <v>14296347</v>
      </c>
      <c r="E21" s="322">
        <f t="shared" si="19"/>
        <v>23043717</v>
      </c>
      <c r="F21" s="322">
        <f t="shared" si="19"/>
        <v>32516818</v>
      </c>
      <c r="G21" s="322">
        <f t="shared" si="19"/>
        <v>43513032</v>
      </c>
      <c r="H21" s="322">
        <f t="shared" si="19"/>
        <v>15339827.01338</v>
      </c>
      <c r="I21" s="322">
        <f t="shared" si="19"/>
        <v>18122573.474649996</v>
      </c>
      <c r="J21" s="322">
        <f t="shared" si="19"/>
        <v>21159883.519000001</v>
      </c>
      <c r="K21" s="322">
        <f t="shared" si="19"/>
        <v>23043717</v>
      </c>
      <c r="L21" s="322">
        <f t="shared" si="19"/>
        <v>24745659</v>
      </c>
      <c r="M21" s="322">
        <f t="shared" si="19"/>
        <v>27678137</v>
      </c>
      <c r="N21" s="322">
        <f t="shared" si="19"/>
        <v>30688589</v>
      </c>
      <c r="O21" s="322">
        <f t="shared" si="19"/>
        <v>32516818</v>
      </c>
      <c r="P21" s="322">
        <f t="shared" si="19"/>
        <v>33532685</v>
      </c>
      <c r="Q21" s="322">
        <f t="shared" si="19"/>
        <v>35665087.040739998</v>
      </c>
      <c r="R21" s="322">
        <f t="shared" si="19"/>
        <v>39571626.560479999</v>
      </c>
      <c r="S21" s="322">
        <f t="shared" ref="S21:T21" si="20">S15</f>
        <v>43513032</v>
      </c>
      <c r="T21" s="322">
        <f t="shared" si="20"/>
        <v>43783581.005715944</v>
      </c>
      <c r="U21" s="322">
        <f t="shared" ref="U21" si="21">U15</f>
        <v>47759600.856010005</v>
      </c>
      <c r="V21" s="321"/>
      <c r="W21" s="544">
        <f t="shared" si="14"/>
        <v>9.0810750490577519E-2</v>
      </c>
      <c r="X21" s="544">
        <f t="shared" si="15"/>
        <v>0.33911353704126723</v>
      </c>
      <c r="Y21" s="320"/>
    </row>
    <row r="22" spans="1:25" ht="13" customHeight="1">
      <c r="A22" s="312"/>
      <c r="B22" s="190" t="str">
        <f>IF('Summary | Sumário'!D$6=Names!B$3,Names!Q15,Names!R15)</f>
        <v>Total funding in the previous period</v>
      </c>
      <c r="C22" s="321">
        <f>C15</f>
        <v>6974552</v>
      </c>
      <c r="D22" s="321">
        <f t="shared" ref="D22:Q22" si="22">C15</f>
        <v>6974552</v>
      </c>
      <c r="E22" s="321">
        <f t="shared" si="22"/>
        <v>14296347</v>
      </c>
      <c r="F22" s="321">
        <f t="shared" si="22"/>
        <v>23043717</v>
      </c>
      <c r="G22" s="321">
        <f t="shared" si="22"/>
        <v>32516818</v>
      </c>
      <c r="H22" s="321">
        <f>F15</f>
        <v>32516818</v>
      </c>
      <c r="I22" s="321">
        <f t="shared" si="22"/>
        <v>15339827.01338</v>
      </c>
      <c r="J22" s="321">
        <f t="shared" si="22"/>
        <v>18122573.474649996</v>
      </c>
      <c r="K22" s="321">
        <f t="shared" si="22"/>
        <v>21159883.519000001</v>
      </c>
      <c r="L22" s="321">
        <f t="shared" si="22"/>
        <v>23043717</v>
      </c>
      <c r="M22" s="321">
        <f t="shared" si="22"/>
        <v>24745659</v>
      </c>
      <c r="N22" s="321">
        <f t="shared" si="22"/>
        <v>27678137</v>
      </c>
      <c r="O22" s="321">
        <f t="shared" si="22"/>
        <v>30688589</v>
      </c>
      <c r="P22" s="321">
        <f t="shared" si="22"/>
        <v>32516818</v>
      </c>
      <c r="Q22" s="321">
        <f t="shared" si="22"/>
        <v>33532685</v>
      </c>
      <c r="R22" s="321">
        <f>Q15</f>
        <v>35665087.040739998</v>
      </c>
      <c r="S22" s="321">
        <f>R15</f>
        <v>39571626.560479999</v>
      </c>
      <c r="T22" s="321">
        <f>S15</f>
        <v>43513032</v>
      </c>
      <c r="U22" s="321">
        <f>T15</f>
        <v>43783581.005715944</v>
      </c>
      <c r="V22" s="321"/>
      <c r="W22" s="543">
        <f t="shared" si="14"/>
        <v>6.2176546492080931E-3</v>
      </c>
      <c r="X22" s="543">
        <f t="shared" si="15"/>
        <v>0.30569863420468546</v>
      </c>
      <c r="Y22" s="320"/>
    </row>
    <row r="23" spans="1:25" ht="13" customHeight="1">
      <c r="A23" s="312"/>
      <c r="B23" s="419" t="str">
        <f>IF('Summary | Sumário'!D$6=Names!B$3,Names!Q36,Names!R16)</f>
        <v>(=) All-in cost of funding (%)</v>
      </c>
      <c r="C23" s="437">
        <f>C18/C20</f>
        <v>3.6807668793637213E-2</v>
      </c>
      <c r="D23" s="437">
        <f t="shared" ref="D23:R23" si="23">D18/D20</f>
        <v>1.7332130625978714E-2</v>
      </c>
      <c r="E23" s="437">
        <f t="shared" si="23"/>
        <v>2.9097004225809575E-2</v>
      </c>
      <c r="F23" s="437">
        <f t="shared" si="23"/>
        <v>7.1016234814873541E-2</v>
      </c>
      <c r="G23" s="437">
        <f t="shared" si="23"/>
        <v>7.9147651087040166E-2</v>
      </c>
      <c r="H23" s="437">
        <f t="shared" si="23"/>
        <v>1.0959230423556969E-2</v>
      </c>
      <c r="I23" s="437">
        <f t="shared" si="23"/>
        <v>2.0622788261913692E-2</v>
      </c>
      <c r="J23" s="437">
        <f t="shared" si="23"/>
        <v>2.8223692835181377E-2</v>
      </c>
      <c r="K23" s="437">
        <f t="shared" si="23"/>
        <v>4.5758263495540207E-2</v>
      </c>
      <c r="L23" s="437">
        <f t="shared" si="23"/>
        <v>5.637587734981097E-2</v>
      </c>
      <c r="M23" s="437">
        <f t="shared" si="23"/>
        <v>7.0966398541608855E-2</v>
      </c>
      <c r="N23" s="437">
        <f t="shared" si="23"/>
        <v>7.9453214490735696E-2</v>
      </c>
      <c r="O23" s="437">
        <f t="shared" si="23"/>
        <v>7.48492925613152E-2</v>
      </c>
      <c r="P23" s="437">
        <f t="shared" si="23"/>
        <v>8.148688113519946E-2</v>
      </c>
      <c r="Q23" s="437">
        <f t="shared" si="23"/>
        <v>8.0026391554047796E-2</v>
      </c>
      <c r="R23" s="437">
        <f t="shared" si="23"/>
        <v>8.1917240998416782E-2</v>
      </c>
      <c r="S23" s="437">
        <f t="shared" ref="S23:T23" si="24">S18/S20</f>
        <v>7.2427138105401342E-2</v>
      </c>
      <c r="T23" s="437">
        <f t="shared" si="24"/>
        <v>6.9853513354529828E-2</v>
      </c>
      <c r="U23" s="437">
        <f t="shared" ref="U23" si="25">U18/U20</f>
        <v>6.7521620663529999E-2</v>
      </c>
      <c r="V23" s="499"/>
      <c r="W23" s="546">
        <f>(U23-T23)*100</f>
        <v>-0.23318926909998289</v>
      </c>
      <c r="X23" s="546">
        <f>(U23-Q23)*100</f>
        <v>-1.2504770890517798</v>
      </c>
      <c r="Y23" s="320"/>
    </row>
    <row r="24" spans="1:25" ht="13" customHeight="1">
      <c r="A24" s="312"/>
      <c r="B24" s="191" t="str">
        <f>IF('Summary | Sumário'!D$6=Names!B$3,Names!Q17,Names!R17)</f>
        <v>(÷) Average daily CDI rate in the period (%)</v>
      </c>
      <c r="C24" s="323">
        <v>5.9375494071146499E-2</v>
      </c>
      <c r="D24" s="323">
        <v>2.7735059760956016E-2</v>
      </c>
      <c r="E24" s="323">
        <v>4.4600000000000001E-2</v>
      </c>
      <c r="F24" s="323">
        <v>0.124527888446216</v>
      </c>
      <c r="G24" s="323">
        <v>0.1320823293</v>
      </c>
      <c r="H24" s="323">
        <v>2.022950819672133E-2</v>
      </c>
      <c r="I24" s="323">
        <v>3.2427419354838741E-2</v>
      </c>
      <c r="J24" s="323">
        <v>4.8576923076923101E-2</v>
      </c>
      <c r="K24" s="323">
        <v>7.6261904761904697E-2</v>
      </c>
      <c r="L24" s="323">
        <v>0.10270967741935499</v>
      </c>
      <c r="M24" s="323">
        <v>0.123758064516129</v>
      </c>
      <c r="N24" s="323">
        <v>0.13465384615384601</v>
      </c>
      <c r="O24" s="323">
        <v>0.13650000000000001</v>
      </c>
      <c r="P24" s="323">
        <v>0.13650000000000001</v>
      </c>
      <c r="Q24" s="323">
        <v>0.13650000000000001</v>
      </c>
      <c r="R24" s="323">
        <v>0.13275000000000001</v>
      </c>
      <c r="S24" s="323">
        <v>0.1224016393</v>
      </c>
      <c r="T24" s="323">
        <v>0.11281147540983601</v>
      </c>
      <c r="U24" s="323">
        <v>0.10507142857142864</v>
      </c>
      <c r="V24" s="323"/>
      <c r="W24" s="528">
        <f>(U24-T24)*100</f>
        <v>-0.77400468384073717</v>
      </c>
      <c r="X24" s="528">
        <f t="shared" ref="X24:X25" si="26">(U24-Q24)*100</f>
        <v>-3.1428571428571375</v>
      </c>
      <c r="Y24" s="320"/>
    </row>
    <row r="25" spans="1:25" ht="13" customHeight="1">
      <c r="A25" s="312"/>
      <c r="B25" s="419" t="str">
        <f>IF('Summary | Sumário'!D$6=Names!B$3,Names!Q35,Names!R18)</f>
        <v>(=) All-in cost of funding % of CDI</v>
      </c>
      <c r="C25" s="437">
        <f t="shared" ref="C25:R25" si="27">C23/C24</f>
        <v>0.61991347389097162</v>
      </c>
      <c r="D25" s="437">
        <f t="shared" si="27"/>
        <v>0.62491773139706708</v>
      </c>
      <c r="E25" s="437">
        <f t="shared" si="27"/>
        <v>0.65239919788810707</v>
      </c>
      <c r="F25" s="437">
        <f t="shared" si="27"/>
        <v>0.57028377900702687</v>
      </c>
      <c r="G25" s="437">
        <f t="shared" si="27"/>
        <v>0.59922967369292279</v>
      </c>
      <c r="H25" s="437">
        <f t="shared" si="27"/>
        <v>0.54174477782574915</v>
      </c>
      <c r="I25" s="437">
        <f t="shared" si="27"/>
        <v>0.63596760618684289</v>
      </c>
      <c r="J25" s="437">
        <f t="shared" si="27"/>
        <v>0.58101030381212626</v>
      </c>
      <c r="K25" s="437">
        <f t="shared" si="27"/>
        <v>0.60001469460277557</v>
      </c>
      <c r="L25" s="437">
        <f t="shared" si="27"/>
        <v>0.54888574052893768</v>
      </c>
      <c r="M25" s="437">
        <f t="shared" si="27"/>
        <v>0.57342847772445593</v>
      </c>
      <c r="N25" s="437">
        <f t="shared" si="27"/>
        <v>0.59005529184779504</v>
      </c>
      <c r="O25" s="437">
        <f t="shared" si="27"/>
        <v>0.54834646565066081</v>
      </c>
      <c r="P25" s="437">
        <f t="shared" si="27"/>
        <v>0.59697348816995932</v>
      </c>
      <c r="Q25" s="437">
        <f t="shared" si="27"/>
        <v>0.5862739307988849</v>
      </c>
      <c r="R25" s="437">
        <f t="shared" si="27"/>
        <v>0.61707902823666128</v>
      </c>
      <c r="S25" s="437">
        <f t="shared" ref="S25:T25" si="28">S23/S24</f>
        <v>0.59171705967014232</v>
      </c>
      <c r="T25" s="437">
        <f t="shared" si="28"/>
        <v>0.61920574215306567</v>
      </c>
      <c r="U25" s="437">
        <f t="shared" ref="U25" si="29">U23/U24</f>
        <v>0.64262589346663457</v>
      </c>
      <c r="V25" s="499"/>
      <c r="W25" s="546">
        <f>(U25-T25)*100</f>
        <v>2.3420151313568893</v>
      </c>
      <c r="X25" s="546">
        <f t="shared" si="26"/>
        <v>5.6351962667749671</v>
      </c>
      <c r="Y25" s="320"/>
    </row>
    <row r="26" spans="1:25" ht="13" customHeight="1">
      <c r="A26" s="312"/>
      <c r="Y26" s="320"/>
    </row>
    <row r="27" spans="1:25" ht="13" customHeight="1">
      <c r="A27" s="312"/>
      <c r="B27" s="24" t="str">
        <f>IF('Summary | Sumário'!D$6=Names!B$3,Names!Q33,Names!R33)</f>
        <v>Funding - excluding other interest bearing liabilities</v>
      </c>
      <c r="C27" s="379"/>
      <c r="D27" s="379"/>
      <c r="E27" s="379"/>
      <c r="F27" s="379"/>
      <c r="G27" s="379"/>
      <c r="H27" s="379"/>
      <c r="I27" s="379"/>
      <c r="J27" s="379"/>
      <c r="K27" s="379"/>
      <c r="L27" s="379"/>
      <c r="M27" s="379"/>
      <c r="N27" s="379"/>
      <c r="O27" s="379"/>
      <c r="P27" s="379"/>
      <c r="Q27" s="379"/>
      <c r="R27" s="379"/>
      <c r="S27" s="379"/>
      <c r="T27" s="379"/>
      <c r="U27" s="379"/>
      <c r="V27" s="278"/>
      <c r="W27" s="379"/>
      <c r="X27" s="379"/>
    </row>
    <row r="28" spans="1:25" ht="13" customHeight="1">
      <c r="A28" s="312"/>
      <c r="B28" s="396" t="str">
        <f>IF('Summary | Sumário'!D$6=Names!B$3,Names!Q3,Names!R3)</f>
        <v>Liabilities with customers</v>
      </c>
      <c r="C28" s="426">
        <v>4714439</v>
      </c>
      <c r="D28" s="426">
        <v>12436632</v>
      </c>
      <c r="E28" s="426">
        <f t="shared" ref="E28:E33" si="30">K28</f>
        <v>18333543</v>
      </c>
      <c r="F28" s="426">
        <f t="shared" ref="F28:F33" si="31">O28</f>
        <v>23642804</v>
      </c>
      <c r="G28" s="426">
        <f t="shared" ref="G28:G33" si="32">S28</f>
        <v>32651620</v>
      </c>
      <c r="H28" s="426">
        <v>13392679</v>
      </c>
      <c r="I28" s="426">
        <v>15629130.619999999</v>
      </c>
      <c r="J28" s="426">
        <v>17093473.298</v>
      </c>
      <c r="K28" s="426">
        <v>18333543</v>
      </c>
      <c r="L28" s="426">
        <v>18958118</v>
      </c>
      <c r="M28" s="426">
        <v>19746409</v>
      </c>
      <c r="N28" s="426">
        <v>21452026</v>
      </c>
      <c r="O28" s="426">
        <v>23642804</v>
      </c>
      <c r="P28" s="426">
        <v>24182006</v>
      </c>
      <c r="Q28" s="426">
        <v>26299326</v>
      </c>
      <c r="R28" s="426">
        <v>29063988</v>
      </c>
      <c r="S28" s="426">
        <v>32651620</v>
      </c>
      <c r="T28" s="426">
        <v>32643444.086135942</v>
      </c>
      <c r="U28" s="426">
        <v>35978317.836610004</v>
      </c>
      <c r="V28" s="274"/>
      <c r="W28" s="542">
        <f t="shared" ref="W28:W34" si="33">U28/T28-1</f>
        <v>0.10216059744414108</v>
      </c>
      <c r="X28" s="542">
        <f t="shared" ref="X28:X34" si="34">U28/Q28-1</f>
        <v>0.36803193498609077</v>
      </c>
    </row>
    <row r="29" spans="1:25" ht="13" customHeight="1">
      <c r="A29" s="312"/>
      <c r="B29" s="23" t="str">
        <f>IF('Summary | Sumário'!D$6=Names!B$3,Names!Q4,Names!R4)</f>
        <v>Demand deposits</v>
      </c>
      <c r="C29" s="322">
        <v>2094127</v>
      </c>
      <c r="D29" s="322">
        <v>6713351</v>
      </c>
      <c r="E29" s="322">
        <f t="shared" si="30"/>
        <v>9932809</v>
      </c>
      <c r="F29" s="322">
        <f t="shared" si="31"/>
        <v>11566826</v>
      </c>
      <c r="G29" s="322">
        <f t="shared" si="32"/>
        <v>2572536</v>
      </c>
      <c r="H29" s="322">
        <v>6984899</v>
      </c>
      <c r="I29" s="322">
        <v>8299742</v>
      </c>
      <c r="J29" s="322">
        <v>9163029</v>
      </c>
      <c r="K29" s="322">
        <v>9932809</v>
      </c>
      <c r="L29" s="322">
        <v>9620809</v>
      </c>
      <c r="M29" s="322">
        <v>9784611</v>
      </c>
      <c r="N29" s="322">
        <v>10418989</v>
      </c>
      <c r="O29" s="322">
        <v>11566826</v>
      </c>
      <c r="P29" s="322">
        <v>11005662</v>
      </c>
      <c r="Q29" s="322">
        <v>3109793</v>
      </c>
      <c r="R29" s="322">
        <v>1813779</v>
      </c>
      <c r="S29" s="322">
        <v>2572536</v>
      </c>
      <c r="T29" s="322">
        <v>1593427.4698459422</v>
      </c>
      <c r="U29" s="322">
        <v>1431720.5057700002</v>
      </c>
      <c r="V29" s="321"/>
      <c r="W29" s="544">
        <f t="shared" si="33"/>
        <v>-0.10148373059714877</v>
      </c>
      <c r="X29" s="544">
        <f t="shared" si="34"/>
        <v>-0.53960906537187525</v>
      </c>
    </row>
    <row r="30" spans="1:25" ht="13" customHeight="1">
      <c r="B30" s="17" t="str">
        <f>IF('Summary | Sumário'!D$6=Names!B$3,Names!Q5,Names!R5)</f>
        <v>Time deposits</v>
      </c>
      <c r="C30" s="321">
        <v>2259047</v>
      </c>
      <c r="D30" s="321">
        <v>4771204</v>
      </c>
      <c r="E30" s="321">
        <f t="shared" si="30"/>
        <v>6922061</v>
      </c>
      <c r="F30" s="321">
        <f t="shared" si="31"/>
        <v>10517060</v>
      </c>
      <c r="G30" s="321">
        <f t="shared" si="32"/>
        <v>28158459</v>
      </c>
      <c r="H30" s="321">
        <v>5394450</v>
      </c>
      <c r="I30" s="321">
        <v>6119961</v>
      </c>
      <c r="J30" s="321">
        <v>6580559</v>
      </c>
      <c r="K30" s="321">
        <v>6922061</v>
      </c>
      <c r="L30" s="321">
        <v>7894003</v>
      </c>
      <c r="M30" s="321">
        <v>8579727</v>
      </c>
      <c r="N30" s="321">
        <v>9558462</v>
      </c>
      <c r="O30" s="321">
        <v>10517060</v>
      </c>
      <c r="P30" s="321">
        <v>11687031</v>
      </c>
      <c r="Q30" s="321">
        <v>21616586</v>
      </c>
      <c r="R30" s="321">
        <v>25572336</v>
      </c>
      <c r="S30" s="321">
        <v>28158459</v>
      </c>
      <c r="T30" s="321">
        <v>29169018.986099999</v>
      </c>
      <c r="U30" s="321">
        <v>32531468</v>
      </c>
      <c r="V30" s="321"/>
      <c r="W30" s="543">
        <f t="shared" si="33"/>
        <v>0.1152746691790465</v>
      </c>
      <c r="X30" s="543">
        <f t="shared" si="34"/>
        <v>0.50493088964187027</v>
      </c>
    </row>
    <row r="31" spans="1:25" ht="13" customHeight="1">
      <c r="B31" s="23" t="str">
        <f>IF('Summary | Sumário'!D$6=Names!B$3,Names!Q6,Names!R6)</f>
        <v>Savings deposits</v>
      </c>
      <c r="C31" s="322">
        <v>307098</v>
      </c>
      <c r="D31" s="322">
        <v>887666</v>
      </c>
      <c r="E31" s="322">
        <f t="shared" si="30"/>
        <v>1230039</v>
      </c>
      <c r="F31" s="322">
        <f t="shared" si="31"/>
        <v>1307055</v>
      </c>
      <c r="G31" s="322">
        <f t="shared" si="32"/>
        <v>1540604</v>
      </c>
      <c r="H31" s="322">
        <v>935359</v>
      </c>
      <c r="I31" s="322">
        <v>1049178</v>
      </c>
      <c r="J31" s="322">
        <v>1138085</v>
      </c>
      <c r="K31" s="322">
        <v>1230039</v>
      </c>
      <c r="L31" s="322">
        <v>1215061</v>
      </c>
      <c r="M31" s="322">
        <v>1182012</v>
      </c>
      <c r="N31" s="322">
        <v>1216043</v>
      </c>
      <c r="O31" s="322">
        <v>1307055</v>
      </c>
      <c r="P31" s="322">
        <v>1274938</v>
      </c>
      <c r="Q31" s="322">
        <v>1305803</v>
      </c>
      <c r="R31" s="322">
        <v>1350713</v>
      </c>
      <c r="S31" s="322">
        <v>1540604</v>
      </c>
      <c r="T31" s="322">
        <v>1549652.25122</v>
      </c>
      <c r="U31" s="322">
        <v>1715785.11815</v>
      </c>
      <c r="V31" s="321"/>
      <c r="W31" s="544">
        <f t="shared" si="33"/>
        <v>0.10720654701673094</v>
      </c>
      <c r="X31" s="544">
        <f t="shared" si="34"/>
        <v>0.31396934924333908</v>
      </c>
    </row>
    <row r="32" spans="1:25" ht="13" customHeight="1">
      <c r="B32" s="17" t="str">
        <f>IF('Summary | Sumário'!D$6=Names!B$3,Names!Q7,Names!R7)</f>
        <v>Creditors by resources to release</v>
      </c>
      <c r="C32" s="321">
        <v>54167</v>
      </c>
      <c r="D32" s="321">
        <v>64410</v>
      </c>
      <c r="E32" s="321">
        <f t="shared" si="30"/>
        <v>248633</v>
      </c>
      <c r="F32" s="321">
        <f t="shared" si="31"/>
        <v>251863</v>
      </c>
      <c r="G32" s="321">
        <f t="shared" si="32"/>
        <v>380021</v>
      </c>
      <c r="H32" s="321">
        <v>77971</v>
      </c>
      <c r="I32" s="321">
        <v>160250</v>
      </c>
      <c r="J32" s="321">
        <v>211800</v>
      </c>
      <c r="K32" s="321">
        <v>248633</v>
      </c>
      <c r="L32" s="321">
        <v>228245</v>
      </c>
      <c r="M32" s="321">
        <v>200059</v>
      </c>
      <c r="N32" s="321">
        <v>258532</v>
      </c>
      <c r="O32" s="321">
        <v>251863</v>
      </c>
      <c r="P32" s="321">
        <v>214375</v>
      </c>
      <c r="Q32" s="321">
        <v>267144</v>
      </c>
      <c r="R32" s="321">
        <v>327160</v>
      </c>
      <c r="S32" s="321">
        <v>380021</v>
      </c>
      <c r="T32" s="321">
        <v>331346</v>
      </c>
      <c r="U32" s="321">
        <v>299344.21268999996</v>
      </c>
      <c r="V32" s="321"/>
      <c r="W32" s="543">
        <f t="shared" si="33"/>
        <v>-9.6581178918713539E-2</v>
      </c>
      <c r="X32" s="543">
        <f t="shared" si="34"/>
        <v>0.12053503986613934</v>
      </c>
    </row>
    <row r="33" spans="1:26" ht="13" customHeight="1">
      <c r="B33" s="22" t="str">
        <f>IF('Summary | Sumário'!D$6=Names!B$3,Names!Q8,Names!R8)</f>
        <v>Securities issued</v>
      </c>
      <c r="C33" s="322">
        <v>1719580</v>
      </c>
      <c r="D33" s="322">
        <v>1729436</v>
      </c>
      <c r="E33" s="322">
        <f t="shared" si="30"/>
        <v>3572093</v>
      </c>
      <c r="F33" s="322">
        <f t="shared" si="31"/>
        <v>6202165</v>
      </c>
      <c r="G33" s="322">
        <f t="shared" si="32"/>
        <v>8095042</v>
      </c>
      <c r="H33" s="322">
        <v>1704892</v>
      </c>
      <c r="I33" s="322">
        <v>2081723</v>
      </c>
      <c r="J33" s="322">
        <v>3093320</v>
      </c>
      <c r="K33" s="322">
        <v>3572093</v>
      </c>
      <c r="L33" s="322">
        <v>4280956</v>
      </c>
      <c r="M33" s="322">
        <v>6104223</v>
      </c>
      <c r="N33" s="322">
        <v>6916919</v>
      </c>
      <c r="O33" s="322">
        <v>6202165</v>
      </c>
      <c r="P33" s="322">
        <v>6640557</v>
      </c>
      <c r="Q33" s="322">
        <v>7006191.0407400001</v>
      </c>
      <c r="R33" s="322">
        <v>7462564.5372699993</v>
      </c>
      <c r="S33" s="322">
        <v>8095042</v>
      </c>
      <c r="T33" s="322">
        <v>8249142.2142699994</v>
      </c>
      <c r="U33" s="322">
        <v>8543248.1731000002</v>
      </c>
      <c r="V33" s="321"/>
      <c r="W33" s="544">
        <f t="shared" si="33"/>
        <v>3.5652914107994649E-2</v>
      </c>
      <c r="X33" s="544">
        <f t="shared" si="34"/>
        <v>0.21938555820448413</v>
      </c>
    </row>
    <row r="34" spans="1:26" ht="13" customHeight="1">
      <c r="B34" s="420" t="str">
        <f>IF('Summary | Sumário'!D$6=Names!B$3,Names!Q9,Names!R9)</f>
        <v>Total funding</v>
      </c>
      <c r="C34" s="424">
        <f t="shared" ref="C34:R34" si="35">C28+C33</f>
        <v>6434019</v>
      </c>
      <c r="D34" s="424">
        <f t="shared" si="35"/>
        <v>14166068</v>
      </c>
      <c r="E34" s="424">
        <f t="shared" si="35"/>
        <v>21905636</v>
      </c>
      <c r="F34" s="424">
        <f t="shared" si="35"/>
        <v>29844969</v>
      </c>
      <c r="G34" s="424">
        <f t="shared" si="35"/>
        <v>40746662</v>
      </c>
      <c r="H34" s="424">
        <f t="shared" si="35"/>
        <v>15097571</v>
      </c>
      <c r="I34" s="424">
        <f t="shared" si="35"/>
        <v>17710853.619999997</v>
      </c>
      <c r="J34" s="424">
        <f t="shared" si="35"/>
        <v>20186793.298</v>
      </c>
      <c r="K34" s="424">
        <f t="shared" si="35"/>
        <v>21905636</v>
      </c>
      <c r="L34" s="424">
        <f t="shared" si="35"/>
        <v>23239074</v>
      </c>
      <c r="M34" s="424">
        <f t="shared" si="35"/>
        <v>25850632</v>
      </c>
      <c r="N34" s="424">
        <f t="shared" si="35"/>
        <v>28368945</v>
      </c>
      <c r="O34" s="424">
        <f t="shared" si="35"/>
        <v>29844969</v>
      </c>
      <c r="P34" s="424">
        <f t="shared" si="35"/>
        <v>30822563</v>
      </c>
      <c r="Q34" s="424">
        <f t="shared" si="35"/>
        <v>33305517.040739998</v>
      </c>
      <c r="R34" s="424">
        <f t="shared" si="35"/>
        <v>36526552.537270002</v>
      </c>
      <c r="S34" s="424">
        <f t="shared" ref="S34:T34" si="36">S28+S33</f>
        <v>40746662</v>
      </c>
      <c r="T34" s="424">
        <f t="shared" si="36"/>
        <v>40892586.300405942</v>
      </c>
      <c r="U34" s="424">
        <f t="shared" ref="U34" si="37">U28+U33</f>
        <v>44521566.009710006</v>
      </c>
      <c r="V34" s="233"/>
      <c r="W34" s="545">
        <f t="shared" si="33"/>
        <v>8.8744196384273222E-2</v>
      </c>
      <c r="X34" s="545">
        <f t="shared" si="34"/>
        <v>0.33676249359078581</v>
      </c>
    </row>
    <row r="35" spans="1:26" ht="13" customHeight="1">
      <c r="B35" s="24"/>
      <c r="C35" s="324"/>
      <c r="D35" s="324"/>
      <c r="E35" s="324"/>
      <c r="F35" s="324"/>
      <c r="G35" s="324"/>
      <c r="H35" s="324"/>
      <c r="I35" s="324"/>
      <c r="J35" s="324"/>
      <c r="K35" s="324"/>
      <c r="L35" s="324"/>
      <c r="M35" s="324"/>
      <c r="N35" s="324"/>
      <c r="O35" s="324"/>
      <c r="P35" s="324"/>
      <c r="Q35" s="324"/>
      <c r="R35" s="324"/>
      <c r="S35" s="324"/>
      <c r="T35" s="324"/>
      <c r="U35" s="324"/>
      <c r="V35" s="233"/>
      <c r="W35" s="324"/>
      <c r="X35" s="324"/>
    </row>
    <row r="36" spans="1:26" s="231" customFormat="1" ht="13" customHeight="1">
      <c r="A36" s="229"/>
      <c r="B36" s="3" t="str">
        <f>IF('Summary | Sumário'!D$6=Names!B$3,Names!Q34,Names!R34)</f>
        <v>Cost of funding - excluding other interest bearing liabilities</v>
      </c>
      <c r="C36" s="278"/>
      <c r="D36" s="278"/>
      <c r="E36" s="278"/>
      <c r="F36" s="278"/>
      <c r="G36" s="278"/>
      <c r="H36" s="278"/>
      <c r="I36" s="278"/>
      <c r="J36" s="278"/>
      <c r="K36" s="278"/>
      <c r="L36" s="278"/>
      <c r="M36" s="278"/>
      <c r="N36" s="278"/>
      <c r="O36" s="278"/>
      <c r="P36" s="278"/>
      <c r="Q36" s="278"/>
      <c r="R36" s="278"/>
      <c r="S36" s="278"/>
      <c r="T36" s="278"/>
      <c r="U36" s="278"/>
      <c r="V36" s="278"/>
      <c r="W36" s="278"/>
      <c r="X36" s="278"/>
    </row>
    <row r="37" spans="1:26" s="256" customFormat="1" ht="13" customHeight="1">
      <c r="A37" s="325"/>
      <c r="B37" s="388" t="str">
        <f>IF('Summary | Sumário'!D$6=Names!B$3,Names!Q11,Names!R11)</f>
        <v>Annualized interest expenses</v>
      </c>
      <c r="C37" s="423">
        <f>C38</f>
        <v>256717</v>
      </c>
      <c r="D37" s="423">
        <f t="shared" ref="D37:F37" si="38">D38</f>
        <v>184335</v>
      </c>
      <c r="E37" s="423">
        <f t="shared" si="38"/>
        <v>543242</v>
      </c>
      <c r="F37" s="423">
        <f t="shared" si="38"/>
        <v>1972850</v>
      </c>
      <c r="G37" s="423">
        <f t="shared" ref="G37" si="39">S37</f>
        <v>3008792.0200000005</v>
      </c>
      <c r="H37" s="423">
        <f>H38*4</f>
        <v>262236</v>
      </c>
      <c r="I37" s="423">
        <f t="shared" ref="I37:U37" si="40">I38*4</f>
        <v>345044</v>
      </c>
      <c r="J37" s="423">
        <f t="shared" si="40"/>
        <v>554348</v>
      </c>
      <c r="K37" s="423">
        <f t="shared" si="40"/>
        <v>1011340</v>
      </c>
      <c r="L37" s="423">
        <f t="shared" si="40"/>
        <v>1347084</v>
      </c>
      <c r="M37" s="423">
        <f t="shared" si="40"/>
        <v>1860164</v>
      </c>
      <c r="N37" s="423">
        <f t="shared" si="40"/>
        <v>2318712</v>
      </c>
      <c r="O37" s="423">
        <f t="shared" si="40"/>
        <v>2365440</v>
      </c>
      <c r="P37" s="423">
        <f t="shared" si="40"/>
        <v>2691084</v>
      </c>
      <c r="Q37" s="423">
        <f t="shared" si="40"/>
        <v>2768824</v>
      </c>
      <c r="R37" s="423">
        <f t="shared" si="40"/>
        <v>3081592</v>
      </c>
      <c r="S37" s="423">
        <f t="shared" si="40"/>
        <v>3008792.0200000005</v>
      </c>
      <c r="T37" s="423">
        <f t="shared" si="40"/>
        <v>3048987.5612000003</v>
      </c>
      <c r="U37" s="423">
        <f t="shared" si="40"/>
        <v>3090572</v>
      </c>
      <c r="V37" s="274"/>
      <c r="W37" s="538">
        <f t="shared" ref="W37:W41" si="41">U37/T37-1</f>
        <v>1.3638769580166077E-2</v>
      </c>
      <c r="X37" s="538">
        <f t="shared" ref="X37:X41" si="42">U37/Q37-1</f>
        <v>0.11620384683172347</v>
      </c>
      <c r="Y37" s="280"/>
    </row>
    <row r="38" spans="1:26" ht="13" customHeight="1">
      <c r="B38" s="190" t="str">
        <f>IF('Summary | Sumário'!D$6=Names!B$3,Names!Q12,Names!R12)</f>
        <v>Interest expenses</v>
      </c>
      <c r="C38" s="274">
        <v>256717</v>
      </c>
      <c r="D38" s="274">
        <v>184335</v>
      </c>
      <c r="E38" s="274">
        <v>543242</v>
      </c>
      <c r="F38" s="274">
        <v>1972850</v>
      </c>
      <c r="G38" s="274">
        <v>2887573</v>
      </c>
      <c r="H38" s="274">
        <v>65559</v>
      </c>
      <c r="I38" s="274">
        <v>86261</v>
      </c>
      <c r="J38" s="274">
        <v>138587</v>
      </c>
      <c r="K38" s="274">
        <v>252835</v>
      </c>
      <c r="L38" s="274">
        <v>336771</v>
      </c>
      <c r="M38" s="274">
        <v>465041</v>
      </c>
      <c r="N38" s="274">
        <v>579678</v>
      </c>
      <c r="O38" s="274">
        <v>591360</v>
      </c>
      <c r="P38" s="274">
        <v>672771</v>
      </c>
      <c r="Q38" s="274">
        <v>692206</v>
      </c>
      <c r="R38" s="274">
        <v>770398</v>
      </c>
      <c r="S38" s="274">
        <v>752198.00500000012</v>
      </c>
      <c r="T38" s="274">
        <v>762246.89030000009</v>
      </c>
      <c r="U38" s="274">
        <v>772643</v>
      </c>
      <c r="V38" s="274"/>
      <c r="W38" s="539">
        <f t="shared" si="41"/>
        <v>1.3638769580166077E-2</v>
      </c>
      <c r="X38" s="539">
        <f t="shared" si="42"/>
        <v>0.11620384683172347</v>
      </c>
    </row>
    <row r="39" spans="1:26" ht="13" customHeight="1">
      <c r="B39" s="22" t="str">
        <f>IF('Summary | Sumário'!D$6=Names!B$3,Names!Q13,Names!R13)</f>
        <v>(÷) Average funding</v>
      </c>
      <c r="C39" s="322">
        <f>AVERAGE(C40:C41)</f>
        <v>6434019</v>
      </c>
      <c r="D39" s="322">
        <f t="shared" ref="D39:P39" si="43">AVERAGE(D40:D41)</f>
        <v>10300043.5</v>
      </c>
      <c r="E39" s="322">
        <f t="shared" si="43"/>
        <v>18035852</v>
      </c>
      <c r="F39" s="322">
        <f t="shared" si="43"/>
        <v>25875302.5</v>
      </c>
      <c r="G39" s="322">
        <f t="shared" si="43"/>
        <v>35295815.5</v>
      </c>
      <c r="H39" s="322">
        <f t="shared" si="43"/>
        <v>14631819.5</v>
      </c>
      <c r="I39" s="322">
        <f t="shared" si="43"/>
        <v>16404212.309999999</v>
      </c>
      <c r="J39" s="322">
        <f t="shared" si="43"/>
        <v>18948823.458999999</v>
      </c>
      <c r="K39" s="322">
        <f t="shared" si="43"/>
        <v>21046214.649</v>
      </c>
      <c r="L39" s="322">
        <f t="shared" si="43"/>
        <v>22572355</v>
      </c>
      <c r="M39" s="322">
        <f t="shared" si="43"/>
        <v>24544853</v>
      </c>
      <c r="N39" s="322">
        <f t="shared" si="43"/>
        <v>27109788.5</v>
      </c>
      <c r="O39" s="322">
        <f t="shared" si="43"/>
        <v>29106957</v>
      </c>
      <c r="P39" s="322">
        <f t="shared" si="43"/>
        <v>30333766</v>
      </c>
      <c r="Q39" s="322">
        <f t="shared" ref="Q39:R39" si="44">AVERAGE(Q40:Q41)</f>
        <v>32064040.020369999</v>
      </c>
      <c r="R39" s="322">
        <f t="shared" si="44"/>
        <v>34916034.789004996</v>
      </c>
      <c r="S39" s="322">
        <f t="shared" ref="S39:T39" si="45">AVERAGE(S40:S41)</f>
        <v>38636607.268635005</v>
      </c>
      <c r="T39" s="322">
        <f t="shared" si="45"/>
        <v>40819624.150202975</v>
      </c>
      <c r="U39" s="322">
        <f t="shared" ref="U39" si="46">AVERAGE(U40:U41)</f>
        <v>42707076.155057974</v>
      </c>
      <c r="V39" s="321"/>
      <c r="W39" s="544">
        <f t="shared" si="41"/>
        <v>4.6238838405512794E-2</v>
      </c>
      <c r="X39" s="544">
        <f t="shared" si="42"/>
        <v>0.33193060287869369</v>
      </c>
    </row>
    <row r="40" spans="1:26" ht="13" customHeight="1">
      <c r="B40" s="190" t="str">
        <f>IF('Summary | Sumário'!D$6=Names!B$3,Names!Q14,Names!R14)</f>
        <v>Total funding</v>
      </c>
      <c r="C40" s="321">
        <f>C34</f>
        <v>6434019</v>
      </c>
      <c r="D40" s="321">
        <f t="shared" ref="D40:P40" si="47">D34</f>
        <v>14166068</v>
      </c>
      <c r="E40" s="321">
        <f t="shared" si="47"/>
        <v>21905636</v>
      </c>
      <c r="F40" s="321">
        <f t="shared" si="47"/>
        <v>29844969</v>
      </c>
      <c r="G40" s="321">
        <f t="shared" si="47"/>
        <v>40746662</v>
      </c>
      <c r="H40" s="321">
        <f t="shared" si="47"/>
        <v>15097571</v>
      </c>
      <c r="I40" s="321">
        <f t="shared" si="47"/>
        <v>17710853.619999997</v>
      </c>
      <c r="J40" s="321">
        <f t="shared" si="47"/>
        <v>20186793.298</v>
      </c>
      <c r="K40" s="321">
        <f t="shared" si="47"/>
        <v>21905636</v>
      </c>
      <c r="L40" s="321">
        <f t="shared" si="47"/>
        <v>23239074</v>
      </c>
      <c r="M40" s="321">
        <f t="shared" si="47"/>
        <v>25850632</v>
      </c>
      <c r="N40" s="321">
        <f t="shared" si="47"/>
        <v>28368945</v>
      </c>
      <c r="O40" s="321">
        <f t="shared" si="47"/>
        <v>29844969</v>
      </c>
      <c r="P40" s="321">
        <f t="shared" si="47"/>
        <v>30822563</v>
      </c>
      <c r="Q40" s="321">
        <f t="shared" ref="Q40:R40" si="48">Q34</f>
        <v>33305517.040739998</v>
      </c>
      <c r="R40" s="321">
        <f t="shared" si="48"/>
        <v>36526552.537270002</v>
      </c>
      <c r="S40" s="321">
        <f t="shared" ref="S40:T40" si="49">S34</f>
        <v>40746662</v>
      </c>
      <c r="T40" s="321">
        <f t="shared" si="49"/>
        <v>40892586.300405942</v>
      </c>
      <c r="U40" s="321">
        <f t="shared" ref="U40" si="50">U34</f>
        <v>44521566.009710006</v>
      </c>
      <c r="V40" s="321"/>
      <c r="W40" s="543">
        <f t="shared" si="41"/>
        <v>8.8744196384273222E-2</v>
      </c>
      <c r="X40" s="543">
        <f t="shared" si="42"/>
        <v>0.33676249359078581</v>
      </c>
    </row>
    <row r="41" spans="1:26" ht="13" customHeight="1">
      <c r="B41" s="193" t="str">
        <f>IF('Summary | Sumário'!D$6=Names!B$3,Names!Q15,Names!R15)</f>
        <v>Total funding in the previous period</v>
      </c>
      <c r="C41" s="322">
        <f>C34</f>
        <v>6434019</v>
      </c>
      <c r="D41" s="322">
        <f>C40</f>
        <v>6434019</v>
      </c>
      <c r="E41" s="322">
        <f t="shared" ref="E41:G41" si="51">D40</f>
        <v>14166068</v>
      </c>
      <c r="F41" s="322">
        <f t="shared" si="51"/>
        <v>21905636</v>
      </c>
      <c r="G41" s="322">
        <f t="shared" si="51"/>
        <v>29844969</v>
      </c>
      <c r="H41" s="322">
        <f>D40</f>
        <v>14166068</v>
      </c>
      <c r="I41" s="322">
        <f>H40</f>
        <v>15097571</v>
      </c>
      <c r="J41" s="322">
        <f t="shared" ref="J41:U41" si="52">I40</f>
        <v>17710853.619999997</v>
      </c>
      <c r="K41" s="322">
        <f t="shared" si="52"/>
        <v>20186793.298</v>
      </c>
      <c r="L41" s="322">
        <f t="shared" si="52"/>
        <v>21905636</v>
      </c>
      <c r="M41" s="322">
        <f t="shared" si="52"/>
        <v>23239074</v>
      </c>
      <c r="N41" s="322">
        <f t="shared" si="52"/>
        <v>25850632</v>
      </c>
      <c r="O41" s="322">
        <f t="shared" si="52"/>
        <v>28368945</v>
      </c>
      <c r="P41" s="322">
        <f t="shared" si="52"/>
        <v>29844969</v>
      </c>
      <c r="Q41" s="322">
        <f t="shared" si="52"/>
        <v>30822563</v>
      </c>
      <c r="R41" s="322">
        <f t="shared" si="52"/>
        <v>33305517.040739998</v>
      </c>
      <c r="S41" s="322">
        <f t="shared" si="52"/>
        <v>36526552.537270002</v>
      </c>
      <c r="T41" s="322">
        <f t="shared" si="52"/>
        <v>40746662</v>
      </c>
      <c r="U41" s="322">
        <f t="shared" si="52"/>
        <v>40892586.300405942</v>
      </c>
      <c r="V41" s="321"/>
      <c r="W41" s="544">
        <f t="shared" si="41"/>
        <v>3.5812577826852543E-3</v>
      </c>
      <c r="X41" s="544">
        <f t="shared" si="42"/>
        <v>0.32670947255119387</v>
      </c>
    </row>
    <row r="42" spans="1:26" ht="13" customHeight="1">
      <c r="B42" s="420" t="str">
        <f>IF('Summary | Sumário'!D$6=Names!B$3,Names!Q16,Names!R16)</f>
        <v>Cost of funding (%)</v>
      </c>
      <c r="C42" s="438">
        <f>C37/C39</f>
        <v>3.9899944342719533E-2</v>
      </c>
      <c r="D42" s="438">
        <f t="shared" ref="D42:P42" si="53">D37/D39</f>
        <v>1.7896526359330422E-2</v>
      </c>
      <c r="E42" s="438">
        <f t="shared" ref="E42" si="54">E37/E39</f>
        <v>3.0120118528362286E-2</v>
      </c>
      <c r="F42" s="438">
        <f t="shared" ref="F42:G42" si="55">F37/F39</f>
        <v>7.6244519266972816E-2</v>
      </c>
      <c r="G42" s="438">
        <f t="shared" si="55"/>
        <v>8.5245006451260499E-2</v>
      </c>
      <c r="H42" s="438">
        <f t="shared" si="53"/>
        <v>1.7922309662171544E-2</v>
      </c>
      <c r="I42" s="438">
        <f t="shared" si="53"/>
        <v>2.1033865782733217E-2</v>
      </c>
      <c r="J42" s="438">
        <f t="shared" si="53"/>
        <v>2.9255008956068192E-2</v>
      </c>
      <c r="K42" s="438">
        <f t="shared" si="53"/>
        <v>4.8053296845380851E-2</v>
      </c>
      <c r="L42" s="438">
        <f t="shared" si="53"/>
        <v>5.9678487246900024E-2</v>
      </c>
      <c r="M42" s="438">
        <f t="shared" si="53"/>
        <v>7.5786316585395724E-2</v>
      </c>
      <c r="N42" s="438">
        <f t="shared" si="53"/>
        <v>8.5530434883326373E-2</v>
      </c>
      <c r="O42" s="438">
        <f t="shared" si="53"/>
        <v>8.1267169220059651E-2</v>
      </c>
      <c r="P42" s="438">
        <f t="shared" si="53"/>
        <v>8.8715789526430708E-2</v>
      </c>
      <c r="Q42" s="438">
        <f t="shared" ref="Q42:R42" si="56">Q37/Q39</f>
        <v>8.6352936131597599E-2</v>
      </c>
      <c r="R42" s="438">
        <f t="shared" si="56"/>
        <v>8.8257215305856798E-2</v>
      </c>
      <c r="S42" s="438">
        <f t="shared" ref="S42:T42" si="57">S37/S39</f>
        <v>7.7874125931407079E-2</v>
      </c>
      <c r="T42" s="438">
        <f t="shared" si="57"/>
        <v>7.469416058268237E-2</v>
      </c>
      <c r="U42" s="438">
        <f t="shared" ref="U42" si="58">U37/U39</f>
        <v>7.2366742897101155E-2</v>
      </c>
      <c r="V42" s="499"/>
      <c r="W42" s="547">
        <f t="shared" ref="W42:W44" si="59">(U42-T42)*100</f>
        <v>-0.23274176855812151</v>
      </c>
      <c r="X42" s="547">
        <f t="shared" ref="X42:X44" si="60">(U42-Q42)*100</f>
        <v>-1.3986193234496445</v>
      </c>
    </row>
    <row r="43" spans="1:26" ht="13" customHeight="1">
      <c r="B43" s="194" t="str">
        <f>IF('Summary | Sumário'!D$6=Names!B$3,Names!Q17,Names!R17)</f>
        <v>(÷) Average daily CDI rate in the period (%)</v>
      </c>
      <c r="C43" s="326">
        <v>5.9375494071146499E-2</v>
      </c>
      <c r="D43" s="326">
        <v>2.7735059760956016E-2</v>
      </c>
      <c r="E43" s="326">
        <v>4.4600000000000001E-2</v>
      </c>
      <c r="F43" s="326">
        <v>0.124527888446216</v>
      </c>
      <c r="G43" s="326">
        <v>0.1320823293</v>
      </c>
      <c r="H43" s="326">
        <v>2.022950819672133E-2</v>
      </c>
      <c r="I43" s="326">
        <v>3.2427419354838741E-2</v>
      </c>
      <c r="J43" s="326">
        <v>4.8576923076923101E-2</v>
      </c>
      <c r="K43" s="326">
        <v>7.6261904761904697E-2</v>
      </c>
      <c r="L43" s="326">
        <v>0.10270967741935499</v>
      </c>
      <c r="M43" s="326">
        <v>0.123758064516129</v>
      </c>
      <c r="N43" s="326">
        <v>0.13465384615384601</v>
      </c>
      <c r="O43" s="326">
        <v>0.13650000000000001</v>
      </c>
      <c r="P43" s="326">
        <v>0.13650000000000001</v>
      </c>
      <c r="Q43" s="326">
        <v>0.13650000000000001</v>
      </c>
      <c r="R43" s="326">
        <v>0.13275000000000001</v>
      </c>
      <c r="S43" s="326">
        <v>0.1224016393</v>
      </c>
      <c r="T43" s="326">
        <v>0.11281147540983601</v>
      </c>
      <c r="U43" s="326">
        <v>0.10507142857142864</v>
      </c>
      <c r="V43" s="323"/>
      <c r="W43" s="529">
        <f t="shared" si="59"/>
        <v>-0.77400468384073717</v>
      </c>
      <c r="X43" s="529">
        <f t="shared" si="60"/>
        <v>-3.1428571428571375</v>
      </c>
    </row>
    <row r="44" spans="1:26" ht="13" customHeight="1">
      <c r="B44" s="420" t="str">
        <f>IF('Summary | Sumário'!D$6=Names!B$3,Names!Q18,Names!R18)</f>
        <v>Cost of funding % of CDI</v>
      </c>
      <c r="C44" s="438">
        <f t="shared" ref="C44:P44" si="61">C42/C43</f>
        <v>0.67199347082332572</v>
      </c>
      <c r="D44" s="438">
        <f t="shared" si="61"/>
        <v>0.64526727231084702</v>
      </c>
      <c r="E44" s="438">
        <f t="shared" si="61"/>
        <v>0.67533898045655349</v>
      </c>
      <c r="F44" s="438">
        <f t="shared" si="61"/>
        <v>0.61226862687793082</v>
      </c>
      <c r="G44" s="438">
        <f t="shared" si="61"/>
        <v>0.64539296742445096</v>
      </c>
      <c r="H44" s="438">
        <f t="shared" si="61"/>
        <v>0.88594885688206093</v>
      </c>
      <c r="I44" s="438">
        <f t="shared" si="61"/>
        <v>0.64864445587140429</v>
      </c>
      <c r="J44" s="438">
        <f t="shared" si="61"/>
        <v>0.6022408811225437</v>
      </c>
      <c r="K44" s="438">
        <f t="shared" si="61"/>
        <v>0.63010879410115439</v>
      </c>
      <c r="L44" s="438">
        <f t="shared" si="61"/>
        <v>0.58104054794406346</v>
      </c>
      <c r="M44" s="438">
        <f t="shared" si="61"/>
        <v>0.61237477235690552</v>
      </c>
      <c r="N44" s="438">
        <f t="shared" si="61"/>
        <v>0.63518746271536364</v>
      </c>
      <c r="O44" s="438">
        <f t="shared" si="61"/>
        <v>0.59536387707003402</v>
      </c>
      <c r="P44" s="438">
        <f t="shared" si="61"/>
        <v>0.64993252400315527</v>
      </c>
      <c r="Q44" s="438">
        <f t="shared" ref="Q44:R44" si="62">Q42/Q43</f>
        <v>0.6326222427223267</v>
      </c>
      <c r="R44" s="438">
        <f t="shared" si="62"/>
        <v>0.66483778008178374</v>
      </c>
      <c r="S44" s="438">
        <f t="shared" ref="S44:T44" si="63">S42/S43</f>
        <v>0.63621799819642677</v>
      </c>
      <c r="T44" s="438">
        <f t="shared" si="63"/>
        <v>0.6621149161583415</v>
      </c>
      <c r="U44" s="438">
        <f t="shared" ref="U44" si="64">U42/U43</f>
        <v>0.68873854558763803</v>
      </c>
      <c r="V44" s="499"/>
      <c r="W44" s="547">
        <f t="shared" si="59"/>
        <v>2.6623629429296525</v>
      </c>
      <c r="X44" s="547">
        <f t="shared" si="60"/>
        <v>5.6116302865311329</v>
      </c>
    </row>
    <row r="45" spans="1:26" ht="13" customHeight="1">
      <c r="B45" s="80"/>
      <c r="C45" s="323"/>
      <c r="D45" s="323"/>
      <c r="E45" s="323"/>
      <c r="F45" s="323"/>
      <c r="G45" s="323"/>
      <c r="H45" s="323"/>
      <c r="I45" s="323"/>
      <c r="J45" s="323"/>
      <c r="K45" s="323"/>
      <c r="L45" s="323"/>
      <c r="M45" s="323"/>
      <c r="N45" s="323"/>
      <c r="O45" s="323"/>
      <c r="P45" s="323"/>
      <c r="Q45" s="323"/>
      <c r="R45" s="323"/>
      <c r="S45" s="323"/>
      <c r="T45" s="323"/>
      <c r="U45" s="323"/>
      <c r="V45" s="323"/>
      <c r="W45" s="323"/>
      <c r="X45" s="323"/>
    </row>
    <row r="46" spans="1:26" ht="13" customHeight="1">
      <c r="B46" s="91" t="str">
        <f>IF('Summary | Sumário'!D6=Names!B3,Names!AT4,Names!AU4)</f>
        <v>Source: CDI Rate according to CETIP</v>
      </c>
      <c r="C46" s="323"/>
      <c r="D46" s="323"/>
      <c r="E46" s="323"/>
      <c r="F46" s="323"/>
      <c r="G46" s="323"/>
      <c r="H46" s="323"/>
      <c r="I46" s="323"/>
      <c r="J46" s="323"/>
      <c r="K46" s="323"/>
      <c r="L46" s="323"/>
      <c r="M46" s="323"/>
      <c r="N46" s="323"/>
      <c r="O46" s="323"/>
      <c r="P46" s="323"/>
      <c r="Q46" s="323"/>
      <c r="R46" s="323"/>
      <c r="S46" s="323"/>
      <c r="T46" s="323"/>
      <c r="U46" s="323"/>
      <c r="V46" s="323"/>
      <c r="W46" s="323"/>
      <c r="X46" s="323"/>
    </row>
    <row r="47" spans="1:26" ht="13" customHeight="1">
      <c r="B47" s="86"/>
      <c r="C47" s="327"/>
      <c r="D47" s="327"/>
      <c r="E47" s="327"/>
      <c r="F47" s="327"/>
      <c r="G47" s="327"/>
      <c r="H47" s="327"/>
      <c r="I47" s="327"/>
      <c r="J47" s="327"/>
      <c r="K47" s="327"/>
      <c r="L47" s="327"/>
      <c r="M47" s="327"/>
      <c r="N47" s="327"/>
      <c r="O47" s="327"/>
      <c r="P47" s="327"/>
      <c r="Q47" s="327"/>
      <c r="R47" s="327"/>
      <c r="S47" s="327"/>
      <c r="T47" s="327"/>
      <c r="U47" s="327"/>
      <c r="V47" s="327"/>
      <c r="W47" s="327"/>
      <c r="X47" s="327"/>
    </row>
    <row r="48" spans="1:26" ht="13" customHeight="1">
      <c r="B48" s="86"/>
      <c r="C48" s="327"/>
      <c r="D48" s="327"/>
      <c r="E48" s="327"/>
      <c r="F48" s="327"/>
      <c r="G48" s="327"/>
      <c r="H48" s="327"/>
      <c r="I48" s="327"/>
      <c r="J48" s="327"/>
      <c r="K48" s="327"/>
      <c r="L48" s="327"/>
      <c r="M48" s="327"/>
      <c r="N48" s="327"/>
      <c r="O48" s="327"/>
      <c r="P48" s="327"/>
      <c r="Q48" s="327"/>
      <c r="R48" s="327"/>
      <c r="S48" s="327"/>
      <c r="T48" s="327"/>
      <c r="U48" s="327"/>
      <c r="V48" s="327"/>
      <c r="W48" s="327"/>
      <c r="X48" s="327"/>
      <c r="Z48" s="237"/>
    </row>
    <row r="49" spans="1:27" ht="13" customHeight="1">
      <c r="A49" s="312"/>
      <c r="B49" s="86"/>
      <c r="C49" s="327"/>
      <c r="D49" s="327"/>
      <c r="E49" s="327"/>
      <c r="F49" s="327"/>
      <c r="G49" s="327"/>
      <c r="H49" s="327"/>
      <c r="I49" s="327"/>
      <c r="J49" s="327"/>
      <c r="K49" s="327"/>
      <c r="L49" s="327"/>
      <c r="M49" s="327"/>
      <c r="N49" s="327"/>
      <c r="O49" s="327"/>
      <c r="P49" s="327"/>
      <c r="Q49" s="327"/>
      <c r="R49" s="327"/>
      <c r="S49" s="327"/>
      <c r="T49" s="327"/>
      <c r="U49" s="327"/>
      <c r="V49" s="327"/>
      <c r="W49" s="327"/>
      <c r="X49" s="327"/>
      <c r="Y49" s="237"/>
      <c r="Z49" s="237"/>
      <c r="AA49" s="308"/>
    </row>
    <row r="50" spans="1:27" ht="13" customHeight="1">
      <c r="A50" s="312"/>
      <c r="B50" s="78"/>
      <c r="C50" s="274"/>
      <c r="D50" s="274"/>
      <c r="E50" s="274"/>
      <c r="F50" s="274"/>
      <c r="G50" s="274"/>
      <c r="H50" s="274"/>
      <c r="I50" s="274"/>
      <c r="J50" s="274"/>
      <c r="K50" s="274"/>
      <c r="L50" s="274"/>
      <c r="M50" s="274"/>
      <c r="N50" s="274"/>
      <c r="O50" s="274"/>
      <c r="P50" s="274"/>
      <c r="Q50" s="274"/>
      <c r="R50" s="274"/>
      <c r="S50" s="274"/>
      <c r="T50" s="274"/>
      <c r="U50" s="274"/>
      <c r="V50" s="274"/>
      <c r="W50" s="274"/>
      <c r="X50" s="274"/>
      <c r="Y50" s="237"/>
      <c r="Z50" s="237"/>
      <c r="AA50" s="308"/>
    </row>
    <row r="51" spans="1:27" ht="13" customHeight="1">
      <c r="A51" s="312"/>
      <c r="B51" s="78"/>
      <c r="C51" s="316"/>
      <c r="D51" s="316"/>
      <c r="E51" s="316"/>
      <c r="F51" s="316"/>
      <c r="G51" s="316"/>
      <c r="H51" s="316"/>
      <c r="I51" s="316"/>
      <c r="J51" s="316"/>
      <c r="K51" s="316"/>
      <c r="L51" s="316"/>
      <c r="M51" s="316"/>
      <c r="N51" s="316"/>
      <c r="O51" s="316"/>
      <c r="P51" s="316"/>
      <c r="Q51" s="316"/>
      <c r="R51" s="316"/>
      <c r="S51" s="316"/>
      <c r="T51" s="316"/>
      <c r="U51" s="316"/>
      <c r="V51" s="316"/>
      <c r="W51" s="316"/>
      <c r="X51" s="316"/>
      <c r="Y51" s="237"/>
      <c r="Z51" s="237"/>
    </row>
    <row r="52" spans="1:27" ht="13" customHeight="1">
      <c r="A52" s="312"/>
      <c r="B52" s="79"/>
      <c r="C52" s="328"/>
      <c r="D52" s="328"/>
      <c r="E52" s="328"/>
      <c r="F52" s="328"/>
      <c r="G52" s="328"/>
      <c r="H52" s="328"/>
      <c r="I52" s="328"/>
      <c r="J52" s="328"/>
      <c r="K52" s="328"/>
      <c r="L52" s="328"/>
      <c r="M52" s="328"/>
      <c r="N52" s="328"/>
      <c r="O52" s="328"/>
      <c r="P52" s="328"/>
      <c r="Q52" s="328"/>
      <c r="R52" s="328"/>
      <c r="S52" s="328"/>
      <c r="T52" s="328"/>
      <c r="U52" s="328"/>
      <c r="V52" s="328"/>
      <c r="W52" s="328"/>
      <c r="X52" s="328"/>
      <c r="Y52" s="237"/>
      <c r="Z52" s="237"/>
    </row>
    <row r="53" spans="1:27" ht="13" customHeight="1">
      <c r="A53" s="312"/>
      <c r="Y53" s="237"/>
      <c r="Z53" s="237"/>
    </row>
    <row r="54" spans="1:27" ht="13" customHeight="1">
      <c r="A54" s="312"/>
      <c r="B54" s="80"/>
      <c r="C54" s="323"/>
      <c r="D54" s="323"/>
      <c r="E54" s="323"/>
      <c r="F54" s="323"/>
      <c r="G54" s="323"/>
      <c r="H54" s="323"/>
      <c r="I54" s="323"/>
      <c r="J54" s="323"/>
      <c r="K54" s="323"/>
      <c r="L54" s="323"/>
      <c r="M54" s="323"/>
      <c r="N54" s="323"/>
      <c r="O54" s="323"/>
      <c r="P54" s="323"/>
      <c r="Q54" s="323"/>
      <c r="R54" s="323"/>
      <c r="S54" s="323"/>
      <c r="T54" s="323"/>
      <c r="U54" s="323"/>
      <c r="V54" s="323"/>
      <c r="W54" s="323"/>
      <c r="X54" s="323"/>
    </row>
    <row r="55" spans="1:27" ht="13" customHeight="1">
      <c r="A55" s="312"/>
      <c r="B55" s="80"/>
      <c r="C55" s="323"/>
      <c r="D55" s="323"/>
      <c r="E55" s="323"/>
      <c r="F55" s="323"/>
      <c r="G55" s="323"/>
      <c r="H55" s="323"/>
      <c r="I55" s="323"/>
      <c r="J55" s="323"/>
      <c r="K55" s="323"/>
      <c r="L55" s="323"/>
      <c r="M55" s="323"/>
      <c r="N55" s="323"/>
      <c r="O55" s="323"/>
      <c r="P55" s="323"/>
      <c r="Q55" s="323"/>
      <c r="R55" s="323"/>
      <c r="S55" s="323"/>
      <c r="T55" s="323"/>
      <c r="U55" s="323"/>
      <c r="V55" s="323"/>
      <c r="W55" s="323"/>
      <c r="X55" s="323"/>
    </row>
    <row r="56" spans="1:27" ht="13" customHeight="1">
      <c r="A56" s="312"/>
      <c r="B56" s="80"/>
      <c r="C56" s="323"/>
      <c r="D56" s="323"/>
      <c r="E56" s="323"/>
      <c r="F56" s="323"/>
      <c r="G56" s="323"/>
      <c r="H56" s="323"/>
      <c r="I56" s="323"/>
      <c r="J56" s="323"/>
      <c r="K56" s="323"/>
      <c r="L56" s="323"/>
      <c r="M56" s="323"/>
      <c r="N56" s="323"/>
      <c r="O56" s="323"/>
      <c r="P56" s="323"/>
      <c r="Q56" s="323"/>
      <c r="R56" s="323"/>
      <c r="S56" s="323"/>
      <c r="T56" s="323"/>
      <c r="U56" s="323"/>
      <c r="V56" s="323"/>
      <c r="W56" s="323"/>
      <c r="X56" s="323"/>
    </row>
    <row r="57" spans="1:27" ht="13" customHeight="1">
      <c r="A57" s="312"/>
      <c r="Y57" s="280"/>
    </row>
    <row r="58" spans="1:27" ht="13" customHeight="1">
      <c r="Y58" s="280"/>
    </row>
  </sheetData>
  <sheetProtection algorithmName="SHA-512" hashValue="ncFy6uZSIePGPLM/wafICWKVje7u16MeARQ7jnCaK3ldIf3A721rzXENSu66Sq9g6YnKqEUB3SCuKEGcLhXzdA==" saltValue="pnkpCMkDG3gOIrX/XmHzA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rgb="FFEB7100"/>
  </sheetPr>
  <dimension ref="A1:XEY3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21" width="10.83203125" style="201"/>
    <col min="22" max="22" width="5.83203125" style="201" customWidth="1"/>
    <col min="23" max="16384" width="10.83203125" style="201"/>
  </cols>
  <sheetData>
    <row r="1" spans="1:1013 1026:2040 2053:3067 3080:4094 4107:5108 5121:6135 6148:7162 7175:8189 8202:9216 9229:10230 10243:11257 11270:12284 12297:13311 13324:14325 14338:15352 15365:16379" ht="13" customHeight="1">
      <c r="C1" s="202"/>
      <c r="D1" s="202"/>
      <c r="E1" s="202"/>
      <c r="F1" s="202"/>
      <c r="G1" s="202"/>
      <c r="H1" s="202"/>
      <c r="I1" s="202"/>
      <c r="J1" s="202"/>
      <c r="K1" s="202"/>
      <c r="L1" s="202"/>
      <c r="M1" s="202"/>
      <c r="N1" s="202"/>
      <c r="O1" s="202"/>
      <c r="P1" s="202"/>
      <c r="Q1" s="202"/>
      <c r="R1" s="202"/>
      <c r="S1" s="202"/>
      <c r="T1" s="202"/>
      <c r="U1" s="202"/>
      <c r="V1" s="202"/>
      <c r="W1" s="202"/>
      <c r="X1" s="202"/>
    </row>
    <row r="2" spans="1:1013 1026:2040 2053:3067 3080:4094 4107:5108 5121:6135 6148:7162 7175:8189 8202:9216 9229:10230 10243:11257 11270:12284 12297:13311 13324:14325 14338:15352 15365:16379" s="10" customFormat="1" ht="13" customHeight="1">
      <c r="B2" s="384" t="str">
        <f>IF('Summary | Sumário'!D$6=Names!B$3,Names!S1,Names!T1)</f>
        <v>Fee Revenues (IFRS,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13">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6"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1:1013 1026:2040 2053:3067 3080:4094 4107:5108 5121:6135 6148:7162 7175:8189 8202:9216 9229:10230 10243:11257 11270:12284 12297:13311 13324:14325 14338:15352 15365:16379" ht="13" customHeight="1">
      <c r="B3" s="14"/>
      <c r="C3" s="212"/>
      <c r="D3" s="212"/>
      <c r="E3" s="212"/>
      <c r="F3" s="212"/>
      <c r="G3" s="213"/>
      <c r="H3" s="213"/>
      <c r="I3" s="213"/>
      <c r="J3" s="213"/>
      <c r="K3" s="213"/>
      <c r="L3" s="213"/>
      <c r="M3" s="213"/>
      <c r="N3" s="213"/>
      <c r="O3" s="213"/>
      <c r="P3" s="213"/>
      <c r="Q3" s="213"/>
      <c r="R3" s="213"/>
      <c r="S3" s="213"/>
      <c r="T3" s="213"/>
      <c r="U3" s="213"/>
      <c r="V3" s="213"/>
      <c r="W3" s="213"/>
      <c r="X3" s="213"/>
    </row>
    <row r="4" spans="1:1013 1026:2040 2053:3067 3080:4094 4107:5108 5121:6135 6148:7162 7175:8189 8202:9216 9229:10230 10243:11257 11270:12284 12297:13311 13324:14325 14338:15352 15365:16379" s="313" customFormat="1" ht="13" customHeight="1">
      <c r="A4" s="312"/>
      <c r="B4" s="387" t="str">
        <f>IF('Summary | Sumário'!D$6=Names!B$3,Names!S3,Names!T3)</f>
        <v xml:space="preserve">Revenues from services and commissions </v>
      </c>
      <c r="C4" s="274"/>
      <c r="D4" s="274"/>
      <c r="E4" s="274"/>
      <c r="F4" s="274"/>
      <c r="G4" s="274"/>
      <c r="H4" s="274"/>
      <c r="I4" s="274"/>
      <c r="J4" s="274"/>
      <c r="K4" s="274"/>
      <c r="L4" s="274"/>
      <c r="M4" s="274"/>
      <c r="N4" s="274"/>
      <c r="O4" s="274"/>
      <c r="P4" s="274"/>
      <c r="Q4" s="274"/>
      <c r="R4" s="274"/>
      <c r="S4" s="274"/>
      <c r="T4" s="274"/>
      <c r="U4" s="274"/>
      <c r="V4" s="274"/>
      <c r="W4" s="274"/>
      <c r="X4" s="274"/>
      <c r="Y4" s="274"/>
      <c r="Z4" s="201"/>
      <c r="AL4" s="314"/>
      <c r="AY4" s="314"/>
      <c r="BL4" s="314"/>
      <c r="BY4" s="314"/>
      <c r="CL4" s="314"/>
      <c r="CY4" s="314"/>
      <c r="DL4" s="314"/>
      <c r="DY4" s="314"/>
      <c r="EL4" s="314"/>
      <c r="EY4" s="314"/>
      <c r="FL4" s="314"/>
      <c r="FY4" s="314"/>
      <c r="GL4" s="314"/>
      <c r="GY4" s="314"/>
      <c r="HL4" s="314"/>
      <c r="HY4" s="314"/>
      <c r="IL4" s="314"/>
      <c r="IY4" s="314"/>
      <c r="JL4" s="314"/>
      <c r="JY4" s="314"/>
      <c r="KL4" s="314"/>
      <c r="KY4" s="314"/>
      <c r="LL4" s="314"/>
      <c r="LY4" s="314"/>
      <c r="ML4" s="314"/>
      <c r="MY4" s="314"/>
      <c r="NL4" s="314"/>
      <c r="NY4" s="314"/>
      <c r="OL4" s="314"/>
      <c r="OY4" s="314"/>
      <c r="PL4" s="314"/>
      <c r="PY4" s="314"/>
      <c r="QL4" s="314"/>
      <c r="QY4" s="314"/>
      <c r="RL4" s="314"/>
      <c r="RY4" s="314"/>
      <c r="SL4" s="314"/>
      <c r="SY4" s="314"/>
      <c r="TL4" s="314"/>
      <c r="TY4" s="314"/>
      <c r="UL4" s="314"/>
      <c r="UY4" s="314"/>
      <c r="VL4" s="314"/>
      <c r="VY4" s="314"/>
      <c r="WL4" s="314"/>
      <c r="WY4" s="314"/>
      <c r="XL4" s="314"/>
      <c r="XY4" s="314"/>
      <c r="YL4" s="314"/>
      <c r="YY4" s="314"/>
      <c r="ZL4" s="314"/>
      <c r="ZY4" s="314"/>
      <c r="AAL4" s="314"/>
      <c r="AAY4" s="314"/>
      <c r="ABL4" s="314"/>
      <c r="ABY4" s="314"/>
      <c r="ACL4" s="314"/>
      <c r="ACY4" s="314"/>
      <c r="ADL4" s="314"/>
      <c r="ADY4" s="314"/>
      <c r="AEL4" s="314"/>
      <c r="AEY4" s="314"/>
      <c r="AFL4" s="314"/>
      <c r="AFY4" s="314"/>
      <c r="AGL4" s="314"/>
      <c r="AGY4" s="314"/>
      <c r="AHL4" s="314"/>
      <c r="AHY4" s="314"/>
      <c r="AIL4" s="314"/>
      <c r="AIY4" s="314"/>
      <c r="AJL4" s="314"/>
      <c r="AJY4" s="314"/>
      <c r="AKL4" s="314"/>
      <c r="AKY4" s="314"/>
      <c r="ALL4" s="314"/>
      <c r="ALY4" s="314"/>
      <c r="AML4" s="314"/>
      <c r="AMY4" s="314"/>
      <c r="ANL4" s="314"/>
      <c r="ANY4" s="314"/>
      <c r="AOL4" s="314"/>
      <c r="AOY4" s="314"/>
      <c r="APL4" s="314"/>
      <c r="APY4" s="314"/>
      <c r="AQL4" s="314"/>
      <c r="AQY4" s="314"/>
      <c r="ARL4" s="314"/>
      <c r="ARY4" s="314"/>
      <c r="ASL4" s="314"/>
      <c r="ASY4" s="314"/>
      <c r="ATL4" s="314"/>
      <c r="ATY4" s="314"/>
      <c r="AUL4" s="314"/>
      <c r="AUY4" s="314"/>
      <c r="AVL4" s="314"/>
      <c r="AVY4" s="314"/>
      <c r="AWL4" s="314"/>
      <c r="AWY4" s="314"/>
      <c r="AXL4" s="314"/>
      <c r="AXY4" s="314"/>
      <c r="AYL4" s="314"/>
      <c r="AYY4" s="314"/>
      <c r="AZL4" s="314"/>
      <c r="AZY4" s="314"/>
      <c r="BAL4" s="314"/>
      <c r="BAY4" s="314"/>
      <c r="BBL4" s="314"/>
      <c r="BBY4" s="314"/>
      <c r="BCL4" s="314"/>
      <c r="BCY4" s="314"/>
      <c r="BDL4" s="314"/>
      <c r="BDY4" s="314"/>
      <c r="BEL4" s="314"/>
      <c r="BEY4" s="314"/>
      <c r="BFL4" s="314"/>
      <c r="BFY4" s="314"/>
      <c r="BGL4" s="314"/>
      <c r="BGY4" s="314"/>
      <c r="BHL4" s="314"/>
      <c r="BHY4" s="314"/>
      <c r="BIL4" s="314"/>
      <c r="BIY4" s="314"/>
      <c r="BJL4" s="314"/>
      <c r="BJY4" s="314"/>
      <c r="BKL4" s="314"/>
      <c r="BKY4" s="314"/>
      <c r="BLL4" s="314"/>
      <c r="BLY4" s="314"/>
      <c r="BML4" s="314"/>
      <c r="BMY4" s="314"/>
      <c r="BNL4" s="314"/>
      <c r="BNY4" s="314"/>
      <c r="BOL4" s="314"/>
      <c r="BOY4" s="314"/>
      <c r="BPL4" s="314"/>
      <c r="BPY4" s="314"/>
      <c r="BQL4" s="314"/>
      <c r="BQY4" s="314"/>
      <c r="BRL4" s="314"/>
      <c r="BRY4" s="314"/>
      <c r="BSL4" s="314"/>
      <c r="BSY4" s="314"/>
      <c r="BTL4" s="314"/>
      <c r="BTY4" s="314"/>
      <c r="BUL4" s="314"/>
      <c r="BUY4" s="314"/>
      <c r="BVL4" s="314"/>
      <c r="BVY4" s="314"/>
      <c r="BWL4" s="314"/>
      <c r="BWY4" s="314"/>
      <c r="BXL4" s="314"/>
      <c r="BXY4" s="314"/>
      <c r="BYL4" s="314"/>
      <c r="BYY4" s="314"/>
      <c r="BZL4" s="314"/>
      <c r="BZY4" s="314"/>
      <c r="CAL4" s="314"/>
      <c r="CAY4" s="314"/>
      <c r="CBL4" s="314"/>
      <c r="CBY4" s="314"/>
      <c r="CCL4" s="314"/>
      <c r="CCY4" s="314"/>
      <c r="CDL4" s="314"/>
      <c r="CDY4" s="314"/>
      <c r="CEL4" s="314"/>
      <c r="CEY4" s="314"/>
      <c r="CFL4" s="314"/>
      <c r="CFY4" s="314"/>
      <c r="CGL4" s="314"/>
      <c r="CGY4" s="314"/>
      <c r="CHL4" s="314"/>
      <c r="CHY4" s="314"/>
      <c r="CIL4" s="314"/>
      <c r="CIY4" s="314"/>
      <c r="CJL4" s="314"/>
      <c r="CJY4" s="314"/>
      <c r="CKL4" s="314"/>
      <c r="CKY4" s="314"/>
      <c r="CLL4" s="314"/>
      <c r="CLY4" s="314"/>
      <c r="CML4" s="314"/>
      <c r="CMY4" s="314"/>
      <c r="CNL4" s="314"/>
      <c r="CNY4" s="314"/>
      <c r="COL4" s="314"/>
      <c r="COY4" s="314"/>
      <c r="CPL4" s="314"/>
      <c r="CPY4" s="314"/>
      <c r="CQL4" s="314"/>
      <c r="CQY4" s="314"/>
      <c r="CRL4" s="314"/>
      <c r="CRY4" s="314"/>
      <c r="CSL4" s="314"/>
      <c r="CSY4" s="314"/>
      <c r="CTL4" s="314"/>
      <c r="CTY4" s="314"/>
      <c r="CUL4" s="314"/>
      <c r="CUY4" s="314"/>
      <c r="CVL4" s="314"/>
      <c r="CVY4" s="314"/>
      <c r="CWL4" s="314"/>
      <c r="CWY4" s="314"/>
      <c r="CXL4" s="314"/>
      <c r="CXY4" s="314"/>
      <c r="CYL4" s="314"/>
      <c r="CYY4" s="314"/>
      <c r="CZL4" s="314"/>
      <c r="CZY4" s="314"/>
      <c r="DAL4" s="314"/>
      <c r="DAY4" s="314"/>
      <c r="DBL4" s="314"/>
      <c r="DBY4" s="314"/>
      <c r="DCL4" s="314"/>
      <c r="DCY4" s="314"/>
      <c r="DDL4" s="314"/>
      <c r="DDY4" s="314"/>
      <c r="DEL4" s="314"/>
      <c r="DEY4" s="314"/>
      <c r="DFL4" s="314"/>
      <c r="DFY4" s="314"/>
      <c r="DGL4" s="314"/>
      <c r="DGY4" s="314"/>
      <c r="DHL4" s="314"/>
      <c r="DHY4" s="314"/>
      <c r="DIL4" s="314"/>
      <c r="DIY4" s="314"/>
      <c r="DJL4" s="314"/>
      <c r="DJY4" s="314"/>
      <c r="DKL4" s="314"/>
      <c r="DKY4" s="314"/>
      <c r="DLL4" s="314"/>
      <c r="DLY4" s="314"/>
      <c r="DML4" s="314"/>
      <c r="DMY4" s="314"/>
      <c r="DNL4" s="314"/>
      <c r="DNY4" s="314"/>
      <c r="DOL4" s="314"/>
      <c r="DOY4" s="314"/>
      <c r="DPL4" s="314"/>
      <c r="DPY4" s="314"/>
      <c r="DQL4" s="314"/>
      <c r="DQY4" s="314"/>
      <c r="DRL4" s="314"/>
      <c r="DRY4" s="314"/>
      <c r="DSL4" s="314"/>
      <c r="DSY4" s="314"/>
      <c r="DTL4" s="314"/>
      <c r="DTY4" s="314"/>
      <c r="DUL4" s="314"/>
      <c r="DUY4" s="314"/>
      <c r="DVL4" s="314"/>
      <c r="DVY4" s="314"/>
      <c r="DWL4" s="314"/>
      <c r="DWY4" s="314"/>
      <c r="DXL4" s="314"/>
      <c r="DXY4" s="314"/>
      <c r="DYL4" s="314"/>
      <c r="DYY4" s="314"/>
      <c r="DZL4" s="314"/>
      <c r="DZY4" s="314"/>
      <c r="EAL4" s="314"/>
      <c r="EAY4" s="314"/>
      <c r="EBL4" s="314"/>
      <c r="EBY4" s="314"/>
      <c r="ECL4" s="314"/>
      <c r="ECY4" s="314"/>
      <c r="EDL4" s="314"/>
      <c r="EDY4" s="314"/>
      <c r="EEL4" s="314"/>
      <c r="EEY4" s="314"/>
      <c r="EFL4" s="314"/>
      <c r="EFY4" s="314"/>
      <c r="EGL4" s="314"/>
      <c r="EGY4" s="314"/>
      <c r="EHL4" s="314"/>
      <c r="EHY4" s="314"/>
      <c r="EIL4" s="314"/>
      <c r="EIY4" s="314"/>
      <c r="EJL4" s="314"/>
      <c r="EJY4" s="314"/>
      <c r="EKL4" s="314"/>
      <c r="EKY4" s="314"/>
      <c r="ELL4" s="314"/>
      <c r="ELY4" s="314"/>
      <c r="EML4" s="314"/>
      <c r="EMY4" s="314"/>
      <c r="ENL4" s="314"/>
      <c r="ENY4" s="314"/>
      <c r="EOL4" s="314"/>
      <c r="EOY4" s="314"/>
      <c r="EPL4" s="314"/>
      <c r="EPY4" s="314"/>
      <c r="EQL4" s="314"/>
      <c r="EQY4" s="314"/>
      <c r="ERL4" s="314"/>
      <c r="ERY4" s="314"/>
      <c r="ESL4" s="314"/>
      <c r="ESY4" s="314"/>
      <c r="ETL4" s="314"/>
      <c r="ETY4" s="314"/>
      <c r="EUL4" s="314"/>
      <c r="EUY4" s="314"/>
      <c r="EVL4" s="314"/>
      <c r="EVY4" s="314"/>
      <c r="EWL4" s="314"/>
      <c r="EWY4" s="314"/>
      <c r="EXL4" s="314"/>
      <c r="EXY4" s="314"/>
      <c r="EYL4" s="314"/>
      <c r="EYY4" s="314"/>
      <c r="EZL4" s="314"/>
      <c r="EZY4" s="314"/>
      <c r="FAL4" s="314"/>
      <c r="FAY4" s="314"/>
      <c r="FBL4" s="314"/>
      <c r="FBY4" s="314"/>
      <c r="FCL4" s="314"/>
      <c r="FCY4" s="314"/>
      <c r="FDL4" s="314"/>
      <c r="FDY4" s="314"/>
      <c r="FEL4" s="314"/>
      <c r="FEY4" s="314"/>
      <c r="FFL4" s="314"/>
      <c r="FFY4" s="314"/>
      <c r="FGL4" s="314"/>
      <c r="FGY4" s="314"/>
      <c r="FHL4" s="314"/>
      <c r="FHY4" s="314"/>
      <c r="FIL4" s="314"/>
      <c r="FIY4" s="314"/>
      <c r="FJL4" s="314"/>
      <c r="FJY4" s="314"/>
      <c r="FKL4" s="314"/>
      <c r="FKY4" s="314"/>
      <c r="FLL4" s="314"/>
      <c r="FLY4" s="314"/>
      <c r="FML4" s="314"/>
      <c r="FMY4" s="314"/>
      <c r="FNL4" s="314"/>
      <c r="FNY4" s="314"/>
      <c r="FOL4" s="314"/>
      <c r="FOY4" s="314"/>
      <c r="FPL4" s="314"/>
      <c r="FPY4" s="314"/>
      <c r="FQL4" s="314"/>
      <c r="FQY4" s="314"/>
      <c r="FRL4" s="314"/>
      <c r="FRY4" s="314"/>
      <c r="FSL4" s="314"/>
      <c r="FSY4" s="314"/>
      <c r="FTL4" s="314"/>
      <c r="FTY4" s="314"/>
      <c r="FUL4" s="314"/>
      <c r="FUY4" s="314"/>
      <c r="FVL4" s="314"/>
      <c r="FVY4" s="314"/>
      <c r="FWL4" s="314"/>
      <c r="FWY4" s="314"/>
      <c r="FXL4" s="314"/>
      <c r="FXY4" s="314"/>
      <c r="FYL4" s="314"/>
      <c r="FYY4" s="314"/>
      <c r="FZL4" s="314"/>
      <c r="FZY4" s="314"/>
      <c r="GAL4" s="314"/>
      <c r="GAY4" s="314"/>
      <c r="GBL4" s="314"/>
      <c r="GBY4" s="314"/>
      <c r="GCL4" s="314"/>
      <c r="GCY4" s="314"/>
      <c r="GDL4" s="314"/>
      <c r="GDY4" s="314"/>
      <c r="GEL4" s="314"/>
      <c r="GEY4" s="314"/>
      <c r="GFL4" s="314"/>
      <c r="GFY4" s="314"/>
      <c r="GGL4" s="314"/>
      <c r="GGY4" s="314"/>
      <c r="GHL4" s="314"/>
      <c r="GHY4" s="314"/>
      <c r="GIL4" s="314"/>
      <c r="GIY4" s="314"/>
      <c r="GJL4" s="314"/>
      <c r="GJY4" s="314"/>
      <c r="GKL4" s="314"/>
      <c r="GKY4" s="314"/>
      <c r="GLL4" s="314"/>
      <c r="GLY4" s="314"/>
      <c r="GML4" s="314"/>
      <c r="GMY4" s="314"/>
      <c r="GNL4" s="314"/>
      <c r="GNY4" s="314"/>
      <c r="GOL4" s="314"/>
      <c r="GOY4" s="314"/>
      <c r="GPL4" s="314"/>
      <c r="GPY4" s="314"/>
      <c r="GQL4" s="314"/>
      <c r="GQY4" s="314"/>
      <c r="GRL4" s="314"/>
      <c r="GRY4" s="314"/>
      <c r="GSL4" s="314"/>
      <c r="GSY4" s="314"/>
      <c r="GTL4" s="314"/>
      <c r="GTY4" s="314"/>
      <c r="GUL4" s="314"/>
      <c r="GUY4" s="314"/>
      <c r="GVL4" s="314"/>
      <c r="GVY4" s="314"/>
      <c r="GWL4" s="314"/>
      <c r="GWY4" s="314"/>
      <c r="GXL4" s="314"/>
      <c r="GXY4" s="314"/>
      <c r="GYL4" s="314"/>
      <c r="GYY4" s="314"/>
      <c r="GZL4" s="314"/>
      <c r="GZY4" s="314"/>
      <c r="HAL4" s="314"/>
      <c r="HAY4" s="314"/>
      <c r="HBL4" s="314"/>
      <c r="HBY4" s="314"/>
      <c r="HCL4" s="314"/>
      <c r="HCY4" s="314"/>
      <c r="HDL4" s="314"/>
      <c r="HDY4" s="314"/>
      <c r="HEL4" s="314"/>
      <c r="HEY4" s="314"/>
      <c r="HFL4" s="314"/>
      <c r="HFY4" s="314"/>
      <c r="HGL4" s="314"/>
      <c r="HGY4" s="314"/>
      <c r="HHL4" s="314"/>
      <c r="HHY4" s="314"/>
      <c r="HIL4" s="314"/>
      <c r="HIY4" s="314"/>
      <c r="HJL4" s="314"/>
      <c r="HJY4" s="314"/>
      <c r="HKL4" s="314"/>
      <c r="HKY4" s="314"/>
      <c r="HLL4" s="314"/>
      <c r="HLY4" s="314"/>
      <c r="HML4" s="314"/>
      <c r="HMY4" s="314"/>
      <c r="HNL4" s="314"/>
      <c r="HNY4" s="314"/>
      <c r="HOL4" s="314"/>
      <c r="HOY4" s="314"/>
      <c r="HPL4" s="314"/>
      <c r="HPY4" s="314"/>
      <c r="HQL4" s="314"/>
      <c r="HQY4" s="314"/>
      <c r="HRL4" s="314"/>
      <c r="HRY4" s="314"/>
      <c r="HSL4" s="314"/>
      <c r="HSY4" s="314"/>
      <c r="HTL4" s="314"/>
      <c r="HTY4" s="314"/>
      <c r="HUL4" s="314"/>
      <c r="HUY4" s="314"/>
      <c r="HVL4" s="314"/>
      <c r="HVY4" s="314"/>
      <c r="HWL4" s="314"/>
      <c r="HWY4" s="314"/>
      <c r="HXL4" s="314"/>
      <c r="HXY4" s="314"/>
      <c r="HYL4" s="314"/>
      <c r="HYY4" s="314"/>
      <c r="HZL4" s="314"/>
      <c r="HZY4" s="314"/>
      <c r="IAL4" s="314"/>
      <c r="IAY4" s="314"/>
      <c r="IBL4" s="314"/>
      <c r="IBY4" s="314"/>
      <c r="ICL4" s="314"/>
      <c r="ICY4" s="314"/>
      <c r="IDL4" s="314"/>
      <c r="IDY4" s="314"/>
      <c r="IEL4" s="314"/>
      <c r="IEY4" s="314"/>
      <c r="IFL4" s="314"/>
      <c r="IFY4" s="314"/>
      <c r="IGL4" s="314"/>
      <c r="IGY4" s="314"/>
      <c r="IHL4" s="314"/>
      <c r="IHY4" s="314"/>
      <c r="IIL4" s="314"/>
      <c r="IIY4" s="314"/>
      <c r="IJL4" s="314"/>
      <c r="IJY4" s="314"/>
      <c r="IKL4" s="314"/>
      <c r="IKY4" s="314"/>
      <c r="ILL4" s="314"/>
      <c r="ILY4" s="314"/>
      <c r="IML4" s="314"/>
      <c r="IMY4" s="314"/>
      <c r="INL4" s="314"/>
      <c r="INY4" s="314"/>
      <c r="IOL4" s="314"/>
      <c r="IOY4" s="314"/>
      <c r="IPL4" s="314"/>
      <c r="IPY4" s="314"/>
      <c r="IQL4" s="314"/>
      <c r="IQY4" s="314"/>
      <c r="IRL4" s="314"/>
      <c r="IRY4" s="314"/>
      <c r="ISL4" s="314"/>
      <c r="ISY4" s="314"/>
      <c r="ITL4" s="314"/>
      <c r="ITY4" s="314"/>
      <c r="IUL4" s="314"/>
      <c r="IUY4" s="314"/>
      <c r="IVL4" s="314"/>
      <c r="IVY4" s="314"/>
      <c r="IWL4" s="314"/>
      <c r="IWY4" s="314"/>
      <c r="IXL4" s="314"/>
      <c r="IXY4" s="314"/>
      <c r="IYL4" s="314"/>
      <c r="IYY4" s="314"/>
      <c r="IZL4" s="314"/>
      <c r="IZY4" s="314"/>
      <c r="JAL4" s="314"/>
      <c r="JAY4" s="314"/>
      <c r="JBL4" s="314"/>
      <c r="JBY4" s="314"/>
      <c r="JCL4" s="314"/>
      <c r="JCY4" s="314"/>
      <c r="JDL4" s="314"/>
      <c r="JDY4" s="314"/>
      <c r="JEL4" s="314"/>
      <c r="JEY4" s="314"/>
      <c r="JFL4" s="314"/>
      <c r="JFY4" s="314"/>
      <c r="JGL4" s="314"/>
      <c r="JGY4" s="314"/>
      <c r="JHL4" s="314"/>
      <c r="JHY4" s="314"/>
      <c r="JIL4" s="314"/>
      <c r="JIY4" s="314"/>
      <c r="JJL4" s="314"/>
      <c r="JJY4" s="314"/>
      <c r="JKL4" s="314"/>
      <c r="JKY4" s="314"/>
      <c r="JLL4" s="314"/>
      <c r="JLY4" s="314"/>
      <c r="JML4" s="314"/>
      <c r="JMY4" s="314"/>
      <c r="JNL4" s="314"/>
      <c r="JNY4" s="314"/>
      <c r="JOL4" s="314"/>
      <c r="JOY4" s="314"/>
      <c r="JPL4" s="314"/>
      <c r="JPY4" s="314"/>
      <c r="JQL4" s="314"/>
      <c r="JQY4" s="314"/>
      <c r="JRL4" s="314"/>
      <c r="JRY4" s="314"/>
      <c r="JSL4" s="314"/>
      <c r="JSY4" s="314"/>
      <c r="JTL4" s="314"/>
      <c r="JTY4" s="314"/>
      <c r="JUL4" s="314"/>
      <c r="JUY4" s="314"/>
      <c r="JVL4" s="314"/>
      <c r="JVY4" s="314"/>
      <c r="JWL4" s="314"/>
      <c r="JWY4" s="314"/>
      <c r="JXL4" s="314"/>
      <c r="JXY4" s="314"/>
      <c r="JYL4" s="314"/>
      <c r="JYY4" s="314"/>
      <c r="JZL4" s="314"/>
      <c r="JZY4" s="314"/>
      <c r="KAL4" s="314"/>
      <c r="KAY4" s="314"/>
      <c r="KBL4" s="314"/>
      <c r="KBY4" s="314"/>
      <c r="KCL4" s="314"/>
      <c r="KCY4" s="314"/>
      <c r="KDL4" s="314"/>
      <c r="KDY4" s="314"/>
      <c r="KEL4" s="314"/>
      <c r="KEY4" s="314"/>
      <c r="KFL4" s="314"/>
      <c r="KFY4" s="314"/>
      <c r="KGL4" s="314"/>
      <c r="KGY4" s="314"/>
      <c r="KHL4" s="314"/>
      <c r="KHY4" s="314"/>
      <c r="KIL4" s="314"/>
      <c r="KIY4" s="314"/>
      <c r="KJL4" s="314"/>
      <c r="KJY4" s="314"/>
      <c r="KKL4" s="314"/>
      <c r="KKY4" s="314"/>
      <c r="KLL4" s="314"/>
      <c r="KLY4" s="314"/>
      <c r="KML4" s="314"/>
      <c r="KMY4" s="314"/>
      <c r="KNL4" s="314"/>
      <c r="KNY4" s="314"/>
      <c r="KOL4" s="314"/>
      <c r="KOY4" s="314"/>
      <c r="KPL4" s="314"/>
      <c r="KPY4" s="314"/>
      <c r="KQL4" s="314"/>
      <c r="KQY4" s="314"/>
      <c r="KRL4" s="314"/>
      <c r="KRY4" s="314"/>
      <c r="KSL4" s="314"/>
      <c r="KSY4" s="314"/>
      <c r="KTL4" s="314"/>
      <c r="KTY4" s="314"/>
      <c r="KUL4" s="314"/>
      <c r="KUY4" s="314"/>
      <c r="KVL4" s="314"/>
      <c r="KVY4" s="314"/>
      <c r="KWL4" s="314"/>
      <c r="KWY4" s="314"/>
      <c r="KXL4" s="314"/>
      <c r="KXY4" s="314"/>
      <c r="KYL4" s="314"/>
      <c r="KYY4" s="314"/>
      <c r="KZL4" s="314"/>
      <c r="KZY4" s="314"/>
      <c r="LAL4" s="314"/>
      <c r="LAY4" s="314"/>
      <c r="LBL4" s="314"/>
      <c r="LBY4" s="314"/>
      <c r="LCL4" s="314"/>
      <c r="LCY4" s="314"/>
      <c r="LDL4" s="314"/>
      <c r="LDY4" s="314"/>
      <c r="LEL4" s="314"/>
      <c r="LEY4" s="314"/>
      <c r="LFL4" s="314"/>
      <c r="LFY4" s="314"/>
      <c r="LGL4" s="314"/>
      <c r="LGY4" s="314"/>
      <c r="LHL4" s="314"/>
      <c r="LHY4" s="314"/>
      <c r="LIL4" s="314"/>
      <c r="LIY4" s="314"/>
      <c r="LJL4" s="314"/>
      <c r="LJY4" s="314"/>
      <c r="LKL4" s="314"/>
      <c r="LKY4" s="314"/>
      <c r="LLL4" s="314"/>
      <c r="LLY4" s="314"/>
      <c r="LML4" s="314"/>
      <c r="LMY4" s="314"/>
      <c r="LNL4" s="314"/>
      <c r="LNY4" s="314"/>
      <c r="LOL4" s="314"/>
      <c r="LOY4" s="314"/>
      <c r="LPL4" s="314"/>
      <c r="LPY4" s="314"/>
      <c r="LQL4" s="314"/>
      <c r="LQY4" s="314"/>
      <c r="LRL4" s="314"/>
      <c r="LRY4" s="314"/>
      <c r="LSL4" s="314"/>
      <c r="LSY4" s="314"/>
      <c r="LTL4" s="314"/>
      <c r="LTY4" s="314"/>
      <c r="LUL4" s="314"/>
      <c r="LUY4" s="314"/>
      <c r="LVL4" s="314"/>
      <c r="LVY4" s="314"/>
      <c r="LWL4" s="314"/>
      <c r="LWY4" s="314"/>
      <c r="LXL4" s="314"/>
      <c r="LXY4" s="314"/>
      <c r="LYL4" s="314"/>
      <c r="LYY4" s="314"/>
      <c r="LZL4" s="314"/>
      <c r="LZY4" s="314"/>
      <c r="MAL4" s="314"/>
      <c r="MAY4" s="314"/>
      <c r="MBL4" s="314"/>
      <c r="MBY4" s="314"/>
      <c r="MCL4" s="314"/>
      <c r="MCY4" s="314"/>
      <c r="MDL4" s="314"/>
      <c r="MDY4" s="314"/>
      <c r="MEL4" s="314"/>
      <c r="MEY4" s="314"/>
      <c r="MFL4" s="314"/>
      <c r="MFY4" s="314"/>
      <c r="MGL4" s="314"/>
      <c r="MGY4" s="314"/>
      <c r="MHL4" s="314"/>
      <c r="MHY4" s="314"/>
      <c r="MIL4" s="314"/>
      <c r="MIY4" s="314"/>
      <c r="MJL4" s="314"/>
      <c r="MJY4" s="314"/>
      <c r="MKL4" s="314"/>
      <c r="MKY4" s="314"/>
      <c r="MLL4" s="314"/>
      <c r="MLY4" s="314"/>
      <c r="MML4" s="314"/>
      <c r="MMY4" s="314"/>
      <c r="MNL4" s="314"/>
      <c r="MNY4" s="314"/>
      <c r="MOL4" s="314"/>
      <c r="MOY4" s="314"/>
      <c r="MPL4" s="314"/>
      <c r="MPY4" s="314"/>
      <c r="MQL4" s="314"/>
      <c r="MQY4" s="314"/>
      <c r="MRL4" s="314"/>
      <c r="MRY4" s="314"/>
      <c r="MSL4" s="314"/>
      <c r="MSY4" s="314"/>
      <c r="MTL4" s="314"/>
      <c r="MTY4" s="314"/>
      <c r="MUL4" s="314"/>
      <c r="MUY4" s="314"/>
      <c r="MVL4" s="314"/>
      <c r="MVY4" s="314"/>
      <c r="MWL4" s="314"/>
      <c r="MWY4" s="314"/>
      <c r="MXL4" s="314"/>
      <c r="MXY4" s="314"/>
      <c r="MYL4" s="314"/>
      <c r="MYY4" s="314"/>
      <c r="MZL4" s="314"/>
      <c r="MZY4" s="314"/>
      <c r="NAL4" s="314"/>
      <c r="NAY4" s="314"/>
      <c r="NBL4" s="314"/>
      <c r="NBY4" s="314"/>
      <c r="NCL4" s="314"/>
      <c r="NCY4" s="314"/>
      <c r="NDL4" s="314"/>
      <c r="NDY4" s="314"/>
      <c r="NEL4" s="314"/>
      <c r="NEY4" s="314"/>
      <c r="NFL4" s="314"/>
      <c r="NFY4" s="314"/>
      <c r="NGL4" s="314"/>
      <c r="NGY4" s="314"/>
      <c r="NHL4" s="314"/>
      <c r="NHY4" s="314"/>
      <c r="NIL4" s="314"/>
      <c r="NIY4" s="314"/>
      <c r="NJL4" s="314"/>
      <c r="NJY4" s="314"/>
      <c r="NKL4" s="314"/>
      <c r="NKY4" s="314"/>
      <c r="NLL4" s="314"/>
      <c r="NLY4" s="314"/>
      <c r="NML4" s="314"/>
      <c r="NMY4" s="314"/>
      <c r="NNL4" s="314"/>
      <c r="NNY4" s="314"/>
      <c r="NOL4" s="314"/>
      <c r="NOY4" s="314"/>
      <c r="NPL4" s="314"/>
      <c r="NPY4" s="314"/>
      <c r="NQL4" s="314"/>
      <c r="NQY4" s="314"/>
      <c r="NRL4" s="314"/>
      <c r="NRY4" s="314"/>
      <c r="NSL4" s="314"/>
      <c r="NSY4" s="314"/>
      <c r="NTL4" s="314"/>
      <c r="NTY4" s="314"/>
      <c r="NUL4" s="314"/>
      <c r="NUY4" s="314"/>
      <c r="NVL4" s="314"/>
      <c r="NVY4" s="314"/>
      <c r="NWL4" s="314"/>
      <c r="NWY4" s="314"/>
      <c r="NXL4" s="314"/>
      <c r="NXY4" s="314"/>
      <c r="NYL4" s="314"/>
      <c r="NYY4" s="314"/>
      <c r="NZL4" s="314"/>
      <c r="NZY4" s="314"/>
      <c r="OAL4" s="314"/>
      <c r="OAY4" s="314"/>
      <c r="OBL4" s="314"/>
      <c r="OBY4" s="314"/>
      <c r="OCL4" s="314"/>
      <c r="OCY4" s="314"/>
      <c r="ODL4" s="314"/>
      <c r="ODY4" s="314"/>
      <c r="OEL4" s="314"/>
      <c r="OEY4" s="314"/>
      <c r="OFL4" s="314"/>
      <c r="OFY4" s="314"/>
      <c r="OGL4" s="314"/>
      <c r="OGY4" s="314"/>
      <c r="OHL4" s="314"/>
      <c r="OHY4" s="314"/>
      <c r="OIL4" s="314"/>
      <c r="OIY4" s="314"/>
      <c r="OJL4" s="314"/>
      <c r="OJY4" s="314"/>
      <c r="OKL4" s="314"/>
      <c r="OKY4" s="314"/>
      <c r="OLL4" s="314"/>
      <c r="OLY4" s="314"/>
      <c r="OML4" s="314"/>
      <c r="OMY4" s="314"/>
      <c r="ONL4" s="314"/>
      <c r="ONY4" s="314"/>
      <c r="OOL4" s="314"/>
      <c r="OOY4" s="314"/>
      <c r="OPL4" s="314"/>
      <c r="OPY4" s="314"/>
      <c r="OQL4" s="314"/>
      <c r="OQY4" s="314"/>
      <c r="ORL4" s="314"/>
      <c r="ORY4" s="314"/>
      <c r="OSL4" s="314"/>
      <c r="OSY4" s="314"/>
      <c r="OTL4" s="314"/>
      <c r="OTY4" s="314"/>
      <c r="OUL4" s="314"/>
      <c r="OUY4" s="314"/>
      <c r="OVL4" s="314"/>
      <c r="OVY4" s="314"/>
      <c r="OWL4" s="314"/>
      <c r="OWY4" s="314"/>
      <c r="OXL4" s="314"/>
      <c r="OXY4" s="314"/>
      <c r="OYL4" s="314"/>
      <c r="OYY4" s="314"/>
      <c r="OZL4" s="314"/>
      <c r="OZY4" s="314"/>
      <c r="PAL4" s="314"/>
      <c r="PAY4" s="314"/>
      <c r="PBL4" s="314"/>
      <c r="PBY4" s="314"/>
      <c r="PCL4" s="314"/>
      <c r="PCY4" s="314"/>
      <c r="PDL4" s="314"/>
      <c r="PDY4" s="314"/>
      <c r="PEL4" s="314"/>
      <c r="PEY4" s="314"/>
      <c r="PFL4" s="314"/>
      <c r="PFY4" s="314"/>
      <c r="PGL4" s="314"/>
      <c r="PGY4" s="314"/>
      <c r="PHL4" s="314"/>
      <c r="PHY4" s="314"/>
      <c r="PIL4" s="314"/>
      <c r="PIY4" s="314"/>
      <c r="PJL4" s="314"/>
      <c r="PJY4" s="314"/>
      <c r="PKL4" s="314"/>
      <c r="PKY4" s="314"/>
      <c r="PLL4" s="314"/>
      <c r="PLY4" s="314"/>
      <c r="PML4" s="314"/>
      <c r="PMY4" s="314"/>
      <c r="PNL4" s="314"/>
      <c r="PNY4" s="314"/>
      <c r="POL4" s="314"/>
      <c r="POY4" s="314"/>
      <c r="PPL4" s="314"/>
      <c r="PPY4" s="314"/>
      <c r="PQL4" s="314"/>
      <c r="PQY4" s="314"/>
      <c r="PRL4" s="314"/>
      <c r="PRY4" s="314"/>
      <c r="PSL4" s="314"/>
      <c r="PSY4" s="314"/>
      <c r="PTL4" s="314"/>
      <c r="PTY4" s="314"/>
      <c r="PUL4" s="314"/>
      <c r="PUY4" s="314"/>
      <c r="PVL4" s="314"/>
      <c r="PVY4" s="314"/>
      <c r="PWL4" s="314"/>
      <c r="PWY4" s="314"/>
      <c r="PXL4" s="314"/>
      <c r="PXY4" s="314"/>
      <c r="PYL4" s="314"/>
      <c r="PYY4" s="314"/>
      <c r="PZL4" s="314"/>
      <c r="PZY4" s="314"/>
      <c r="QAL4" s="314"/>
      <c r="QAY4" s="314"/>
      <c r="QBL4" s="314"/>
      <c r="QBY4" s="314"/>
      <c r="QCL4" s="314"/>
      <c r="QCY4" s="314"/>
      <c r="QDL4" s="314"/>
      <c r="QDY4" s="314"/>
      <c r="QEL4" s="314"/>
      <c r="QEY4" s="314"/>
      <c r="QFL4" s="314"/>
      <c r="QFY4" s="314"/>
      <c r="QGL4" s="314"/>
      <c r="QGY4" s="314"/>
      <c r="QHL4" s="314"/>
      <c r="QHY4" s="314"/>
      <c r="QIL4" s="314"/>
      <c r="QIY4" s="314"/>
      <c r="QJL4" s="314"/>
      <c r="QJY4" s="314"/>
      <c r="QKL4" s="314"/>
      <c r="QKY4" s="314"/>
      <c r="QLL4" s="314"/>
      <c r="QLY4" s="314"/>
      <c r="QML4" s="314"/>
      <c r="QMY4" s="314"/>
      <c r="QNL4" s="314"/>
      <c r="QNY4" s="314"/>
      <c r="QOL4" s="314"/>
      <c r="QOY4" s="314"/>
      <c r="QPL4" s="314"/>
      <c r="QPY4" s="314"/>
      <c r="QQL4" s="314"/>
      <c r="QQY4" s="314"/>
      <c r="QRL4" s="314"/>
      <c r="QRY4" s="314"/>
      <c r="QSL4" s="314"/>
      <c r="QSY4" s="314"/>
      <c r="QTL4" s="314"/>
      <c r="QTY4" s="314"/>
      <c r="QUL4" s="314"/>
      <c r="QUY4" s="314"/>
      <c r="QVL4" s="314"/>
      <c r="QVY4" s="314"/>
      <c r="QWL4" s="314"/>
      <c r="QWY4" s="314"/>
      <c r="QXL4" s="314"/>
      <c r="QXY4" s="314"/>
      <c r="QYL4" s="314"/>
      <c r="QYY4" s="314"/>
      <c r="QZL4" s="314"/>
      <c r="QZY4" s="314"/>
      <c r="RAL4" s="314"/>
      <c r="RAY4" s="314"/>
      <c r="RBL4" s="314"/>
      <c r="RBY4" s="314"/>
      <c r="RCL4" s="314"/>
      <c r="RCY4" s="314"/>
      <c r="RDL4" s="314"/>
      <c r="RDY4" s="314"/>
      <c r="REL4" s="314"/>
      <c r="REY4" s="314"/>
      <c r="RFL4" s="314"/>
      <c r="RFY4" s="314"/>
      <c r="RGL4" s="314"/>
      <c r="RGY4" s="314"/>
      <c r="RHL4" s="314"/>
      <c r="RHY4" s="314"/>
      <c r="RIL4" s="314"/>
      <c r="RIY4" s="314"/>
      <c r="RJL4" s="314"/>
      <c r="RJY4" s="314"/>
      <c r="RKL4" s="314"/>
      <c r="RKY4" s="314"/>
      <c r="RLL4" s="314"/>
      <c r="RLY4" s="314"/>
      <c r="RML4" s="314"/>
      <c r="RMY4" s="314"/>
      <c r="RNL4" s="314"/>
      <c r="RNY4" s="314"/>
      <c r="ROL4" s="314"/>
      <c r="ROY4" s="314"/>
      <c r="RPL4" s="314"/>
      <c r="RPY4" s="314"/>
      <c r="RQL4" s="314"/>
      <c r="RQY4" s="314"/>
      <c r="RRL4" s="314"/>
      <c r="RRY4" s="314"/>
      <c r="RSL4" s="314"/>
      <c r="RSY4" s="314"/>
      <c r="RTL4" s="314"/>
      <c r="RTY4" s="314"/>
      <c r="RUL4" s="314"/>
      <c r="RUY4" s="314"/>
      <c r="RVL4" s="314"/>
      <c r="RVY4" s="314"/>
      <c r="RWL4" s="314"/>
      <c r="RWY4" s="314"/>
      <c r="RXL4" s="314"/>
      <c r="RXY4" s="314"/>
      <c r="RYL4" s="314"/>
      <c r="RYY4" s="314"/>
      <c r="RZL4" s="314"/>
      <c r="RZY4" s="314"/>
      <c r="SAL4" s="314"/>
      <c r="SAY4" s="314"/>
      <c r="SBL4" s="314"/>
      <c r="SBY4" s="314"/>
      <c r="SCL4" s="314"/>
      <c r="SCY4" s="314"/>
      <c r="SDL4" s="314"/>
      <c r="SDY4" s="314"/>
      <c r="SEL4" s="314"/>
      <c r="SEY4" s="314"/>
      <c r="SFL4" s="314"/>
      <c r="SFY4" s="314"/>
      <c r="SGL4" s="314"/>
      <c r="SGY4" s="314"/>
      <c r="SHL4" s="314"/>
      <c r="SHY4" s="314"/>
      <c r="SIL4" s="314"/>
      <c r="SIY4" s="314"/>
      <c r="SJL4" s="314"/>
      <c r="SJY4" s="314"/>
      <c r="SKL4" s="314"/>
      <c r="SKY4" s="314"/>
      <c r="SLL4" s="314"/>
      <c r="SLY4" s="314"/>
      <c r="SML4" s="314"/>
      <c r="SMY4" s="314"/>
      <c r="SNL4" s="314"/>
      <c r="SNY4" s="314"/>
      <c r="SOL4" s="314"/>
      <c r="SOY4" s="314"/>
      <c r="SPL4" s="314"/>
      <c r="SPY4" s="314"/>
      <c r="SQL4" s="314"/>
      <c r="SQY4" s="314"/>
      <c r="SRL4" s="314"/>
      <c r="SRY4" s="314"/>
      <c r="SSL4" s="314"/>
      <c r="SSY4" s="314"/>
      <c r="STL4" s="314"/>
      <c r="STY4" s="314"/>
      <c r="SUL4" s="314"/>
      <c r="SUY4" s="314"/>
      <c r="SVL4" s="314"/>
      <c r="SVY4" s="314"/>
      <c r="SWL4" s="314"/>
      <c r="SWY4" s="314"/>
      <c r="SXL4" s="314"/>
      <c r="SXY4" s="314"/>
      <c r="SYL4" s="314"/>
      <c r="SYY4" s="314"/>
      <c r="SZL4" s="314"/>
      <c r="SZY4" s="314"/>
      <c r="TAL4" s="314"/>
      <c r="TAY4" s="314"/>
      <c r="TBL4" s="314"/>
      <c r="TBY4" s="314"/>
      <c r="TCL4" s="314"/>
      <c r="TCY4" s="314"/>
      <c r="TDL4" s="314"/>
      <c r="TDY4" s="314"/>
      <c r="TEL4" s="314"/>
      <c r="TEY4" s="314"/>
      <c r="TFL4" s="314"/>
      <c r="TFY4" s="314"/>
      <c r="TGL4" s="314"/>
      <c r="TGY4" s="314"/>
      <c r="THL4" s="314"/>
      <c r="THY4" s="314"/>
      <c r="TIL4" s="314"/>
      <c r="TIY4" s="314"/>
      <c r="TJL4" s="314"/>
      <c r="TJY4" s="314"/>
      <c r="TKL4" s="314"/>
      <c r="TKY4" s="314"/>
      <c r="TLL4" s="314"/>
      <c r="TLY4" s="314"/>
      <c r="TML4" s="314"/>
      <c r="TMY4" s="314"/>
      <c r="TNL4" s="314"/>
      <c r="TNY4" s="314"/>
      <c r="TOL4" s="314"/>
      <c r="TOY4" s="314"/>
      <c r="TPL4" s="314"/>
      <c r="TPY4" s="314"/>
      <c r="TQL4" s="314"/>
      <c r="TQY4" s="314"/>
      <c r="TRL4" s="314"/>
      <c r="TRY4" s="314"/>
      <c r="TSL4" s="314"/>
      <c r="TSY4" s="314"/>
      <c r="TTL4" s="314"/>
      <c r="TTY4" s="314"/>
      <c r="TUL4" s="314"/>
      <c r="TUY4" s="314"/>
      <c r="TVL4" s="314"/>
      <c r="TVY4" s="314"/>
      <c r="TWL4" s="314"/>
      <c r="TWY4" s="314"/>
      <c r="TXL4" s="314"/>
      <c r="TXY4" s="314"/>
      <c r="TYL4" s="314"/>
      <c r="TYY4" s="314"/>
      <c r="TZL4" s="314"/>
      <c r="TZY4" s="314"/>
      <c r="UAL4" s="314"/>
      <c r="UAY4" s="314"/>
      <c r="UBL4" s="314"/>
      <c r="UBY4" s="314"/>
      <c r="UCL4" s="314"/>
      <c r="UCY4" s="314"/>
      <c r="UDL4" s="314"/>
      <c r="UDY4" s="314"/>
      <c r="UEL4" s="314"/>
      <c r="UEY4" s="314"/>
      <c r="UFL4" s="314"/>
      <c r="UFY4" s="314"/>
      <c r="UGL4" s="314"/>
      <c r="UGY4" s="314"/>
      <c r="UHL4" s="314"/>
      <c r="UHY4" s="314"/>
      <c r="UIL4" s="314"/>
      <c r="UIY4" s="314"/>
      <c r="UJL4" s="314"/>
      <c r="UJY4" s="314"/>
      <c r="UKL4" s="314"/>
      <c r="UKY4" s="314"/>
      <c r="ULL4" s="314"/>
      <c r="ULY4" s="314"/>
      <c r="UML4" s="314"/>
      <c r="UMY4" s="314"/>
      <c r="UNL4" s="314"/>
      <c r="UNY4" s="314"/>
      <c r="UOL4" s="314"/>
      <c r="UOY4" s="314"/>
      <c r="UPL4" s="314"/>
      <c r="UPY4" s="314"/>
      <c r="UQL4" s="314"/>
      <c r="UQY4" s="314"/>
      <c r="URL4" s="314"/>
      <c r="URY4" s="314"/>
      <c r="USL4" s="314"/>
      <c r="USY4" s="314"/>
      <c r="UTL4" s="314"/>
      <c r="UTY4" s="314"/>
      <c r="UUL4" s="314"/>
      <c r="UUY4" s="314"/>
      <c r="UVL4" s="314"/>
      <c r="UVY4" s="314"/>
      <c r="UWL4" s="314"/>
      <c r="UWY4" s="314"/>
      <c r="UXL4" s="314"/>
      <c r="UXY4" s="314"/>
      <c r="UYL4" s="314"/>
      <c r="UYY4" s="314"/>
      <c r="UZL4" s="314"/>
      <c r="UZY4" s="314"/>
      <c r="VAL4" s="314"/>
      <c r="VAY4" s="314"/>
      <c r="VBL4" s="314"/>
      <c r="VBY4" s="314"/>
      <c r="VCL4" s="314"/>
      <c r="VCY4" s="314"/>
      <c r="VDL4" s="314"/>
      <c r="VDY4" s="314"/>
      <c r="VEL4" s="314"/>
      <c r="VEY4" s="314"/>
      <c r="VFL4" s="314"/>
      <c r="VFY4" s="314"/>
      <c r="VGL4" s="314"/>
      <c r="VGY4" s="314"/>
      <c r="VHL4" s="314"/>
      <c r="VHY4" s="314"/>
      <c r="VIL4" s="314"/>
      <c r="VIY4" s="314"/>
      <c r="VJL4" s="314"/>
      <c r="VJY4" s="314"/>
      <c r="VKL4" s="314"/>
      <c r="VKY4" s="314"/>
      <c r="VLL4" s="314"/>
      <c r="VLY4" s="314"/>
      <c r="VML4" s="314"/>
      <c r="VMY4" s="314"/>
      <c r="VNL4" s="314"/>
      <c r="VNY4" s="314"/>
      <c r="VOL4" s="314"/>
      <c r="VOY4" s="314"/>
      <c r="VPL4" s="314"/>
      <c r="VPY4" s="314"/>
      <c r="VQL4" s="314"/>
      <c r="VQY4" s="314"/>
      <c r="VRL4" s="314"/>
      <c r="VRY4" s="314"/>
      <c r="VSL4" s="314"/>
      <c r="VSY4" s="314"/>
      <c r="VTL4" s="314"/>
      <c r="VTY4" s="314"/>
      <c r="VUL4" s="314"/>
      <c r="VUY4" s="314"/>
      <c r="VVL4" s="314"/>
      <c r="VVY4" s="314"/>
      <c r="VWL4" s="314"/>
      <c r="VWY4" s="314"/>
      <c r="VXL4" s="314"/>
      <c r="VXY4" s="314"/>
      <c r="VYL4" s="314"/>
      <c r="VYY4" s="314"/>
      <c r="VZL4" s="314"/>
      <c r="VZY4" s="314"/>
      <c r="WAL4" s="314"/>
      <c r="WAY4" s="314"/>
      <c r="WBL4" s="314"/>
      <c r="WBY4" s="314"/>
      <c r="WCL4" s="314"/>
      <c r="WCY4" s="314"/>
      <c r="WDL4" s="314"/>
      <c r="WDY4" s="314"/>
      <c r="WEL4" s="314"/>
      <c r="WEY4" s="314"/>
      <c r="WFL4" s="314"/>
      <c r="WFY4" s="314"/>
      <c r="WGL4" s="314"/>
      <c r="WGY4" s="314"/>
      <c r="WHL4" s="314"/>
      <c r="WHY4" s="314"/>
      <c r="WIL4" s="314"/>
      <c r="WIY4" s="314"/>
      <c r="WJL4" s="314"/>
      <c r="WJY4" s="314"/>
      <c r="WKL4" s="314"/>
      <c r="WKY4" s="314"/>
      <c r="WLL4" s="314"/>
      <c r="WLY4" s="314"/>
      <c r="WML4" s="314"/>
      <c r="WMY4" s="314"/>
      <c r="WNL4" s="314"/>
      <c r="WNY4" s="314"/>
      <c r="WOL4" s="314"/>
      <c r="WOY4" s="314"/>
      <c r="WPL4" s="314"/>
      <c r="WPY4" s="314"/>
      <c r="WQL4" s="314"/>
      <c r="WQY4" s="314"/>
      <c r="WRL4" s="314"/>
      <c r="WRY4" s="314"/>
      <c r="WSL4" s="314"/>
      <c r="WSY4" s="314"/>
      <c r="WTL4" s="314"/>
      <c r="WTY4" s="314"/>
      <c r="WUL4" s="314"/>
      <c r="WUY4" s="314"/>
      <c r="WVL4" s="314"/>
      <c r="WVY4" s="314"/>
      <c r="WWL4" s="314"/>
      <c r="WWY4" s="314"/>
      <c r="WXL4" s="314"/>
      <c r="WXY4" s="314"/>
      <c r="WYL4" s="314"/>
      <c r="WYY4" s="314"/>
      <c r="WZL4" s="314"/>
      <c r="WZY4" s="314"/>
      <c r="XAL4" s="314"/>
      <c r="XAY4" s="314"/>
      <c r="XBL4" s="314"/>
      <c r="XBY4" s="314"/>
      <c r="XCL4" s="314"/>
      <c r="XCY4" s="314"/>
      <c r="XDL4" s="314"/>
      <c r="XDY4" s="314"/>
      <c r="XEL4" s="314"/>
      <c r="XEY4" s="314"/>
    </row>
    <row r="5" spans="1:1013 1026:2040 2053:3067 3080:4094 4107:5108 5121:6135 6148:7162 7175:8189 8202:9216 9229:10230 10243:11257 11270:12284 12297:13311 13324:14325 14338:15352 15365:16379" ht="13" customHeight="1">
      <c r="A5" s="312"/>
      <c r="B5" s="388" t="str">
        <f>IF('Summary | Sumário'!D$6=Names!B$3,Names!S4,Names!T4)</f>
        <v>Interchange</v>
      </c>
      <c r="C5" s="427">
        <v>58152</v>
      </c>
      <c r="D5" s="427">
        <v>137863</v>
      </c>
      <c r="E5" s="427">
        <v>369340</v>
      </c>
      <c r="F5" s="427">
        <v>617552</v>
      </c>
      <c r="G5" s="427">
        <v>820630</v>
      </c>
      <c r="H5" s="427">
        <v>61188</v>
      </c>
      <c r="I5" s="427">
        <v>78212</v>
      </c>
      <c r="J5" s="427">
        <v>99723</v>
      </c>
      <c r="K5" s="427">
        <v>130217</v>
      </c>
      <c r="L5" s="427">
        <v>127049</v>
      </c>
      <c r="M5" s="427">
        <v>149403</v>
      </c>
      <c r="N5" s="427">
        <v>161418</v>
      </c>
      <c r="O5" s="427">
        <v>179682</v>
      </c>
      <c r="P5" s="427">
        <v>174929</v>
      </c>
      <c r="Q5" s="427">
        <v>185608</v>
      </c>
      <c r="R5" s="427">
        <v>214415</v>
      </c>
      <c r="S5" s="427">
        <v>245678</v>
      </c>
      <c r="T5" s="427">
        <v>241890.53451</v>
      </c>
      <c r="U5" s="427">
        <v>254701</v>
      </c>
      <c r="V5" s="316"/>
      <c r="W5" s="548">
        <f t="shared" ref="W5:W13" si="0">U5/T5-1</f>
        <v>5.295976345643405E-2</v>
      </c>
      <c r="X5" s="548">
        <f t="shared" ref="X5:X13" si="1">U5/Q5-1</f>
        <v>0.37225227360889623</v>
      </c>
      <c r="Y5" s="316"/>
    </row>
    <row r="6" spans="1:1013 1026:2040 2053:3067 3080:4094 4107:5108 5121:6135 6148:7162 7175:8189 8202:9216 9229:10230 10243:11257 11270:12284 12297:13311 13324:14325 14338:15352 15365:16379" ht="13" customHeight="1">
      <c r="A6" s="312"/>
      <c r="B6" s="16" t="str">
        <f>IF('Summary | Sumário'!D$6=Names!B$3,Names!S40,Names!T40)</f>
        <v>Commission and brokerage fees</v>
      </c>
      <c r="C6" s="316">
        <v>18870</v>
      </c>
      <c r="D6" s="316">
        <v>110640</v>
      </c>
      <c r="E6" s="316">
        <v>314586</v>
      </c>
      <c r="F6" s="316">
        <v>523889</v>
      </c>
      <c r="G6" s="316">
        <v>536580</v>
      </c>
      <c r="H6" s="316">
        <v>57439.66</v>
      </c>
      <c r="I6" s="316">
        <v>71617</v>
      </c>
      <c r="J6" s="316">
        <v>78731</v>
      </c>
      <c r="K6" s="316">
        <v>106798.34</v>
      </c>
      <c r="L6" s="316">
        <v>120069</v>
      </c>
      <c r="M6" s="316">
        <v>134103</v>
      </c>
      <c r="N6" s="316">
        <v>122675</v>
      </c>
      <c r="O6" s="316">
        <v>147042</v>
      </c>
      <c r="P6" s="316">
        <v>132652</v>
      </c>
      <c r="Q6" s="316">
        <v>116633</v>
      </c>
      <c r="R6" s="316">
        <v>142831</v>
      </c>
      <c r="S6" s="316">
        <v>144464</v>
      </c>
      <c r="T6" s="316">
        <v>146067.27165041512</v>
      </c>
      <c r="U6" s="316">
        <v>189250</v>
      </c>
      <c r="V6" s="316"/>
      <c r="W6" s="549">
        <f t="shared" si="0"/>
        <v>0.29563589339119534</v>
      </c>
      <c r="X6" s="549">
        <f t="shared" si="1"/>
        <v>0.62261109634494516</v>
      </c>
      <c r="Y6" s="316"/>
    </row>
    <row r="7" spans="1:1013 1026:2040 2053:3067 3080:4094 4107:5108 5121:6135 6148:7162 7175:8189 8202:9216 9229:10230 10243:11257 11270:12284 12297:13311 13324:14325 14338:15352 15365:16379" ht="13" customHeight="1">
      <c r="A7" s="312"/>
      <c r="B7" s="22" t="str">
        <f>IF('Summary | Sumário'!D$6=Names!B$3,Names!S39,Names!T39)</f>
        <v>Banking and credit operations</v>
      </c>
      <c r="C7" s="315">
        <v>29397</v>
      </c>
      <c r="D7" s="315">
        <v>40436</v>
      </c>
      <c r="E7" s="315">
        <v>50992</v>
      </c>
      <c r="F7" s="315">
        <v>62544</v>
      </c>
      <c r="G7" s="315">
        <v>89507</v>
      </c>
      <c r="H7" s="315">
        <v>11035</v>
      </c>
      <c r="I7" s="315">
        <v>11281</v>
      </c>
      <c r="J7" s="315">
        <v>13664</v>
      </c>
      <c r="K7" s="315">
        <v>15012</v>
      </c>
      <c r="L7" s="315">
        <v>12254</v>
      </c>
      <c r="M7" s="315">
        <v>16155</v>
      </c>
      <c r="N7" s="315">
        <v>16837</v>
      </c>
      <c r="O7" s="315">
        <v>17298</v>
      </c>
      <c r="P7" s="315">
        <v>14541</v>
      </c>
      <c r="Q7" s="315">
        <v>21875.4</v>
      </c>
      <c r="R7" s="315">
        <v>24030</v>
      </c>
      <c r="S7" s="315">
        <v>29060.6</v>
      </c>
      <c r="T7" s="315">
        <v>25837.612680000002</v>
      </c>
      <c r="U7" s="315">
        <v>27810</v>
      </c>
      <c r="V7" s="316"/>
      <c r="W7" s="550">
        <f t="shared" si="0"/>
        <v>7.633783137893202E-2</v>
      </c>
      <c r="X7" s="550">
        <f t="shared" si="1"/>
        <v>0.27129103924956799</v>
      </c>
      <c r="Y7" s="316"/>
    </row>
    <row r="8" spans="1:1013 1026:2040 2053:3067 3080:4094 4107:5108 5121:6135 6148:7162 7175:8189 8202:9216 9229:10230 10243:11257 11270:12284 12297:13311 13324:14325 14338:15352 15365:16379" ht="13" customHeight="1">
      <c r="A8" s="312"/>
      <c r="B8" s="16" t="str">
        <f>IF('Summary | Sumário'!D$6=Names!B$3,Names!S8,Names!T8)</f>
        <v>Other</v>
      </c>
      <c r="C8" s="316">
        <v>4271</v>
      </c>
      <c r="D8" s="316">
        <v>6005</v>
      </c>
      <c r="E8" s="316">
        <v>9780</v>
      </c>
      <c r="F8" s="316">
        <v>18059</v>
      </c>
      <c r="G8" s="316">
        <v>69945</v>
      </c>
      <c r="H8" s="316">
        <v>1891</v>
      </c>
      <c r="I8" s="316">
        <v>2826</v>
      </c>
      <c r="J8" s="316">
        <v>2715</v>
      </c>
      <c r="K8" s="316">
        <v>2348</v>
      </c>
      <c r="L8" s="316">
        <v>5875</v>
      </c>
      <c r="M8" s="316">
        <v>5182</v>
      </c>
      <c r="N8" s="316">
        <v>3516</v>
      </c>
      <c r="O8" s="316">
        <v>3486</v>
      </c>
      <c r="P8" s="316">
        <v>7279</v>
      </c>
      <c r="Q8" s="316">
        <v>20925</v>
      </c>
      <c r="R8" s="316">
        <v>20957</v>
      </c>
      <c r="S8" s="316">
        <v>20784</v>
      </c>
      <c r="T8" s="316">
        <v>25279.820079759389</v>
      </c>
      <c r="U8" s="316">
        <v>17466</v>
      </c>
      <c r="V8" s="316"/>
      <c r="W8" s="549">
        <f t="shared" si="0"/>
        <v>-0.30909318401421793</v>
      </c>
      <c r="X8" s="549">
        <f t="shared" si="1"/>
        <v>-0.16530465949820794</v>
      </c>
      <c r="Y8" s="316"/>
    </row>
    <row r="9" spans="1:1013 1026:2040 2053:3067 3080:4094 4107:5108 5121:6135 6148:7162 7175:8189 8202:9216 9229:10230 10243:11257 11270:12284 12297:13311 13324:14325 14338:15352 15365:16379" ht="13" customHeight="1">
      <c r="A9" s="312"/>
      <c r="B9" s="22" t="str">
        <f>IF('Summary | Sumário'!D$6=Names!B$3,Names!S38,Names!T38)</f>
        <v>Investments</v>
      </c>
      <c r="C9" s="315">
        <v>19767</v>
      </c>
      <c r="D9" s="315">
        <v>22177</v>
      </c>
      <c r="E9" s="315">
        <v>49234</v>
      </c>
      <c r="F9" s="315">
        <v>67433</v>
      </c>
      <c r="G9" s="315">
        <v>90772</v>
      </c>
      <c r="H9" s="315">
        <v>7894</v>
      </c>
      <c r="I9" s="315">
        <v>7159</v>
      </c>
      <c r="J9" s="315">
        <v>20258</v>
      </c>
      <c r="K9" s="315">
        <v>13923</v>
      </c>
      <c r="L9" s="315">
        <v>23514</v>
      </c>
      <c r="M9" s="315">
        <v>18922</v>
      </c>
      <c r="N9" s="315">
        <v>22407</v>
      </c>
      <c r="O9" s="315">
        <v>2590</v>
      </c>
      <c r="P9" s="315">
        <v>20220</v>
      </c>
      <c r="Q9" s="315">
        <v>18062</v>
      </c>
      <c r="R9" s="315">
        <v>20848</v>
      </c>
      <c r="S9" s="315">
        <v>31642</v>
      </c>
      <c r="T9" s="315">
        <v>28732</v>
      </c>
      <c r="U9" s="315">
        <v>27596</v>
      </c>
      <c r="V9" s="316"/>
      <c r="W9" s="550">
        <f t="shared" si="0"/>
        <v>-3.9537797577613776E-2</v>
      </c>
      <c r="X9" s="550">
        <f t="shared" si="1"/>
        <v>0.5278485217583877</v>
      </c>
      <c r="Y9" s="316"/>
    </row>
    <row r="10" spans="1:1013 1026:2040 2053:3067 3080:4094 4107:5108 5121:6135 6148:7162 7175:8189 8202:9216 9229:10230 10243:11257 11270:12284 12297:13311 13324:14325 14338:15352 15365:16379" ht="13" customHeight="1">
      <c r="A10" s="312"/>
      <c r="B10" s="16" t="str">
        <f>IF('Summary | Sumário'!D$6=Names!B$3,Names!S10,Names!T10)</f>
        <v>Cashback expenses</v>
      </c>
      <c r="C10" s="316">
        <v>0</v>
      </c>
      <c r="D10" s="316">
        <v>-59976</v>
      </c>
      <c r="E10" s="316">
        <v>-251363</v>
      </c>
      <c r="F10" s="316">
        <v>-321438</v>
      </c>
      <c r="G10" s="316">
        <v>-236482</v>
      </c>
      <c r="H10" s="316">
        <v>-38482.660000000003</v>
      </c>
      <c r="I10" s="316">
        <v>-60184</v>
      </c>
      <c r="J10" s="316">
        <v>-65808</v>
      </c>
      <c r="K10" s="316">
        <v>-86888.34</v>
      </c>
      <c r="L10" s="316">
        <v>-82542</v>
      </c>
      <c r="M10" s="316">
        <v>-85250</v>
      </c>
      <c r="N10" s="316">
        <v>-76420</v>
      </c>
      <c r="O10" s="316">
        <v>-77226</v>
      </c>
      <c r="P10" s="316">
        <v>-67268</v>
      </c>
      <c r="Q10" s="316">
        <v>-58005</v>
      </c>
      <c r="R10" s="316">
        <v>-48391</v>
      </c>
      <c r="S10" s="316">
        <v>-62818</v>
      </c>
      <c r="T10" s="316">
        <v>-63381.686999999998</v>
      </c>
      <c r="U10" s="316">
        <v>-91045</v>
      </c>
      <c r="V10" s="316"/>
      <c r="W10" s="549">
        <f t="shared" si="0"/>
        <v>0.43645592771931119</v>
      </c>
      <c r="X10" s="549">
        <f t="shared" si="1"/>
        <v>0.5696060684423756</v>
      </c>
      <c r="Y10" s="316"/>
    </row>
    <row r="11" spans="1:1013 1026:2040 2053:3067 3080:4094 4107:5108 5121:6135 6148:7162 7175:8189 8202:9216 9229:10230 10243:11257 11270:12284 12297:13311 13324:14325 14338:15352 15365:16379" ht="13" customHeight="1">
      <c r="A11" s="312"/>
      <c r="B11" s="22" t="str">
        <f>IF('Summary | Sumário'!D$6=Names!B$3,Names!S11,Names!T11)</f>
        <v>Inter rewards</v>
      </c>
      <c r="C11" s="315">
        <v>0</v>
      </c>
      <c r="D11" s="315">
        <v>0</v>
      </c>
      <c r="E11" s="315">
        <v>0</v>
      </c>
      <c r="F11" s="315">
        <v>0</v>
      </c>
      <c r="G11" s="315">
        <v>-66571</v>
      </c>
      <c r="H11" s="315">
        <v>0</v>
      </c>
      <c r="I11" s="315">
        <v>0</v>
      </c>
      <c r="J11" s="315">
        <v>0</v>
      </c>
      <c r="K11" s="315">
        <v>0</v>
      </c>
      <c r="L11" s="315">
        <v>0</v>
      </c>
      <c r="M11" s="315">
        <v>0</v>
      </c>
      <c r="N11" s="315">
        <v>0</v>
      </c>
      <c r="O11" s="315">
        <v>0</v>
      </c>
      <c r="P11" s="315">
        <v>0</v>
      </c>
      <c r="Q11" s="315">
        <v>-6574</v>
      </c>
      <c r="R11" s="315">
        <v>-26910</v>
      </c>
      <c r="S11" s="315">
        <v>-33087</v>
      </c>
      <c r="T11" s="315">
        <v>-30086.383590000005</v>
      </c>
      <c r="U11" s="315">
        <v>-28632</v>
      </c>
      <c r="V11" s="316"/>
      <c r="W11" s="550">
        <f t="shared" si="0"/>
        <v>-4.834025949477716E-2</v>
      </c>
      <c r="X11" s="550">
        <f t="shared" si="1"/>
        <v>3.3553392150897476</v>
      </c>
      <c r="Y11" s="316"/>
    </row>
    <row r="12" spans="1:1013 1026:2040 2053:3067 3080:4094 4107:5108 5121:6135 6148:7162 7175:8189 8202:9216 9229:10230 10243:11257 11270:12284 12297:13311 13324:14325 14338:15352 15365:16379" ht="13" customHeight="1">
      <c r="A12" s="312"/>
      <c r="B12" s="16" t="str">
        <f>IF('Summary | Sumário'!D$6=Names!B$3,Names!S12,Names!T12)</f>
        <v>Expenses from services and commissions</v>
      </c>
      <c r="C12" s="316">
        <v>-56627.339</v>
      </c>
      <c r="D12" s="316">
        <v>-71611</v>
      </c>
      <c r="E12" s="316">
        <v>-100297</v>
      </c>
      <c r="F12" s="316">
        <v>-129233</v>
      </c>
      <c r="G12" s="316">
        <v>-135582</v>
      </c>
      <c r="H12" s="316">
        <v>-23279</v>
      </c>
      <c r="I12" s="316">
        <v>-21841</v>
      </c>
      <c r="J12" s="316">
        <v>-26430</v>
      </c>
      <c r="K12" s="316">
        <v>-28747</v>
      </c>
      <c r="L12" s="316">
        <v>-28516</v>
      </c>
      <c r="M12" s="316">
        <v>-33954</v>
      </c>
      <c r="N12" s="316">
        <v>-33404</v>
      </c>
      <c r="O12" s="316">
        <v>-33359</v>
      </c>
      <c r="P12" s="316">
        <v>-35678</v>
      </c>
      <c r="Q12" s="316">
        <v>-31723</v>
      </c>
      <c r="R12" s="316">
        <v>-32271</v>
      </c>
      <c r="S12" s="316">
        <v>-35910</v>
      </c>
      <c r="T12" s="316">
        <v>-34021.773478642281</v>
      </c>
      <c r="U12" s="316">
        <v>-32942</v>
      </c>
      <c r="V12" s="316"/>
      <c r="W12" s="549">
        <f t="shared" si="0"/>
        <v>-3.1737718767662848E-2</v>
      </c>
      <c r="X12" s="549">
        <f t="shared" si="1"/>
        <v>3.8426378337483857E-2</v>
      </c>
      <c r="Y12" s="316"/>
    </row>
    <row r="13" spans="1:1013 1026:2040 2053:3067 3080:4094 4107:5108 5121:6135 6148:7162 7175:8189 8202:9216 9229:10230 10243:11257 11270:12284 12297:13311 13324:14325 14338:15352 15365:16379" ht="13" customHeight="1">
      <c r="A13" s="312"/>
      <c r="B13" s="439" t="str">
        <f>IF('Summary | Sumário'!D$6=Names!B$3,Names!S13,Names!T13)</f>
        <v>Net result from services and commissions</v>
      </c>
      <c r="C13" s="415">
        <f>SUM(C5:C12)</f>
        <v>73829.660999999993</v>
      </c>
      <c r="D13" s="415">
        <f>SUM(D5:D12)</f>
        <v>185534</v>
      </c>
      <c r="E13" s="415">
        <f>SUM(E5:E12)</f>
        <v>442272</v>
      </c>
      <c r="F13" s="415">
        <f>SUM(F5:F12)</f>
        <v>838806</v>
      </c>
      <c r="G13" s="415">
        <f t="shared" ref="G13" si="2">SUM(P13:S13)</f>
        <v>1168799</v>
      </c>
      <c r="H13" s="415">
        <f t="shared" ref="H13:T13" si="3">SUM(H5:H12)</f>
        <v>77686</v>
      </c>
      <c r="I13" s="415">
        <f t="shared" si="3"/>
        <v>89070</v>
      </c>
      <c r="J13" s="415">
        <f t="shared" si="3"/>
        <v>122853</v>
      </c>
      <c r="K13" s="415">
        <f t="shared" si="3"/>
        <v>152662.99999999997</v>
      </c>
      <c r="L13" s="415">
        <f t="shared" si="3"/>
        <v>177703</v>
      </c>
      <c r="M13" s="415">
        <f t="shared" si="3"/>
        <v>204561</v>
      </c>
      <c r="N13" s="415">
        <f t="shared" si="3"/>
        <v>217029</v>
      </c>
      <c r="O13" s="415">
        <f t="shared" si="3"/>
        <v>239513</v>
      </c>
      <c r="P13" s="415">
        <f t="shared" si="3"/>
        <v>246675</v>
      </c>
      <c r="Q13" s="415">
        <f t="shared" si="3"/>
        <v>266801.40000000002</v>
      </c>
      <c r="R13" s="415">
        <f t="shared" si="3"/>
        <v>315509</v>
      </c>
      <c r="S13" s="415">
        <f t="shared" si="3"/>
        <v>339813.6</v>
      </c>
      <c r="T13" s="415">
        <f t="shared" si="3"/>
        <v>340317.3948515323</v>
      </c>
      <c r="U13" s="415">
        <f t="shared" ref="U13" si="4">SUM(U5:U12)</f>
        <v>364204</v>
      </c>
      <c r="V13" s="328"/>
      <c r="W13" s="551">
        <f t="shared" si="0"/>
        <v>7.0189198406647835E-2</v>
      </c>
      <c r="X13" s="551">
        <f t="shared" si="1"/>
        <v>0.36507529570684394</v>
      </c>
      <c r="Y13" s="316"/>
    </row>
    <row r="14" spans="1:1013 1026:2040 2053:3067 3080:4094 4107:5108 5121:6135 6148:7162 7175:8189 8202:9216 9229:10230 10243:11257 11270:12284 12297:13311 13324:14325 14338:15352 15365:16379" ht="13" customHeight="1">
      <c r="A14" s="312"/>
      <c r="B14" s="482"/>
      <c r="C14" s="316"/>
      <c r="D14" s="316"/>
      <c r="E14" s="316"/>
      <c r="F14" s="316"/>
      <c r="G14" s="316"/>
      <c r="H14" s="316"/>
      <c r="I14" s="316"/>
      <c r="J14" s="316"/>
      <c r="K14" s="316"/>
      <c r="L14" s="316"/>
      <c r="M14" s="316"/>
      <c r="N14" s="316"/>
      <c r="O14" s="316"/>
      <c r="P14" s="316"/>
      <c r="Q14" s="316"/>
      <c r="R14" s="316"/>
      <c r="S14" s="316"/>
      <c r="T14" s="316"/>
      <c r="U14" s="316"/>
      <c r="V14" s="316"/>
      <c r="W14" s="316"/>
      <c r="X14" s="316"/>
      <c r="Y14" s="316"/>
    </row>
    <row r="15" spans="1:1013 1026:2040 2053:3067 3080:4094 4107:5108 5121:6135 6148:7162 7175:8189 8202:9216 9229:10230 10243:11257 11270:12284 12297:13311 13324:14325 14338:15352 15365:16379" ht="13" customHeight="1">
      <c r="A15" s="312"/>
      <c r="B15" s="391" t="str">
        <f>IF('Summary | Sumário'!D$6=Names!B$3,Names!S15,Names!T15)</f>
        <v>Other revenues</v>
      </c>
      <c r="C15" s="269"/>
      <c r="D15" s="269"/>
      <c r="E15" s="269"/>
      <c r="F15" s="269"/>
      <c r="G15" s="269"/>
      <c r="H15" s="269"/>
      <c r="I15" s="269"/>
      <c r="J15" s="269"/>
      <c r="K15" s="269"/>
      <c r="L15" s="269"/>
      <c r="M15" s="269"/>
      <c r="N15" s="269"/>
      <c r="O15" s="269"/>
      <c r="P15" s="269"/>
      <c r="Q15" s="269"/>
      <c r="R15" s="269"/>
      <c r="S15" s="269"/>
      <c r="T15" s="269"/>
      <c r="U15" s="269"/>
      <c r="V15" s="274"/>
      <c r="W15" s="269"/>
      <c r="X15" s="269"/>
      <c r="Y15" s="316"/>
    </row>
    <row r="16" spans="1:1013 1026:2040 2053:3067 3080:4094 4107:5108 5121:6135 6148:7162 7175:8189 8202:9216 9229:10230 10243:11257 11270:12284 12297:13311 13324:14325 14338:15352 15365:16379" ht="13" customHeight="1">
      <c r="A16" s="312"/>
      <c r="B16" s="396" t="str">
        <f>IF('Summary | Sumário'!D$6=Names!B$3,Names!S16,Names!T16)</f>
        <v>Performance fees</v>
      </c>
      <c r="C16" s="440">
        <v>24610</v>
      </c>
      <c r="D16" s="440">
        <v>75230</v>
      </c>
      <c r="E16" s="440">
        <f>SUM(H16:K16)</f>
        <v>102863</v>
      </c>
      <c r="F16" s="440">
        <f>SUM(L16:O16)</f>
        <v>150401</v>
      </c>
      <c r="G16" s="440">
        <f t="shared" ref="G16:G20" si="5">SUM(P16:S16)</f>
        <v>135260</v>
      </c>
      <c r="H16" s="440">
        <v>29089</v>
      </c>
      <c r="I16" s="440">
        <v>45719</v>
      </c>
      <c r="J16" s="440">
        <v>18654</v>
      </c>
      <c r="K16" s="440">
        <v>9401</v>
      </c>
      <c r="L16" s="440">
        <v>40734</v>
      </c>
      <c r="M16" s="440">
        <v>52204</v>
      </c>
      <c r="N16" s="440">
        <v>30764</v>
      </c>
      <c r="O16" s="440">
        <v>26699</v>
      </c>
      <c r="P16" s="440">
        <v>28285</v>
      </c>
      <c r="Q16" s="440">
        <v>27910</v>
      </c>
      <c r="R16" s="440">
        <v>48644.500280000007</v>
      </c>
      <c r="S16" s="440">
        <v>30420.499719999993</v>
      </c>
      <c r="T16" s="440">
        <v>24264</v>
      </c>
      <c r="U16" s="440">
        <v>16727</v>
      </c>
      <c r="V16" s="316"/>
      <c r="W16" s="552">
        <f>U16/T16-1</f>
        <v>-0.31062479393339926</v>
      </c>
      <c r="X16" s="552">
        <f>U16/Q16-1</f>
        <v>-0.40068075958437832</v>
      </c>
      <c r="Y16" s="316"/>
    </row>
    <row r="17" spans="1:25" ht="13" customHeight="1">
      <c r="A17" s="312"/>
      <c r="B17" s="22" t="str">
        <f>IF('Summary | Sumário'!D$6=Names!B$3,Names!S17,Names!T17)</f>
        <v>Capital gains (losses)</v>
      </c>
      <c r="C17" s="315">
        <v>0</v>
      </c>
      <c r="D17" s="315">
        <v>0</v>
      </c>
      <c r="E17" s="315">
        <f t="shared" ref="E17:E20" si="6">SUM(H17:K17)</f>
        <v>29330</v>
      </c>
      <c r="F17" s="315">
        <f t="shared" ref="F17:F20" si="7">SUM(L17:O17)</f>
        <v>66363</v>
      </c>
      <c r="G17" s="315">
        <f t="shared" si="5"/>
        <v>41785</v>
      </c>
      <c r="H17" s="315">
        <v>6837</v>
      </c>
      <c r="I17" s="315">
        <v>13917</v>
      </c>
      <c r="J17" s="315">
        <v>4248</v>
      </c>
      <c r="K17" s="315">
        <v>4328</v>
      </c>
      <c r="L17" s="315">
        <v>38486</v>
      </c>
      <c r="M17" s="315">
        <v>22428</v>
      </c>
      <c r="N17" s="315">
        <v>2651</v>
      </c>
      <c r="O17" s="315">
        <v>2798</v>
      </c>
      <c r="P17" s="315">
        <v>2938</v>
      </c>
      <c r="Q17" s="315">
        <v>6149</v>
      </c>
      <c r="R17" s="315">
        <v>25341</v>
      </c>
      <c r="S17" s="315">
        <v>7357</v>
      </c>
      <c r="T17" s="315">
        <v>3255</v>
      </c>
      <c r="U17" s="315">
        <v>5534</v>
      </c>
      <c r="V17" s="316"/>
      <c r="W17" s="550">
        <f>U17/T17-1</f>
        <v>0.70015360983102926</v>
      </c>
      <c r="X17" s="550">
        <f>U17/Q17-1</f>
        <v>-0.10001626280696052</v>
      </c>
      <c r="Y17" s="316"/>
    </row>
    <row r="18" spans="1:25" ht="13" customHeight="1">
      <c r="B18" s="16" t="str">
        <f>IF('Summary | Sumário'!D$6=Names!B$3,Names!S18,Names!T18)</f>
        <v>Foreign exchange</v>
      </c>
      <c r="C18" s="316">
        <v>5976</v>
      </c>
      <c r="D18" s="316">
        <v>17318</v>
      </c>
      <c r="E18" s="316">
        <f t="shared" si="6"/>
        <v>24667</v>
      </c>
      <c r="F18" s="316">
        <f t="shared" si="7"/>
        <v>99780</v>
      </c>
      <c r="G18" s="316">
        <f t="shared" si="5"/>
        <v>88708</v>
      </c>
      <c r="H18" s="316">
        <v>5876</v>
      </c>
      <c r="I18" s="316">
        <v>6689</v>
      </c>
      <c r="J18" s="316">
        <v>5791</v>
      </c>
      <c r="K18" s="316">
        <v>6311</v>
      </c>
      <c r="L18" s="316">
        <v>17033</v>
      </c>
      <c r="M18" s="316">
        <v>25563</v>
      </c>
      <c r="N18" s="316">
        <v>31137</v>
      </c>
      <c r="O18" s="316">
        <v>26047</v>
      </c>
      <c r="P18" s="316">
        <v>14919</v>
      </c>
      <c r="Q18" s="316">
        <v>26191</v>
      </c>
      <c r="R18" s="316">
        <v>26659</v>
      </c>
      <c r="S18" s="316">
        <v>20939</v>
      </c>
      <c r="T18" s="316">
        <v>21756</v>
      </c>
      <c r="U18" s="316">
        <v>12197</v>
      </c>
      <c r="V18" s="316"/>
      <c r="W18" s="549">
        <f>U18/T18-1</f>
        <v>-0.4393730465159037</v>
      </c>
      <c r="X18" s="549">
        <f>U18/Q18-1</f>
        <v>-0.53430567752281322</v>
      </c>
    </row>
    <row r="19" spans="1:25" ht="13" customHeight="1">
      <c r="B19" s="22" t="str">
        <f>IF('Summary | Sumário'!D$6=Names!B$3,Names!S19,Names!T19)</f>
        <v>Other revenue</v>
      </c>
      <c r="C19" s="315">
        <v>22257</v>
      </c>
      <c r="D19" s="315">
        <v>17334</v>
      </c>
      <c r="E19" s="315">
        <v>33222</v>
      </c>
      <c r="F19" s="315">
        <v>71918</v>
      </c>
      <c r="G19" s="315">
        <f t="shared" si="5"/>
        <v>109935</v>
      </c>
      <c r="H19" s="315">
        <v>5697</v>
      </c>
      <c r="I19" s="315">
        <v>9723</v>
      </c>
      <c r="J19" s="315">
        <v>7594</v>
      </c>
      <c r="K19" s="315">
        <v>10208</v>
      </c>
      <c r="L19" s="315">
        <v>16154</v>
      </c>
      <c r="M19" s="315">
        <v>11177</v>
      </c>
      <c r="N19" s="315">
        <v>13135</v>
      </c>
      <c r="O19" s="315">
        <v>31452</v>
      </c>
      <c r="P19" s="315">
        <v>19735</v>
      </c>
      <c r="Q19" s="315">
        <v>20908</v>
      </c>
      <c r="R19" s="315">
        <v>30785</v>
      </c>
      <c r="S19" s="315">
        <v>38507</v>
      </c>
      <c r="T19" s="315">
        <v>40682</v>
      </c>
      <c r="U19" s="315">
        <v>50270</v>
      </c>
      <c r="V19" s="316"/>
      <c r="W19" s="550">
        <f>U19/T19-1</f>
        <v>0.235681628238533</v>
      </c>
      <c r="X19" s="550">
        <f>U19/Q19-1</f>
        <v>1.4043428352783622</v>
      </c>
    </row>
    <row r="20" spans="1:25" ht="13" customHeight="1">
      <c r="B20" s="481" t="str">
        <f>IF('Summary | Sumário'!D$6=Names!B$3,Names!S21,Names!T21)</f>
        <v>Other revenues</v>
      </c>
      <c r="C20" s="417">
        <f>SUM(C16:C19)</f>
        <v>52843</v>
      </c>
      <c r="D20" s="417">
        <f>SUM(D16:D19)</f>
        <v>109882</v>
      </c>
      <c r="E20" s="417">
        <f t="shared" si="6"/>
        <v>190082</v>
      </c>
      <c r="F20" s="417">
        <f t="shared" si="7"/>
        <v>388462</v>
      </c>
      <c r="G20" s="417">
        <f t="shared" si="5"/>
        <v>375688</v>
      </c>
      <c r="H20" s="417">
        <f t="shared" ref="H20:Q20" si="8">SUM(H16:H19)</f>
        <v>47499</v>
      </c>
      <c r="I20" s="417">
        <f t="shared" si="8"/>
        <v>76048</v>
      </c>
      <c r="J20" s="417">
        <f t="shared" si="8"/>
        <v>36287</v>
      </c>
      <c r="K20" s="417">
        <f t="shared" si="8"/>
        <v>30248</v>
      </c>
      <c r="L20" s="417">
        <f t="shared" si="8"/>
        <v>112407</v>
      </c>
      <c r="M20" s="417">
        <f t="shared" si="8"/>
        <v>111372</v>
      </c>
      <c r="N20" s="417">
        <f t="shared" si="8"/>
        <v>77687</v>
      </c>
      <c r="O20" s="417">
        <f t="shared" si="8"/>
        <v>86996</v>
      </c>
      <c r="P20" s="417">
        <f t="shared" si="8"/>
        <v>65877</v>
      </c>
      <c r="Q20" s="417">
        <f t="shared" si="8"/>
        <v>81158</v>
      </c>
      <c r="R20" s="417">
        <f t="shared" ref="R20:S20" si="9">SUM(R16:R19)</f>
        <v>131429.50028000001</v>
      </c>
      <c r="S20" s="417">
        <f t="shared" si="9"/>
        <v>97223.499719999993</v>
      </c>
      <c r="T20" s="417">
        <f t="shared" ref="T20:U20" si="10">SUM(T16:T19)</f>
        <v>89957</v>
      </c>
      <c r="U20" s="417">
        <f t="shared" si="10"/>
        <v>84728</v>
      </c>
      <c r="V20" s="328"/>
      <c r="W20" s="553">
        <f>U20/T20-1</f>
        <v>-5.8127772157808733E-2</v>
      </c>
      <c r="X20" s="553">
        <f>U20/Q20-1</f>
        <v>4.3988269794721369E-2</v>
      </c>
    </row>
    <row r="21" spans="1:25" ht="13" customHeight="1">
      <c r="B21" s="8"/>
      <c r="C21" s="272"/>
      <c r="D21" s="272"/>
      <c r="E21" s="272"/>
      <c r="F21" s="272"/>
      <c r="G21" s="272"/>
      <c r="H21" s="272"/>
      <c r="I21" s="272"/>
      <c r="J21" s="272"/>
      <c r="K21" s="272"/>
      <c r="L21" s="272"/>
      <c r="M21" s="272"/>
      <c r="N21" s="272"/>
      <c r="O21" s="272"/>
      <c r="P21" s="272"/>
      <c r="Q21" s="272"/>
      <c r="R21" s="272"/>
      <c r="S21" s="272"/>
      <c r="T21" s="272"/>
      <c r="U21" s="272"/>
      <c r="W21" s="272"/>
      <c r="X21" s="272"/>
    </row>
    <row r="22" spans="1:25" ht="13" customHeight="1">
      <c r="B22" s="387" t="str">
        <f>IF('Summary | Sumário'!D$6=Names!B$3,Names!S23,Names!T23)</f>
        <v>Fee revenues</v>
      </c>
      <c r="C22" s="274"/>
      <c r="D22" s="274"/>
      <c r="E22" s="274"/>
      <c r="F22" s="274"/>
      <c r="G22" s="274"/>
      <c r="H22" s="274"/>
      <c r="I22" s="274"/>
      <c r="J22" s="274"/>
      <c r="K22" s="274"/>
      <c r="L22" s="274"/>
      <c r="M22" s="274"/>
      <c r="N22" s="274"/>
      <c r="O22" s="274"/>
      <c r="P22" s="274"/>
      <c r="Q22" s="274"/>
      <c r="R22" s="274"/>
      <c r="S22" s="274"/>
      <c r="T22" s="274"/>
      <c r="U22" s="274"/>
      <c r="V22" s="274"/>
      <c r="W22" s="274"/>
      <c r="X22" s="274"/>
    </row>
    <row r="23" spans="1:25" ht="13" customHeight="1">
      <c r="B23" s="388" t="str">
        <f>IF('Summary | Sumário'!D$6=Names!B$3,Names!S24,Names!T24)</f>
        <v>Net result from services and commissions</v>
      </c>
      <c r="C23" s="427">
        <v>73829.660999999993</v>
      </c>
      <c r="D23" s="427">
        <v>185534</v>
      </c>
      <c r="E23" s="427">
        <f>SUM(H23:K23)</f>
        <v>442272</v>
      </c>
      <c r="F23" s="427">
        <f>SUM(L23:O23)</f>
        <v>838806</v>
      </c>
      <c r="G23" s="427">
        <f t="shared" ref="G23:G25" si="11">SUM(P23:S23)</f>
        <v>1168800.6000000001</v>
      </c>
      <c r="H23" s="427">
        <v>77686</v>
      </c>
      <c r="I23" s="427">
        <v>89070</v>
      </c>
      <c r="J23" s="427">
        <v>122853</v>
      </c>
      <c r="K23" s="427">
        <v>152663</v>
      </c>
      <c r="L23" s="427">
        <v>177703</v>
      </c>
      <c r="M23" s="427">
        <v>204561</v>
      </c>
      <c r="N23" s="427">
        <v>217029</v>
      </c>
      <c r="O23" s="427">
        <v>239513</v>
      </c>
      <c r="P23" s="427">
        <v>246675</v>
      </c>
      <c r="Q23" s="427">
        <v>266801</v>
      </c>
      <c r="R23" s="427">
        <v>315509</v>
      </c>
      <c r="S23" s="427">
        <v>339815.6</v>
      </c>
      <c r="T23" s="427">
        <v>340317.39485153224</v>
      </c>
      <c r="U23" s="427">
        <v>364203</v>
      </c>
      <c r="V23" s="316"/>
      <c r="W23" s="548">
        <f>U23/T23-1</f>
        <v>7.0186259973247012E-2</v>
      </c>
      <c r="X23" s="548">
        <f>U23/Q23-1</f>
        <v>0.36507359417693341</v>
      </c>
    </row>
    <row r="24" spans="1:25" ht="13" customHeight="1">
      <c r="A24" s="312"/>
      <c r="B24" s="16" t="str">
        <f>IF('Summary | Sumário'!D$6=Names!B$3,Names!S25,Names!T25)</f>
        <v>Other revenues</v>
      </c>
      <c r="C24" s="316">
        <f>C20</f>
        <v>52843</v>
      </c>
      <c r="D24" s="316">
        <f t="shared" ref="D24:P24" si="12">D20</f>
        <v>109882</v>
      </c>
      <c r="E24" s="316">
        <f t="shared" si="12"/>
        <v>190082</v>
      </c>
      <c r="F24" s="316">
        <f t="shared" si="12"/>
        <v>388462</v>
      </c>
      <c r="G24" s="316">
        <f t="shared" si="11"/>
        <v>375688</v>
      </c>
      <c r="H24" s="316">
        <f t="shared" si="12"/>
        <v>47499</v>
      </c>
      <c r="I24" s="316">
        <f t="shared" si="12"/>
        <v>76048</v>
      </c>
      <c r="J24" s="316">
        <f t="shared" si="12"/>
        <v>36287</v>
      </c>
      <c r="K24" s="316">
        <f t="shared" si="12"/>
        <v>30248</v>
      </c>
      <c r="L24" s="316">
        <f t="shared" si="12"/>
        <v>112407</v>
      </c>
      <c r="M24" s="316">
        <f t="shared" si="12"/>
        <v>111372</v>
      </c>
      <c r="N24" s="316">
        <f t="shared" si="12"/>
        <v>77687</v>
      </c>
      <c r="O24" s="316">
        <f t="shared" si="12"/>
        <v>86996</v>
      </c>
      <c r="P24" s="316">
        <f t="shared" si="12"/>
        <v>65877</v>
      </c>
      <c r="Q24" s="316">
        <f t="shared" ref="Q24:R24" si="13">Q20</f>
        <v>81158</v>
      </c>
      <c r="R24" s="316">
        <f t="shared" si="13"/>
        <v>131429.50028000001</v>
      </c>
      <c r="S24" s="316">
        <f t="shared" ref="S24:T24" si="14">S20</f>
        <v>97223.499719999993</v>
      </c>
      <c r="T24" s="316">
        <f t="shared" si="14"/>
        <v>89957</v>
      </c>
      <c r="U24" s="316">
        <f t="shared" ref="U24" si="15">U20</f>
        <v>84728</v>
      </c>
      <c r="V24" s="316"/>
      <c r="W24" s="549">
        <f>U24/T24-1</f>
        <v>-5.8127772157808733E-2</v>
      </c>
      <c r="X24" s="549">
        <f>U24/Q24-1</f>
        <v>4.3988269794721369E-2</v>
      </c>
      <c r="Y24" s="316"/>
    </row>
    <row r="25" spans="1:25" ht="13" customHeight="1">
      <c r="B25" s="439" t="str">
        <f>IF('Summary | Sumário'!D$6=Names!B$3,Names!S26,Names!T26)</f>
        <v>Net fee revenues</v>
      </c>
      <c r="C25" s="415">
        <f>SUM(C23:C24)</f>
        <v>126672.66099999999</v>
      </c>
      <c r="D25" s="415">
        <f t="shared" ref="D25:P25" si="16">SUM(D23:D24)</f>
        <v>295416</v>
      </c>
      <c r="E25" s="415">
        <f t="shared" si="16"/>
        <v>632354</v>
      </c>
      <c r="F25" s="415">
        <f t="shared" si="16"/>
        <v>1227268</v>
      </c>
      <c r="G25" s="415">
        <f t="shared" si="11"/>
        <v>1544488.6</v>
      </c>
      <c r="H25" s="415">
        <f t="shared" si="16"/>
        <v>125185</v>
      </c>
      <c r="I25" s="415">
        <f t="shared" si="16"/>
        <v>165118</v>
      </c>
      <c r="J25" s="415">
        <f t="shared" si="16"/>
        <v>159140</v>
      </c>
      <c r="K25" s="415">
        <f t="shared" si="16"/>
        <v>182911</v>
      </c>
      <c r="L25" s="415">
        <f t="shared" si="16"/>
        <v>290110</v>
      </c>
      <c r="M25" s="415">
        <f t="shared" si="16"/>
        <v>315933</v>
      </c>
      <c r="N25" s="415">
        <f t="shared" si="16"/>
        <v>294716</v>
      </c>
      <c r="O25" s="415">
        <f t="shared" si="16"/>
        <v>326509</v>
      </c>
      <c r="P25" s="415">
        <f t="shared" si="16"/>
        <v>312552</v>
      </c>
      <c r="Q25" s="415">
        <f t="shared" ref="Q25:R25" si="17">SUM(Q23:Q24)</f>
        <v>347959</v>
      </c>
      <c r="R25" s="415">
        <f t="shared" si="17"/>
        <v>446938.50028000004</v>
      </c>
      <c r="S25" s="415">
        <f t="shared" ref="S25:T25" si="18">SUM(S23:S24)</f>
        <v>437039.09971999994</v>
      </c>
      <c r="T25" s="415">
        <f t="shared" si="18"/>
        <v>430274.39485153224</v>
      </c>
      <c r="U25" s="415">
        <f t="shared" ref="U25" si="19">SUM(U23:U24)</f>
        <v>448931</v>
      </c>
      <c r="V25" s="328"/>
      <c r="W25" s="551">
        <f>U25/T25-1</f>
        <v>4.3359784759921194E-2</v>
      </c>
      <c r="X25" s="551">
        <f>U25/Q25-1</f>
        <v>0.29018361358665823</v>
      </c>
    </row>
    <row r="27" spans="1:25" ht="13" customHeight="1">
      <c r="B27" s="391" t="str">
        <f>IF('Summary | Sumário'!D$6=Names!B$3,Names!S28,Names!T28)</f>
        <v>Fee income ratio</v>
      </c>
      <c r="C27" s="269"/>
      <c r="D27" s="269"/>
      <c r="E27" s="269"/>
      <c r="F27" s="269"/>
      <c r="G27" s="269"/>
      <c r="H27" s="269"/>
      <c r="I27" s="269"/>
      <c r="J27" s="269"/>
      <c r="K27" s="269"/>
      <c r="L27" s="269"/>
      <c r="M27" s="269"/>
      <c r="N27" s="269"/>
      <c r="O27" s="269"/>
      <c r="P27" s="269"/>
      <c r="Q27" s="269"/>
      <c r="R27" s="269"/>
      <c r="S27" s="269"/>
      <c r="T27" s="269"/>
      <c r="U27" s="269"/>
      <c r="V27" s="274"/>
      <c r="W27" s="269"/>
      <c r="X27" s="269"/>
    </row>
    <row r="28" spans="1:25" ht="13" customHeight="1">
      <c r="B28" s="483" t="str">
        <f>IF('Summary | Sumário'!D$6=Names!B$3,Names!S29,Names!T29)</f>
        <v>Net fee revenues</v>
      </c>
      <c r="C28" s="484">
        <f>C25</f>
        <v>126672.66099999999</v>
      </c>
      <c r="D28" s="484">
        <f t="shared" ref="D28:P28" si="20">D25</f>
        <v>295416</v>
      </c>
      <c r="E28" s="484">
        <f t="shared" si="20"/>
        <v>632354</v>
      </c>
      <c r="F28" s="484">
        <f t="shared" si="20"/>
        <v>1227268</v>
      </c>
      <c r="G28" s="484">
        <f t="shared" ref="G28" si="21">G25</f>
        <v>1544488.6</v>
      </c>
      <c r="H28" s="484">
        <f t="shared" si="20"/>
        <v>125185</v>
      </c>
      <c r="I28" s="484">
        <f t="shared" si="20"/>
        <v>165118</v>
      </c>
      <c r="J28" s="484">
        <f t="shared" si="20"/>
        <v>159140</v>
      </c>
      <c r="K28" s="484">
        <f t="shared" si="20"/>
        <v>182911</v>
      </c>
      <c r="L28" s="484">
        <f t="shared" si="20"/>
        <v>290110</v>
      </c>
      <c r="M28" s="484">
        <f t="shared" si="20"/>
        <v>315933</v>
      </c>
      <c r="N28" s="484">
        <f t="shared" si="20"/>
        <v>294716</v>
      </c>
      <c r="O28" s="484">
        <f t="shared" si="20"/>
        <v>326509</v>
      </c>
      <c r="P28" s="484">
        <f t="shared" si="20"/>
        <v>312552</v>
      </c>
      <c r="Q28" s="484">
        <f t="shared" ref="Q28:R28" si="22">Q25</f>
        <v>347959</v>
      </c>
      <c r="R28" s="484">
        <f t="shared" si="22"/>
        <v>446938.50028000004</v>
      </c>
      <c r="S28" s="484">
        <f t="shared" ref="S28:T28" si="23">S25</f>
        <v>437039.09971999994</v>
      </c>
      <c r="T28" s="484">
        <f t="shared" si="23"/>
        <v>430274.39485153224</v>
      </c>
      <c r="U28" s="484">
        <f t="shared" ref="U28" si="24">U25</f>
        <v>448931</v>
      </c>
      <c r="V28" s="285"/>
      <c r="W28" s="554">
        <f>U28/T28-1</f>
        <v>4.3359784759921194E-2</v>
      </c>
      <c r="X28" s="554">
        <f>U28/Q28-1</f>
        <v>0.29018361358665823</v>
      </c>
    </row>
    <row r="29" spans="1:25" ht="13" customHeight="1">
      <c r="B29" s="109" t="str">
        <f>IF('Summary | Sumário'!D$6=Names!B$3,Names!S30,Names!T30)</f>
        <v>(÷) Total net revenues</v>
      </c>
      <c r="C29" s="317">
        <f t="shared" ref="C29:S29" si="25">C30+C32</f>
        <v>712223.66099999996</v>
      </c>
      <c r="D29" s="317">
        <f t="shared" si="25"/>
        <v>1011378.89518</v>
      </c>
      <c r="E29" s="317">
        <f t="shared" si="25"/>
        <v>2221823.2459999998</v>
      </c>
      <c r="F29" s="317">
        <f t="shared" si="25"/>
        <v>3562697.0819999995</v>
      </c>
      <c r="G29" s="317">
        <f t="shared" si="25"/>
        <v>4752576.5999999996</v>
      </c>
      <c r="H29" s="317">
        <f t="shared" si="25"/>
        <v>416765.935</v>
      </c>
      <c r="I29" s="317">
        <f t="shared" si="25"/>
        <v>467413.75100000005</v>
      </c>
      <c r="J29" s="317">
        <f t="shared" si="25"/>
        <v>606509.88</v>
      </c>
      <c r="K29" s="317">
        <f t="shared" si="25"/>
        <v>731132.67999999993</v>
      </c>
      <c r="L29" s="317">
        <f t="shared" si="25"/>
        <v>833520.63199999998</v>
      </c>
      <c r="M29" s="317">
        <f t="shared" si="25"/>
        <v>877020.6370000001</v>
      </c>
      <c r="N29" s="317">
        <f t="shared" si="25"/>
        <v>850303.73100000003</v>
      </c>
      <c r="O29" s="317">
        <f t="shared" si="25"/>
        <v>1001852.0819999999</v>
      </c>
      <c r="P29" s="317">
        <f t="shared" si="25"/>
        <v>1024113.822</v>
      </c>
      <c r="Q29" s="317">
        <f t="shared" si="25"/>
        <v>1150034</v>
      </c>
      <c r="R29" s="317">
        <f t="shared" si="25"/>
        <v>1265495.5890200001</v>
      </c>
      <c r="S29" s="317">
        <f t="shared" si="25"/>
        <v>1312934.1839799997</v>
      </c>
      <c r="T29" s="317">
        <f t="shared" ref="T29:U29" si="26">T30+T32</f>
        <v>1400939.5045515322</v>
      </c>
      <c r="U29" s="317">
        <f t="shared" si="26"/>
        <v>1478599.3320838539</v>
      </c>
      <c r="V29" s="285"/>
      <c r="W29" s="555">
        <f>U29/T29-1</f>
        <v>5.5434104956003871E-2</v>
      </c>
      <c r="X29" s="555">
        <f>U29/Q29-1</f>
        <v>0.28570053762223879</v>
      </c>
    </row>
    <row r="30" spans="1:25" ht="13" customHeight="1">
      <c r="B30" s="83" t="str">
        <f>IF('Summary | Sumário'!D$6=Names!B$3,Names!S31,Names!T31)</f>
        <v>NII</v>
      </c>
      <c r="C30" s="274">
        <f t="shared" ref="C30:U30" si="27">SUM(C31:C31)</f>
        <v>585551</v>
      </c>
      <c r="D30" s="274">
        <f t="shared" si="27"/>
        <v>715962.89517999999</v>
      </c>
      <c r="E30" s="274">
        <f t="shared" si="27"/>
        <v>1589469.2459999998</v>
      </c>
      <c r="F30" s="274">
        <f t="shared" si="27"/>
        <v>2335429.0819999995</v>
      </c>
      <c r="G30" s="274">
        <f t="shared" si="27"/>
        <v>3208088</v>
      </c>
      <c r="H30" s="274">
        <f t="shared" si="27"/>
        <v>291580.935</v>
      </c>
      <c r="I30" s="274">
        <f t="shared" si="27"/>
        <v>302295.75100000005</v>
      </c>
      <c r="J30" s="274">
        <f t="shared" si="27"/>
        <v>447369.88</v>
      </c>
      <c r="K30" s="274">
        <f t="shared" si="27"/>
        <v>548221.67999999993</v>
      </c>
      <c r="L30" s="274">
        <f t="shared" si="27"/>
        <v>543410.63199999998</v>
      </c>
      <c r="M30" s="274">
        <f t="shared" si="27"/>
        <v>561087.6370000001</v>
      </c>
      <c r="N30" s="274">
        <f t="shared" si="27"/>
        <v>555587.73100000003</v>
      </c>
      <c r="O30" s="274">
        <f t="shared" si="27"/>
        <v>675343.08199999994</v>
      </c>
      <c r="P30" s="274">
        <f t="shared" si="27"/>
        <v>711561.82200000004</v>
      </c>
      <c r="Q30" s="274">
        <f t="shared" si="27"/>
        <v>802075</v>
      </c>
      <c r="R30" s="274">
        <f t="shared" si="27"/>
        <v>818557.08874000004</v>
      </c>
      <c r="S30" s="274">
        <f t="shared" si="27"/>
        <v>875895.08425999992</v>
      </c>
      <c r="T30" s="274">
        <f t="shared" si="27"/>
        <v>970665.10969999991</v>
      </c>
      <c r="U30" s="274">
        <f t="shared" si="27"/>
        <v>1029668.3320838539</v>
      </c>
      <c r="V30" s="274"/>
      <c r="W30" s="539">
        <f>U30/T30-1</f>
        <v>6.0786384298998852E-2</v>
      </c>
      <c r="X30" s="539">
        <f>U30/Q30-1</f>
        <v>0.28375567382583156</v>
      </c>
    </row>
    <row r="31" spans="1:25" ht="13" customHeight="1">
      <c r="B31" s="98" t="str">
        <f>IF('Summary | Sumário'!D$6=Names!B$3,Names!S32,Names!T32)</f>
        <v>Net interest income</v>
      </c>
      <c r="C31" s="288">
        <v>585551</v>
      </c>
      <c r="D31" s="288">
        <v>715962.89517999999</v>
      </c>
      <c r="E31" s="288">
        <v>1589469.2459999998</v>
      </c>
      <c r="F31" s="288">
        <v>2335429.0819999995</v>
      </c>
      <c r="G31" s="288">
        <v>3208088</v>
      </c>
      <c r="H31" s="288">
        <v>291580.935</v>
      </c>
      <c r="I31" s="288">
        <v>302295.75100000005</v>
      </c>
      <c r="J31" s="288">
        <v>447369.88</v>
      </c>
      <c r="K31" s="288">
        <v>548221.67999999993</v>
      </c>
      <c r="L31" s="288">
        <v>543410.63199999998</v>
      </c>
      <c r="M31" s="288">
        <v>561087.6370000001</v>
      </c>
      <c r="N31" s="288">
        <v>555587.73100000003</v>
      </c>
      <c r="O31" s="288">
        <v>675343.08199999994</v>
      </c>
      <c r="P31" s="288">
        <v>711561.82200000004</v>
      </c>
      <c r="Q31" s="288">
        <v>802075</v>
      </c>
      <c r="R31" s="288">
        <v>818557.08874000004</v>
      </c>
      <c r="S31" s="288">
        <v>875895.08425999992</v>
      </c>
      <c r="T31" s="288">
        <v>970665.10969999991</v>
      </c>
      <c r="U31" s="288">
        <v>1029668.3320838539</v>
      </c>
      <c r="V31" s="289"/>
      <c r="W31" s="556">
        <f>U31/T31-1</f>
        <v>6.0786384298998852E-2</v>
      </c>
      <c r="X31" s="556">
        <f>U31/Q31-1</f>
        <v>0.28375567382583156</v>
      </c>
    </row>
    <row r="32" spans="1:25" ht="13" customHeight="1">
      <c r="B32" s="83" t="str">
        <f>IF('Summary | Sumário'!D$6=Names!B$3,Names!S34,Names!T34)</f>
        <v>Net fee revenues</v>
      </c>
      <c r="C32" s="285">
        <f>C25</f>
        <v>126672.66099999999</v>
      </c>
      <c r="D32" s="285">
        <f t="shared" ref="D32:P32" si="28">D25</f>
        <v>295416</v>
      </c>
      <c r="E32" s="285">
        <f t="shared" si="28"/>
        <v>632354</v>
      </c>
      <c r="F32" s="285">
        <f t="shared" si="28"/>
        <v>1227268</v>
      </c>
      <c r="G32" s="285">
        <f t="shared" ref="G32" si="29">G25</f>
        <v>1544488.6</v>
      </c>
      <c r="H32" s="285">
        <f t="shared" si="28"/>
        <v>125185</v>
      </c>
      <c r="I32" s="285">
        <f t="shared" si="28"/>
        <v>165118</v>
      </c>
      <c r="J32" s="285">
        <f t="shared" si="28"/>
        <v>159140</v>
      </c>
      <c r="K32" s="285">
        <f t="shared" si="28"/>
        <v>182911</v>
      </c>
      <c r="L32" s="285">
        <f t="shared" si="28"/>
        <v>290110</v>
      </c>
      <c r="M32" s="285">
        <f t="shared" si="28"/>
        <v>315933</v>
      </c>
      <c r="N32" s="285">
        <f t="shared" si="28"/>
        <v>294716</v>
      </c>
      <c r="O32" s="285">
        <f t="shared" si="28"/>
        <v>326509</v>
      </c>
      <c r="P32" s="285">
        <f t="shared" si="28"/>
        <v>312552</v>
      </c>
      <c r="Q32" s="285">
        <f t="shared" ref="Q32:R32" si="30">Q25</f>
        <v>347959</v>
      </c>
      <c r="R32" s="285">
        <f t="shared" si="30"/>
        <v>446938.50028000004</v>
      </c>
      <c r="S32" s="285">
        <f t="shared" ref="S32:T32" si="31">S25</f>
        <v>437039.09971999994</v>
      </c>
      <c r="T32" s="285">
        <f t="shared" si="31"/>
        <v>430274.39485153224</v>
      </c>
      <c r="U32" s="285">
        <f t="shared" ref="U32" si="32">U25</f>
        <v>448931</v>
      </c>
      <c r="V32" s="285"/>
      <c r="W32" s="280">
        <f>U32/T32-1</f>
        <v>4.3359784759921194E-2</v>
      </c>
      <c r="X32" s="280">
        <f>U32/Q32-1</f>
        <v>0.29018361358665823</v>
      </c>
    </row>
    <row r="33" spans="2:24" ht="13" customHeight="1">
      <c r="B33" s="439" t="str">
        <f>IF('Summary | Sumário'!D$6=Names!B$3,Names!S35,Names!T35)</f>
        <v>(=) Fee income ratio (%)</v>
      </c>
      <c r="C33" s="485">
        <f>C28/C29</f>
        <v>0.17785517097556802</v>
      </c>
      <c r="D33" s="485">
        <f t="shared" ref="D33:P33" si="33">D28/D29</f>
        <v>0.29209231219663073</v>
      </c>
      <c r="E33" s="485">
        <f t="shared" si="33"/>
        <v>0.28461039875176464</v>
      </c>
      <c r="F33" s="485">
        <f t="shared" si="33"/>
        <v>0.34447722378660545</v>
      </c>
      <c r="G33" s="485">
        <f t="shared" ref="G33" si="34">G28/G29</f>
        <v>0.32497921232873977</v>
      </c>
      <c r="H33" s="485">
        <f t="shared" si="33"/>
        <v>0.30037243806886471</v>
      </c>
      <c r="I33" s="485">
        <f t="shared" si="33"/>
        <v>0.35325875553883734</v>
      </c>
      <c r="J33" s="485">
        <f t="shared" si="33"/>
        <v>0.26238649236843431</v>
      </c>
      <c r="K33" s="485">
        <f t="shared" si="33"/>
        <v>0.25017483830704984</v>
      </c>
      <c r="L33" s="485">
        <f t="shared" si="33"/>
        <v>0.34805377199109333</v>
      </c>
      <c r="M33" s="485">
        <f t="shared" si="33"/>
        <v>0.36023439662800083</v>
      </c>
      <c r="N33" s="485">
        <f t="shared" si="33"/>
        <v>0.34660085479502617</v>
      </c>
      <c r="O33" s="485">
        <f t="shared" si="33"/>
        <v>0.32590539648147382</v>
      </c>
      <c r="P33" s="485">
        <f t="shared" si="33"/>
        <v>0.30519263902679755</v>
      </c>
      <c r="Q33" s="485">
        <f t="shared" ref="Q33:R33" si="35">Q28/Q29</f>
        <v>0.30256409810492557</v>
      </c>
      <c r="R33" s="485">
        <f t="shared" si="35"/>
        <v>0.35317270495277608</v>
      </c>
      <c r="S33" s="485">
        <f t="shared" ref="S33:T33" si="36">S28/S29</f>
        <v>0.33287205486201088</v>
      </c>
      <c r="T33" s="485">
        <f t="shared" si="36"/>
        <v>0.30713274445727862</v>
      </c>
      <c r="U33" s="485">
        <f t="shared" ref="U33" si="37">U28/U29</f>
        <v>0.30361910103618278</v>
      </c>
      <c r="V33" s="505"/>
      <c r="W33" s="557">
        <f>(U33-T33)*100</f>
        <v>-0.35136434210958356</v>
      </c>
      <c r="X33" s="557">
        <f>(U33-Q33)*100</f>
        <v>0.10550029312572096</v>
      </c>
    </row>
    <row r="34" spans="2:24" ht="13" customHeight="1">
      <c r="W34" s="274"/>
      <c r="X34" s="274"/>
    </row>
    <row r="38" spans="2:24" ht="13" customHeight="1">
      <c r="E38" s="280"/>
    </row>
  </sheetData>
  <sheetProtection algorithmName="SHA-512" hashValue="A2dobdc9MV+s3iIuxASprAuQEKVjBliirWwC77sqkn+GPxoLEI8GStXLaf2fkjywwOC7F+4/LYpLyxLdPRQZfg==" saltValue="YwrZjrbpzGpUIJOLNWAXK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EE35-A6A6-F947-816E-CF45E782FE5A}">
  <sheetPr codeName="Sheet6">
    <tabColor rgb="FFEB7100"/>
  </sheetPr>
  <dimension ref="B1:AB21"/>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21" width="10.83203125" style="202" customWidth="1"/>
    <col min="22" max="22" width="5.83203125" style="202" customWidth="1"/>
    <col min="23" max="24" width="10.83203125" style="202" customWidth="1"/>
    <col min="25" max="16384" width="10.83203125" style="201"/>
  </cols>
  <sheetData>
    <row r="1" spans="2:28" ht="13" customHeight="1">
      <c r="Y1" s="202"/>
    </row>
    <row r="2" spans="2:28" s="10" customFormat="1" ht="13" customHeight="1">
      <c r="B2" s="384" t="str">
        <f>IF('Summary | Sumário'!D$6=Names!B$3,Names!V1,Names!W1)</f>
        <v>Financials KPIs</v>
      </c>
      <c r="C2" s="198">
        <f>IF('Summary | Sumário'!D6=Names!B3,Names!C2,Names!D2)</f>
        <v>2019</v>
      </c>
      <c r="D2" s="198">
        <f>IF('Summary | Sumário'!D6=Names!B3,Names!C3,Names!D3)</f>
        <v>2020</v>
      </c>
      <c r="E2" s="198">
        <f>IF('Summary | Sumário'!D6=Names!B3,Names!C4,Names!D4)</f>
        <v>2021</v>
      </c>
      <c r="F2" s="198">
        <f>IF('Summary | Sumário'!D6=Names!B3,Names!C5,Names!D5)</f>
        <v>2022</v>
      </c>
      <c r="G2" s="412">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5"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2:28" ht="13" customHeight="1">
      <c r="B3" s="76"/>
      <c r="C3" s="241"/>
      <c r="D3" s="241"/>
      <c r="E3" s="241"/>
      <c r="F3" s="241"/>
      <c r="G3" s="241"/>
      <c r="H3" s="241"/>
      <c r="I3" s="241"/>
      <c r="J3" s="241"/>
      <c r="K3" s="241"/>
      <c r="L3" s="241"/>
      <c r="M3" s="241"/>
      <c r="N3" s="241"/>
      <c r="O3" s="241"/>
      <c r="P3" s="241"/>
      <c r="Q3" s="241"/>
      <c r="R3" s="241"/>
      <c r="S3" s="241"/>
      <c r="T3" s="241"/>
      <c r="U3" s="241"/>
      <c r="V3" s="241"/>
      <c r="W3" s="241"/>
      <c r="X3" s="241"/>
      <c r="Y3" s="213"/>
    </row>
    <row r="4" spans="2:28" ht="13" customHeight="1">
      <c r="B4" s="387" t="str">
        <f>IF('Summary | Sumário'!D$6=Names!B$3,Names!V2,Names!W2)</f>
        <v>Financials KPIs</v>
      </c>
      <c r="C4" s="380"/>
      <c r="D4" s="380"/>
      <c r="E4" s="380"/>
      <c r="F4" s="380"/>
      <c r="G4" s="380"/>
      <c r="H4" s="380"/>
      <c r="I4" s="380"/>
      <c r="J4" s="380"/>
      <c r="K4" s="380"/>
      <c r="L4" s="380"/>
      <c r="M4" s="380"/>
      <c r="N4" s="380"/>
      <c r="O4" s="380"/>
      <c r="P4" s="380"/>
      <c r="Q4" s="380"/>
      <c r="R4" s="380"/>
      <c r="S4" s="380"/>
      <c r="T4" s="380"/>
      <c r="U4" s="380"/>
      <c r="V4" s="380"/>
      <c r="W4" s="380"/>
      <c r="X4" s="380"/>
    </row>
    <row r="5" spans="2:28" ht="13" customHeight="1">
      <c r="B5" s="441" t="str">
        <f>IF('Summary | Sumário'!D$6=Names!B$3,Names!V3,Names!W3)</f>
        <v>Tier I ratio (%)</v>
      </c>
      <c r="C5" s="442">
        <v>0.39400000000000002</v>
      </c>
      <c r="D5" s="442">
        <v>0.31828739525522021</v>
      </c>
      <c r="E5" s="442">
        <f>K5</f>
        <v>0.443</v>
      </c>
      <c r="F5" s="442">
        <f>O5</f>
        <v>0.24099999999999999</v>
      </c>
      <c r="G5" s="442">
        <f>P5</f>
        <v>0.23</v>
      </c>
      <c r="H5" s="442">
        <v>0.24099999999999999</v>
      </c>
      <c r="I5" s="442">
        <v>0.19600000000000001</v>
      </c>
      <c r="J5" s="442">
        <v>0.49740000000000001</v>
      </c>
      <c r="K5" s="442">
        <v>0.443</v>
      </c>
      <c r="L5" s="442">
        <v>0.35699999999999998</v>
      </c>
      <c r="M5" s="442">
        <v>0.32900000000000001</v>
      </c>
      <c r="N5" s="442">
        <v>0.29799999999999999</v>
      </c>
      <c r="O5" s="442">
        <v>0.24099999999999999</v>
      </c>
      <c r="P5" s="442">
        <v>0.23</v>
      </c>
      <c r="Q5" s="442">
        <f>'7.1. Tier I Ratio | Basileia'!Q21</f>
        <v>0.22800000000000001</v>
      </c>
      <c r="R5" s="442">
        <f>'7.1. Tier I Ratio | Basileia'!R21</f>
        <v>0.2374</v>
      </c>
      <c r="S5" s="442">
        <f>'7.1. Tier I Ratio | Basileia'!S21</f>
        <v>0.229501027251763</v>
      </c>
      <c r="T5" s="442">
        <f>'7.1. Tier I Ratio | Basileia'!T21</f>
        <v>0.20276529979036845</v>
      </c>
      <c r="U5" s="442">
        <f>'7.1. Tier I Ratio | Basileia'!U21</f>
        <v>0.19289246116070838</v>
      </c>
      <c r="V5" s="307"/>
      <c r="W5" s="561">
        <f>(U5-T5)*100</f>
        <v>-0.9872838629660069</v>
      </c>
      <c r="X5" s="561">
        <f>(U5-Q5)*100</f>
        <v>-3.510753883929163</v>
      </c>
    </row>
    <row r="6" spans="2:28" ht="13" customHeight="1">
      <c r="B6" s="175" t="str">
        <f>IF('Summary | Sumário'!D$6=Names!B$3,Names!V4,Names!W4)</f>
        <v>NIM 1.0 - IEP + non-interest credit card receivables (%)</v>
      </c>
      <c r="C6" s="307">
        <v>9.803273556152127E-2</v>
      </c>
      <c r="D6" s="307">
        <v>6.8765813012030511E-2</v>
      </c>
      <c r="E6" s="307">
        <v>6.8686082884596447E-2</v>
      </c>
      <c r="F6" s="307">
        <v>6.7187969136151937E-2</v>
      </c>
      <c r="G6" s="307">
        <v>7.4108012101248649E-2</v>
      </c>
      <c r="H6" s="307">
        <v>7.2951874040954615E-2</v>
      </c>
      <c r="I6" s="307">
        <v>6.3550064892455183E-2</v>
      </c>
      <c r="J6" s="307">
        <v>7.1739740077472594E-2</v>
      </c>
      <c r="K6" s="307">
        <v>7.2623601704043694E-2</v>
      </c>
      <c r="L6" s="307">
        <v>6.9048772905710307E-2</v>
      </c>
      <c r="M6" s="307">
        <v>6.9509885601935162E-2</v>
      </c>
      <c r="N6" s="307">
        <v>6.3804563889878999E-2</v>
      </c>
      <c r="O6" s="307">
        <v>7.2326106208657676E-2</v>
      </c>
      <c r="P6" s="307">
        <v>7.4154768372393848E-2</v>
      </c>
      <c r="Q6" s="307">
        <v>8.1292947827274115E-2</v>
      </c>
      <c r="R6" s="307">
        <v>7.8011077819640784E-2</v>
      </c>
      <c r="S6" s="307">
        <v>7.6016105585943614E-2</v>
      </c>
      <c r="T6" s="307">
        <v>7.8008672381001329E-2</v>
      </c>
      <c r="U6" s="307">
        <v>7.8135776863962711E-2</v>
      </c>
      <c r="V6" s="307"/>
      <c r="W6" s="559">
        <f t="shared" ref="W6:W14" si="0">(U6-T6)*100</f>
        <v>1.271044829613821E-2</v>
      </c>
      <c r="X6" s="559">
        <f t="shared" ref="X6:X14" si="1">(U6-Q6)*100</f>
        <v>-0.31571709633114037</v>
      </c>
    </row>
    <row r="7" spans="2:28" ht="13" customHeight="1">
      <c r="B7" s="174" t="str">
        <f>IF('Summary | Sumário'!D$6=Names!B$3,Names!V5,Names!W5)</f>
        <v>NIM 2.0 - IEP only (%)</v>
      </c>
      <c r="C7" s="306">
        <v>9.9142145718649363E-2</v>
      </c>
      <c r="D7" s="306">
        <v>7.5040839606477505E-2</v>
      </c>
      <c r="E7" s="306">
        <v>7.8520632436058474E-2</v>
      </c>
      <c r="F7" s="306">
        <v>7.786690423211888E-2</v>
      </c>
      <c r="G7" s="306">
        <v>8.7085309397980981E-2</v>
      </c>
      <c r="H7" s="306">
        <v>8.2698905127656999E-2</v>
      </c>
      <c r="I7" s="306">
        <v>7.2601624955520236E-2</v>
      </c>
      <c r="J7" s="306">
        <v>8.1419665829301657E-2</v>
      </c>
      <c r="K7" s="306">
        <v>8.2770428980190339E-2</v>
      </c>
      <c r="L7" s="306">
        <v>7.9975031029914642E-2</v>
      </c>
      <c r="M7" s="306">
        <v>8.1316997280889425E-2</v>
      </c>
      <c r="N7" s="306">
        <v>7.4497874078582174E-2</v>
      </c>
      <c r="O7" s="306">
        <v>8.4173192464300134E-2</v>
      </c>
      <c r="P7" s="306">
        <v>8.6679395326141259E-2</v>
      </c>
      <c r="Q7" s="306">
        <v>9.5275870614249816E-2</v>
      </c>
      <c r="R7" s="306">
        <v>9.1881395447457576E-2</v>
      </c>
      <c r="S7" s="306">
        <v>8.9925313340997362E-2</v>
      </c>
      <c r="T7" s="306">
        <v>9.2313259386583371E-2</v>
      </c>
      <c r="U7" s="306">
        <v>9.2300945548336705E-2</v>
      </c>
      <c r="V7" s="307"/>
      <c r="W7" s="558">
        <f t="shared" si="0"/>
        <v>-1.2313838246666431E-3</v>
      </c>
      <c r="X7" s="558">
        <f t="shared" si="1"/>
        <v>-0.29749250659131116</v>
      </c>
      <c r="Y7" s="308"/>
    </row>
    <row r="8" spans="2:28" ht="13" customHeight="1">
      <c r="B8" s="175" t="str">
        <f>IF('Summary | Sumário'!D$6=Names!B$3,Names!V6,Names!W6)</f>
        <v>Efficiency ratio (%)</v>
      </c>
      <c r="C8" s="307">
        <v>0.80448043413149117</v>
      </c>
      <c r="D8" s="307">
        <v>0.89667983853718281</v>
      </c>
      <c r="E8" s="307">
        <v>0.82011307288876678</v>
      </c>
      <c r="F8" s="307">
        <v>0.72178100986236648</v>
      </c>
      <c r="G8" s="307">
        <f>'7.3. Efficiency | Eficiência'!G14</f>
        <v>0.54508164497360145</v>
      </c>
      <c r="H8" s="307">
        <v>0.82244761859407534</v>
      </c>
      <c r="I8" s="307">
        <v>0.89498519098050877</v>
      </c>
      <c r="J8" s="307">
        <v>0.68477256272790943</v>
      </c>
      <c r="K8" s="307">
        <v>0.88300693976751266</v>
      </c>
      <c r="L8" s="307">
        <v>0.71882612950101654</v>
      </c>
      <c r="M8" s="307">
        <v>0.68258635450748339</v>
      </c>
      <c r="N8" s="307">
        <v>0.75028931719132097</v>
      </c>
      <c r="O8" s="307">
        <v>0.73439417574268773</v>
      </c>
      <c r="P8" s="307">
        <v>0.62351057373347107</v>
      </c>
      <c r="Q8" s="307">
        <v>0.53383674950420901</v>
      </c>
      <c r="R8" s="307">
        <v>0.52425869323134722</v>
      </c>
      <c r="S8" s="307">
        <v>0.51364339974584727</v>
      </c>
      <c r="T8" s="307">
        <v>0.47740981275189825</v>
      </c>
      <c r="U8" s="307">
        <v>0.47859478999957056</v>
      </c>
      <c r="V8" s="307"/>
      <c r="W8" s="559">
        <f t="shared" si="0"/>
        <v>0.11849772476723031</v>
      </c>
      <c r="X8" s="559">
        <f t="shared" si="1"/>
        <v>-5.5241959504638452</v>
      </c>
    </row>
    <row r="9" spans="2:28" ht="13" customHeight="1">
      <c r="B9" s="174" t="str">
        <f>IF('Summary | Sumário'!D$6=Names!B$3,Names!V7,Names!W7)</f>
        <v>Cost-to-serve (R$)</v>
      </c>
      <c r="C9" s="309">
        <v>18.74712515371165</v>
      </c>
      <c r="D9" s="309">
        <v>17.830909204132052</v>
      </c>
      <c r="E9" s="309">
        <v>17.409937868948457</v>
      </c>
      <c r="F9" s="309">
        <v>16.574093350746622</v>
      </c>
      <c r="G9" s="309">
        <f>'7.4. CTS | Custo de servir'!G14</f>
        <v>12.852293711960394</v>
      </c>
      <c r="H9" s="309">
        <v>15.873373059532792</v>
      </c>
      <c r="I9" s="309">
        <v>17.183325533777968</v>
      </c>
      <c r="J9" s="309">
        <v>14.438974922927862</v>
      </c>
      <c r="K9" s="309">
        <v>21.197166973408052</v>
      </c>
      <c r="L9" s="309">
        <v>17.504516477667526</v>
      </c>
      <c r="M9" s="309">
        <v>15.659009047475481</v>
      </c>
      <c r="N9" s="309">
        <v>15.811985206549455</v>
      </c>
      <c r="O9" s="309">
        <v>17.144369708964522</v>
      </c>
      <c r="P9" s="309">
        <v>13.841844617734582</v>
      </c>
      <c r="Q9" s="309">
        <v>12.525885414818191</v>
      </c>
      <c r="R9" s="309">
        <v>12.654836511248545</v>
      </c>
      <c r="S9" s="309">
        <v>12.494674203389398</v>
      </c>
      <c r="T9" s="309">
        <v>11.676346720405142</v>
      </c>
      <c r="U9" s="309">
        <v>11.126188449079484</v>
      </c>
      <c r="V9" s="310"/>
      <c r="W9" s="306">
        <f>U9/T9-1</f>
        <v>-4.7117329118381068E-2</v>
      </c>
      <c r="X9" s="306">
        <f>U9/Q9-1</f>
        <v>-0.11174435334390476</v>
      </c>
    </row>
    <row r="10" spans="2:28" ht="13" customHeight="1">
      <c r="B10" s="175" t="str">
        <f>IF('Summary | Sumário'!D$6=Names!B$3,Names!V8,Names!W8)</f>
        <v>ARPAC gross of cost of funding (R$)</v>
      </c>
      <c r="C10" s="310">
        <v>37.439906636795584</v>
      </c>
      <c r="D10" s="310">
        <v>29.358654512771416</v>
      </c>
      <c r="E10" s="310">
        <v>36.896687804881864</v>
      </c>
      <c r="F10" s="310">
        <v>46.598265162928641</v>
      </c>
      <c r="G10" s="310">
        <v>51.539350932127313</v>
      </c>
      <c r="H10" s="310">
        <v>31.860046277549944</v>
      </c>
      <c r="I10" s="310">
        <v>32.116695201378882</v>
      </c>
      <c r="J10" s="310">
        <v>37.142020815254909</v>
      </c>
      <c r="K10" s="310">
        <v>43.653798617393988</v>
      </c>
      <c r="L10" s="310">
        <v>45.637602004130088</v>
      </c>
      <c r="M10" s="310">
        <v>47.272647711128187</v>
      </c>
      <c r="N10" s="310">
        <v>45.89827789545167</v>
      </c>
      <c r="O10" s="310">
        <v>46.871330110655641</v>
      </c>
      <c r="P10" s="310">
        <v>45.928746437189169</v>
      </c>
      <c r="Q10" s="310">
        <v>46.097358198258931</v>
      </c>
      <c r="R10" s="310">
        <v>47.683228896709714</v>
      </c>
      <c r="S10" s="310">
        <v>45.943992190292008</v>
      </c>
      <c r="T10" s="310">
        <v>45.155479395825651</v>
      </c>
      <c r="U10" s="310">
        <v>44.745031483246706</v>
      </c>
      <c r="V10" s="310"/>
      <c r="W10" s="307">
        <f>U10/T10-1</f>
        <v>-9.0896590639870656E-3</v>
      </c>
      <c r="X10" s="307">
        <f>U10/Q10-1</f>
        <v>-2.933631704437456E-2</v>
      </c>
    </row>
    <row r="11" spans="2:28" ht="13" customHeight="1">
      <c r="B11" s="174" t="str">
        <f>IF('Summary | Sumário'!D$6=Names!B$3,Names!V9,Names!W9)</f>
        <v>ARPAC net of cost of of funding (R$)</v>
      </c>
      <c r="C11" s="309">
        <v>28.068065362420551</v>
      </c>
      <c r="D11" s="309">
        <v>25.281336702420809</v>
      </c>
      <c r="E11" s="309">
        <v>30.465631062462688</v>
      </c>
      <c r="F11" s="309">
        <v>31.241092041703261</v>
      </c>
      <c r="G11" s="309">
        <v>33.117812815263498</v>
      </c>
      <c r="H11" s="309">
        <v>28.021111826481732</v>
      </c>
      <c r="I11" s="309">
        <v>27.758634276534909</v>
      </c>
      <c r="J11" s="309">
        <v>30.994658079423658</v>
      </c>
      <c r="K11" s="309">
        <v>33.616350581439335</v>
      </c>
      <c r="L11" s="309">
        <v>33.642889178916676</v>
      </c>
      <c r="M11" s="309">
        <v>32.228347203683377</v>
      </c>
      <c r="N11" s="309">
        <v>28.619330689169562</v>
      </c>
      <c r="O11" s="309">
        <v>30.603060803784444</v>
      </c>
      <c r="P11" s="309">
        <v>28.760728037016342</v>
      </c>
      <c r="Q11" s="309">
        <v>29.637117497266111</v>
      </c>
      <c r="R11" s="309">
        <v>30.545065184754449</v>
      </c>
      <c r="S11" s="309">
        <v>30.213529860070665</v>
      </c>
      <c r="T11" s="309">
        <v>30.129513192195212</v>
      </c>
      <c r="U11" s="309">
        <v>30.363197182371895</v>
      </c>
      <c r="V11" s="310"/>
      <c r="W11" s="306">
        <f>U11/T11-1</f>
        <v>7.7559829356026455E-3</v>
      </c>
      <c r="X11" s="306">
        <f>U11/Q11-1</f>
        <v>2.4498998094965252E-2</v>
      </c>
    </row>
    <row r="12" spans="2:28" ht="13" customHeight="1">
      <c r="B12" s="175" t="str">
        <f>IF('Summary | Sumário'!D$6=Names!B$3,Names!V10,Names!W10)</f>
        <v>ROAA (%)</v>
      </c>
      <c r="C12" s="307">
        <v>3.0137344267975844E-3</v>
      </c>
      <c r="D12" s="307">
        <v>2.03568129271206E-3</v>
      </c>
      <c r="E12" s="307">
        <v>-1.9476721466506826E-3</v>
      </c>
      <c r="F12" s="307">
        <v>-3.3937600244941883E-4</v>
      </c>
      <c r="G12" s="307">
        <v>8.16235850035049E-3</v>
      </c>
      <c r="H12" s="307">
        <v>-5.2092398426627066E-4</v>
      </c>
      <c r="I12" s="307">
        <v>-4.7150550114909654E-3</v>
      </c>
      <c r="J12" s="307">
        <v>4.2886875256527663E-3</v>
      </c>
      <c r="K12" s="307">
        <v>-6.3902394101949785E-3</v>
      </c>
      <c r="L12" s="307">
        <v>-3.0646390834829728E-3</v>
      </c>
      <c r="M12" s="307">
        <v>1.5614253156473533E-3</v>
      </c>
      <c r="N12" s="307">
        <v>-2.7927361117431526E-3</v>
      </c>
      <c r="O12" s="307">
        <v>2.5558476185419468E-3</v>
      </c>
      <c r="P12" s="307">
        <v>2.0599676786001273E-3</v>
      </c>
      <c r="Q12" s="307">
        <v>5.2543782997418655E-3</v>
      </c>
      <c r="R12" s="307">
        <v>7.9298705758538354E-3</v>
      </c>
      <c r="S12" s="307">
        <v>1.1068962794254815E-2</v>
      </c>
      <c r="T12" s="307">
        <v>1.2728179158428773E-2</v>
      </c>
      <c r="U12" s="307">
        <v>1.3816926780366463E-2</v>
      </c>
      <c r="V12" s="307"/>
      <c r="W12" s="559">
        <f t="shared" si="0"/>
        <v>0.10887476219376899</v>
      </c>
      <c r="X12" s="559">
        <f t="shared" si="1"/>
        <v>0.85625484806245966</v>
      </c>
    </row>
    <row r="13" spans="2:28" ht="13" customHeight="1">
      <c r="B13" s="174" t="str">
        <f>IF('Summary | Sumário'!D$6=Names!B$3,Names!V11,Names!W11)</f>
        <v>ROAE (%)</v>
      </c>
      <c r="C13" s="306">
        <v>1.4047424579243236E-2</v>
      </c>
      <c r="D13" s="306">
        <v>1.1131259073525654E-2</v>
      </c>
      <c r="E13" s="306">
        <v>-9.3542450497108506E-3</v>
      </c>
      <c r="F13" s="306">
        <v>-1.8120882747824135E-3</v>
      </c>
      <c r="G13" s="306">
        <v>4.7972888086753221E-2</v>
      </c>
      <c r="H13" s="306">
        <v>-3.2768173052661002E-3</v>
      </c>
      <c r="I13" s="306">
        <v>-2.0428791131351785E-2</v>
      </c>
      <c r="J13" s="306">
        <v>1.5947182749384788E-2</v>
      </c>
      <c r="K13" s="306">
        <v>-2.6477465454938745E-2</v>
      </c>
      <c r="L13" s="306">
        <v>-1.3721547930939392E-2</v>
      </c>
      <c r="M13" s="306">
        <v>8.0289028644101833E-3</v>
      </c>
      <c r="N13" s="306">
        <v>-1.6608156020408833E-2</v>
      </c>
      <c r="O13" s="306">
        <v>1.6199070395942601E-2</v>
      </c>
      <c r="P13" s="306">
        <v>1.3615002027547946E-2</v>
      </c>
      <c r="Q13" s="306">
        <v>3.5509163231094806E-2</v>
      </c>
      <c r="R13" s="306">
        <v>5.6740741194691365E-2</v>
      </c>
      <c r="S13" s="306">
        <v>8.537951387371448E-2</v>
      </c>
      <c r="T13" s="306">
        <v>9.6792442627862685E-2</v>
      </c>
      <c r="U13" s="306">
        <v>0.10389104160060836</v>
      </c>
      <c r="V13" s="307"/>
      <c r="W13" s="558">
        <f t="shared" si="0"/>
        <v>0.70985989727456733</v>
      </c>
      <c r="X13" s="558">
        <f t="shared" si="1"/>
        <v>6.8381878369513549</v>
      </c>
    </row>
    <row r="14" spans="2:28" ht="13" customHeight="1">
      <c r="B14" s="27" t="str">
        <f>IF('Summary | Sumário'!D$6=Names!B$3,Names!V12,Names!W12)</f>
        <v>Cost of risk (%)</v>
      </c>
      <c r="C14" s="311">
        <f>'7.6. Cost of Risk'!C10</f>
        <v>2.9005395627358637E-2</v>
      </c>
      <c r="D14" s="311">
        <f>'7.6. Cost of Risk'!D10</f>
        <v>3.1500109268915409E-2</v>
      </c>
      <c r="E14" s="311">
        <f>'7.6. Cost of Risk'!E10</f>
        <v>4.5283541340645432E-2</v>
      </c>
      <c r="F14" s="311">
        <f>'7.6. Cost of Risk'!F10</f>
        <v>5.1511017082199802E-2</v>
      </c>
      <c r="G14" s="311">
        <f>'7.6. Cost of Risk'!G10</f>
        <v>5.5487760873199829E-2</v>
      </c>
      <c r="H14" s="311">
        <f>'7.6. Cost of Risk'!H10</f>
        <v>4.4634313670387712E-2</v>
      </c>
      <c r="I14" s="311">
        <f>'7.6. Cost of Risk'!I10</f>
        <v>5.8424647902114324E-2</v>
      </c>
      <c r="J14" s="311">
        <f>'7.6. Cost of Risk'!J10</f>
        <v>4.0064739961695038E-2</v>
      </c>
      <c r="K14" s="311">
        <f>'7.6. Cost of Risk'!K10</f>
        <v>4.5199656846193884E-2</v>
      </c>
      <c r="L14" s="311">
        <f>'7.6. Cost of Risk'!L10</f>
        <v>6.9469987637552258E-2</v>
      </c>
      <c r="M14" s="311">
        <f>'7.6. Cost of Risk'!M10</f>
        <v>5.052883253163383E-2</v>
      </c>
      <c r="N14" s="311">
        <f>'7.6. Cost of Risk'!N10</f>
        <v>5.0236830789062659E-2</v>
      </c>
      <c r="O14" s="311">
        <f>'7.6. Cost of Risk'!O10</f>
        <v>4.5464906141166862E-2</v>
      </c>
      <c r="P14" s="311">
        <f>'7.6. Cost of Risk'!P10</f>
        <v>5.6477997401058043E-2</v>
      </c>
      <c r="Q14" s="311">
        <f>'7.6. Cost of Risk'!Q10</f>
        <v>6.1787867829059713E-2</v>
      </c>
      <c r="R14" s="311">
        <f>'7.6. Cost of Risk'!R10</f>
        <v>5.8999999999999997E-2</v>
      </c>
      <c r="S14" s="311">
        <f>'7.6. Cost of Risk'!S10</f>
        <v>5.1882148962593862E-2</v>
      </c>
      <c r="T14" s="311">
        <f>'7.6. Cost of Risk'!T10</f>
        <v>5.2060667855093147E-2</v>
      </c>
      <c r="U14" s="311">
        <f>'7.6. Cost of Risk'!U10</f>
        <v>4.9691590005832766E-2</v>
      </c>
      <c r="V14" s="244"/>
      <c r="W14" s="560">
        <f t="shared" si="0"/>
        <v>-0.23690778492603815</v>
      </c>
      <c r="X14" s="560">
        <f t="shared" si="1"/>
        <v>-1.2096277823226949</v>
      </c>
    </row>
    <row r="17" spans="7:24" ht="13" customHeight="1">
      <c r="U17" s="468"/>
      <c r="V17" s="468"/>
      <c r="W17" s="468"/>
      <c r="X17" s="468"/>
    </row>
    <row r="21" spans="7:24" ht="13" customHeight="1">
      <c r="G21" s="468"/>
    </row>
  </sheetData>
  <sheetProtection algorithmName="SHA-512" hashValue="XEV/wYjX7Zrz3VekhXHq2Fev+zeaab/DSNI5Pqf88tsznDgcTD7HGN57XxopLpmBo0IsuAx+uJPLgHr4rMN1CQ==" saltValue="GFeY/m1I7YDT32RvD7brj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8D7F-C60A-0B4C-967F-49226D28353A}">
  <sheetPr>
    <tabColor theme="5" tint="0.59999389629810485"/>
  </sheetPr>
  <dimension ref="A1:AB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93" customWidth="1"/>
    <col min="2" max="2" width="68.33203125" style="182" customWidth="1"/>
    <col min="3" max="21" width="10.83203125" style="294" customWidth="1"/>
    <col min="22" max="22" width="5.83203125" style="294" customWidth="1"/>
    <col min="23" max="24" width="10.83203125" style="294" customWidth="1"/>
    <col min="25" max="25" width="10.83203125" style="293" customWidth="1"/>
    <col min="26" max="16384" width="10.83203125" style="293"/>
  </cols>
  <sheetData>
    <row r="1" spans="1:28" ht="13" customHeight="1">
      <c r="Y1" s="294"/>
    </row>
    <row r="2" spans="1:28" s="10" customFormat="1" ht="13" customHeight="1">
      <c r="B2" s="384" t="str">
        <f>IF('Summary | Sumário'!D$6=Names!B$3,Names!X1,Names!Y1)</f>
        <v>Tier I Ratio (Banco Inter S.A.,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12">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443" t="str">
        <f>IF('Summary | Sumário'!D6=Names!B3,Names!C20,Names!D20)</f>
        <v>2Q24</v>
      </c>
      <c r="V2" s="501"/>
      <c r="W2" s="180" t="str">
        <f>IF('Summary | Sumário'!$D$6=Names!$B$3,Names!$I$24,Names!$J$24)</f>
        <v>QoQ Variation</v>
      </c>
      <c r="X2" s="180" t="str">
        <f>IF('Summary | Sumário'!$D$6=Names!$B$3,Names!$I$25,Names!$J$25)</f>
        <v>YoY Variation</v>
      </c>
      <c r="Y2" s="11"/>
      <c r="AA2" s="12"/>
      <c r="AB2" s="13"/>
    </row>
    <row r="3" spans="1:28" ht="13" customHeight="1">
      <c r="B3" s="183"/>
      <c r="C3" s="295"/>
      <c r="D3" s="295"/>
      <c r="E3" s="295"/>
      <c r="F3" s="295"/>
      <c r="G3" s="295"/>
      <c r="H3" s="295"/>
      <c r="I3" s="295"/>
      <c r="J3" s="295"/>
      <c r="K3" s="295"/>
      <c r="L3" s="295"/>
      <c r="M3" s="295"/>
      <c r="N3" s="295"/>
      <c r="O3" s="295"/>
      <c r="P3" s="295"/>
      <c r="Q3" s="295"/>
      <c r="R3" s="295"/>
      <c r="S3" s="295"/>
      <c r="T3" s="295"/>
      <c r="U3" s="295"/>
      <c r="V3" s="295"/>
      <c r="W3" s="295"/>
      <c r="X3" s="295"/>
      <c r="Y3" s="296"/>
    </row>
    <row r="4" spans="1:28" s="298" customFormat="1" ht="13" customHeight="1">
      <c r="A4" s="297"/>
      <c r="B4" s="3" t="str">
        <f>IF('Summary | Sumário'!D$6=Names!B$3,Names!X3,Names!Y3)</f>
        <v>Tier 1 ratio</v>
      </c>
      <c r="C4" s="278"/>
      <c r="D4" s="278"/>
      <c r="E4" s="278"/>
      <c r="F4" s="278"/>
      <c r="G4" s="278"/>
      <c r="H4" s="278"/>
      <c r="I4" s="278"/>
      <c r="J4" s="278"/>
      <c r="K4" s="278"/>
      <c r="L4" s="278"/>
      <c r="M4" s="278"/>
      <c r="N4" s="278"/>
      <c r="O4" s="278"/>
      <c r="P4" s="278"/>
      <c r="Q4" s="278"/>
      <c r="R4" s="278"/>
      <c r="S4" s="278"/>
      <c r="T4" s="278"/>
      <c r="U4" s="278"/>
      <c r="V4" s="278"/>
      <c r="W4" s="278"/>
      <c r="X4" s="278"/>
    </row>
    <row r="5" spans="1:28" ht="13" customHeight="1">
      <c r="B5" s="422" t="str">
        <f>IF('Summary | Sumário'!D$6=Names!B$3,Names!X4,Names!Y4)</f>
        <v>Referential equity (RE)</v>
      </c>
      <c r="C5" s="423">
        <v>2123127</v>
      </c>
      <c r="D5" s="423">
        <v>3077952</v>
      </c>
      <c r="E5" s="423">
        <f>K5</f>
        <v>7955237.9140799996</v>
      </c>
      <c r="F5" s="423">
        <f>O5</f>
        <v>5913329</v>
      </c>
      <c r="G5" s="423">
        <f>S5</f>
        <v>6138173.4993100008</v>
      </c>
      <c r="H5" s="423">
        <v>2815602.88809</v>
      </c>
      <c r="I5" s="423">
        <v>2682250.3591399998</v>
      </c>
      <c r="J5" s="423">
        <v>7955022.5986299999</v>
      </c>
      <c r="K5" s="423">
        <v>7955237.9140799996</v>
      </c>
      <c r="L5" s="423">
        <v>7042015</v>
      </c>
      <c r="M5" s="423">
        <v>7080872</v>
      </c>
      <c r="N5" s="423">
        <v>7162093</v>
      </c>
      <c r="O5" s="423">
        <v>5913329</v>
      </c>
      <c r="P5" s="423">
        <v>5829384</v>
      </c>
      <c r="Q5" s="423">
        <v>5959738</v>
      </c>
      <c r="R5" s="423">
        <v>5964109</v>
      </c>
      <c r="S5" s="423">
        <v>6138173.4993100008</v>
      </c>
      <c r="T5" s="423">
        <v>5852972.8847599998</v>
      </c>
      <c r="U5" s="423">
        <v>5895210.8120200001</v>
      </c>
      <c r="V5" s="274"/>
      <c r="W5" s="514">
        <f>U5/T5-1</f>
        <v>7.2164911903112028E-3</v>
      </c>
      <c r="X5" s="514">
        <f>U5/Q5-1</f>
        <v>-1.0827185352778934E-2</v>
      </c>
    </row>
    <row r="6" spans="1:28" ht="13" customHeight="1">
      <c r="B6" s="80" t="str">
        <f>IF('Summary | Sumário'!D$6=Names!B$3,Names!X5,Names!Y5)</f>
        <v>Tier I referential equity</v>
      </c>
      <c r="C6" s="274">
        <v>2123127</v>
      </c>
      <c r="D6" s="274">
        <v>3077952</v>
      </c>
      <c r="E6" s="274">
        <f t="shared" ref="E6:E21" si="0">K6</f>
        <v>7955237.9140799996</v>
      </c>
      <c r="F6" s="274">
        <f t="shared" ref="F6:F7" si="1">O6</f>
        <v>5913329</v>
      </c>
      <c r="G6" s="274">
        <f t="shared" ref="G6:G11" si="2">S6</f>
        <v>6138173.4993100008</v>
      </c>
      <c r="H6" s="274">
        <v>2815602.88809</v>
      </c>
      <c r="I6" s="274">
        <v>2682250.3591399998</v>
      </c>
      <c r="J6" s="274">
        <v>7955022.5986299999</v>
      </c>
      <c r="K6" s="274">
        <v>7955237.9140799996</v>
      </c>
      <c r="L6" s="274">
        <v>7042015</v>
      </c>
      <c r="M6" s="274">
        <v>7080872</v>
      </c>
      <c r="N6" s="274">
        <v>7162093</v>
      </c>
      <c r="O6" s="274">
        <v>5913329</v>
      </c>
      <c r="P6" s="274">
        <v>5829384</v>
      </c>
      <c r="Q6" s="274">
        <v>5959738</v>
      </c>
      <c r="R6" s="274">
        <v>5964109</v>
      </c>
      <c r="S6" s="274">
        <v>6138173.4993100008</v>
      </c>
      <c r="T6" s="274">
        <v>5852972.8847599998</v>
      </c>
      <c r="U6" s="274">
        <v>5895210.8120200001</v>
      </c>
      <c r="V6" s="274"/>
      <c r="W6" s="303">
        <f t="shared" ref="W6:W11" si="3">U6/T6-1</f>
        <v>7.2164911903112028E-3</v>
      </c>
      <c r="X6" s="303">
        <f t="shared" ref="X6:X11" si="4">U6/Q6-1</f>
        <v>-1.0827185352778934E-2</v>
      </c>
    </row>
    <row r="7" spans="1:28" ht="13" customHeight="1">
      <c r="B7" s="82" t="str">
        <f>IF('Summary | Sumário'!D$6=Names!B$3,Names!X6,Names!Y6)</f>
        <v>Core capital (CC)</v>
      </c>
      <c r="C7" s="269">
        <v>2123127</v>
      </c>
      <c r="D7" s="269">
        <v>3077952</v>
      </c>
      <c r="E7" s="269">
        <f t="shared" si="0"/>
        <v>7955237.9140799996</v>
      </c>
      <c r="F7" s="269">
        <f t="shared" si="1"/>
        <v>5913329</v>
      </c>
      <c r="G7" s="269">
        <f t="shared" si="2"/>
        <v>6138173.4993100008</v>
      </c>
      <c r="H7" s="269">
        <v>2815602.88809</v>
      </c>
      <c r="I7" s="269">
        <v>2682250.3591399998</v>
      </c>
      <c r="J7" s="269">
        <v>7955022.5986299999</v>
      </c>
      <c r="K7" s="269">
        <v>7955237.9140799996</v>
      </c>
      <c r="L7" s="269">
        <v>7042015</v>
      </c>
      <c r="M7" s="269">
        <v>7080872</v>
      </c>
      <c r="N7" s="269">
        <v>7162093</v>
      </c>
      <c r="O7" s="269">
        <v>5913329</v>
      </c>
      <c r="P7" s="269">
        <v>5829384</v>
      </c>
      <c r="Q7" s="269">
        <v>5959738</v>
      </c>
      <c r="R7" s="269">
        <v>5964109</v>
      </c>
      <c r="S7" s="269">
        <v>6138173.4993100008</v>
      </c>
      <c r="T7" s="269">
        <v>5852972.8847599998</v>
      </c>
      <c r="U7" s="269">
        <v>5895210.8120200001</v>
      </c>
      <c r="V7" s="274"/>
      <c r="W7" s="302">
        <f t="shared" si="3"/>
        <v>7.2164911903112028E-3</v>
      </c>
      <c r="X7" s="302">
        <f t="shared" si="4"/>
        <v>-1.0827185352778934E-2</v>
      </c>
    </row>
    <row r="8" spans="1:28" ht="13" customHeight="1">
      <c r="B8" s="80" t="str">
        <f>IF('Summary | Sumário'!D$6=Names!B$3,Names!X7,Names!Y7)</f>
        <v>Risk weighted assets - RWA</v>
      </c>
      <c r="C8" s="274">
        <v>5388262</v>
      </c>
      <c r="D8" s="274">
        <v>9643109</v>
      </c>
      <c r="E8" s="274">
        <f t="shared" si="0"/>
        <v>17953262.630789999</v>
      </c>
      <c r="F8" s="274">
        <v>24950460</v>
      </c>
      <c r="G8" s="274">
        <f t="shared" si="2"/>
        <v>26745734.312450003</v>
      </c>
      <c r="H8" s="274">
        <v>11661845.75979</v>
      </c>
      <c r="I8" s="274">
        <v>13664902.02272</v>
      </c>
      <c r="J8" s="274">
        <v>15993381.634679999</v>
      </c>
      <c r="K8" s="274">
        <v>17953262.630789999</v>
      </c>
      <c r="L8" s="274">
        <v>19739307</v>
      </c>
      <c r="M8" s="274">
        <v>21531298</v>
      </c>
      <c r="N8" s="274">
        <v>24039291</v>
      </c>
      <c r="O8" s="274">
        <v>24550461</v>
      </c>
      <c r="P8" s="274">
        <v>25344975</v>
      </c>
      <c r="Q8" s="274">
        <v>26110963</v>
      </c>
      <c r="R8" s="274">
        <v>25122491</v>
      </c>
      <c r="S8" s="274">
        <v>26745734.312450003</v>
      </c>
      <c r="T8" s="274">
        <v>28865752.132199999</v>
      </c>
      <c r="U8" s="274">
        <v>30562162.857720003</v>
      </c>
      <c r="V8" s="274"/>
      <c r="W8" s="303">
        <f t="shared" si="3"/>
        <v>5.8768977082278795E-2</v>
      </c>
      <c r="X8" s="303">
        <f t="shared" si="4"/>
        <v>0.1704724508904556</v>
      </c>
      <c r="Y8" s="299"/>
    </row>
    <row r="9" spans="1:28" ht="13" customHeight="1">
      <c r="B9" s="88" t="str">
        <f>IF('Summary | Sumário'!D$6=Names!B$3,Names!X8,Names!Y8)</f>
        <v>RWA for credit risk by standardized approach - RWACPAD</v>
      </c>
      <c r="C9" s="269">
        <v>4102332</v>
      </c>
      <c r="D9" s="269">
        <v>8064303</v>
      </c>
      <c r="E9" s="269">
        <v>16198394</v>
      </c>
      <c r="F9" s="269">
        <v>21963629</v>
      </c>
      <c r="G9" s="269">
        <f t="shared" si="2"/>
        <v>22367940.18866</v>
      </c>
      <c r="H9" s="269">
        <v>9477754</v>
      </c>
      <c r="I9" s="269">
        <v>11657733</v>
      </c>
      <c r="J9" s="269">
        <v>14128834</v>
      </c>
      <c r="K9" s="269">
        <v>16198394</v>
      </c>
      <c r="L9" s="269">
        <v>17444892</v>
      </c>
      <c r="M9" s="269">
        <v>19128150</v>
      </c>
      <c r="N9" s="269">
        <v>20914461</v>
      </c>
      <c r="O9" s="269">
        <v>20380664</v>
      </c>
      <c r="P9" s="269">
        <v>21964715</v>
      </c>
      <c r="Q9" s="269">
        <v>22597089</v>
      </c>
      <c r="R9" s="269">
        <v>20745143</v>
      </c>
      <c r="S9" s="269">
        <v>22367940.18866</v>
      </c>
      <c r="T9" s="269">
        <v>23115890.775979999</v>
      </c>
      <c r="U9" s="269">
        <v>24972742.652060002</v>
      </c>
      <c r="V9" s="274"/>
      <c r="W9" s="302">
        <f t="shared" si="3"/>
        <v>8.0327939514642344E-2</v>
      </c>
      <c r="X9" s="302">
        <f t="shared" si="4"/>
        <v>0.105130959658565</v>
      </c>
    </row>
    <row r="10" spans="1:28" ht="13" customHeight="1">
      <c r="B10" s="83" t="str">
        <f>IF('Summary | Sumário'!D$6=Names!B$3,Names!X9,Names!Y9)</f>
        <v>RWA for market risk - RWAMPAD</v>
      </c>
      <c r="C10" s="274">
        <v>565751</v>
      </c>
      <c r="D10" s="274">
        <v>476759</v>
      </c>
      <c r="E10" s="274">
        <v>323581</v>
      </c>
      <c r="F10" s="274">
        <v>480765</v>
      </c>
      <c r="G10" s="274">
        <f t="shared" si="2"/>
        <v>342159.71365999995</v>
      </c>
      <c r="H10" s="274">
        <v>1043214</v>
      </c>
      <c r="I10" s="274">
        <v>866292</v>
      </c>
      <c r="J10" s="274">
        <v>433261</v>
      </c>
      <c r="K10" s="274">
        <v>323581</v>
      </c>
      <c r="L10" s="274">
        <v>356818</v>
      </c>
      <c r="M10" s="274">
        <v>465550</v>
      </c>
      <c r="N10" s="274">
        <v>618763</v>
      </c>
      <c r="O10" s="274">
        <v>480765</v>
      </c>
      <c r="P10" s="274">
        <v>216277</v>
      </c>
      <c r="Q10" s="274">
        <v>349892</v>
      </c>
      <c r="R10" s="274">
        <v>341714</v>
      </c>
      <c r="S10" s="274">
        <v>342159.71365999995</v>
      </c>
      <c r="T10" s="274">
        <v>754382.50448</v>
      </c>
      <c r="U10" s="274">
        <v>593941.35390999995</v>
      </c>
      <c r="V10" s="274"/>
      <c r="W10" s="303">
        <f t="shared" si="3"/>
        <v>-0.2126787798195201</v>
      </c>
      <c r="X10" s="303">
        <f t="shared" si="4"/>
        <v>0.69749909660695275</v>
      </c>
    </row>
    <row r="11" spans="1:28" ht="13" customHeight="1">
      <c r="B11" s="88" t="str">
        <f>IF('Summary | Sumário'!D$6=Names!B$3,Names!X10,Names!Y10)</f>
        <v>RWA for operating risk by standard approach - RWAOPAD</v>
      </c>
      <c r="C11" s="269">
        <v>720179</v>
      </c>
      <c r="D11" s="269">
        <v>1102047</v>
      </c>
      <c r="E11" s="269">
        <v>1431287</v>
      </c>
      <c r="F11" s="269">
        <v>2506066</v>
      </c>
      <c r="G11" s="269">
        <f t="shared" si="2"/>
        <v>4035634.4101300002</v>
      </c>
      <c r="H11" s="269">
        <v>1140877</v>
      </c>
      <c r="I11" s="269">
        <v>1140877</v>
      </c>
      <c r="J11" s="269">
        <v>1431287</v>
      </c>
      <c r="K11" s="269">
        <v>1431287</v>
      </c>
      <c r="L11" s="269">
        <v>1937597</v>
      </c>
      <c r="M11" s="269">
        <v>1937597</v>
      </c>
      <c r="N11" s="269">
        <v>2506066</v>
      </c>
      <c r="O11" s="269">
        <v>2506066</v>
      </c>
      <c r="P11" s="269">
        <v>3163982</v>
      </c>
      <c r="Q11" s="269">
        <v>3163982</v>
      </c>
      <c r="R11" s="269">
        <v>4035634</v>
      </c>
      <c r="S11" s="269">
        <v>4035634.4101300002</v>
      </c>
      <c r="T11" s="269">
        <v>4995478.8517500004</v>
      </c>
      <c r="U11" s="269">
        <v>4995478.8517500004</v>
      </c>
      <c r="V11" s="274"/>
      <c r="W11" s="302">
        <f t="shared" si="3"/>
        <v>0</v>
      </c>
      <c r="X11" s="302">
        <f t="shared" si="4"/>
        <v>0.57885817673741524</v>
      </c>
    </row>
    <row r="12" spans="1:28" ht="13" customHeight="1">
      <c r="B12" s="80" t="str">
        <f>IF('Summary | Sumário'!D$6=Names!B$3,Names!X11,Names!Y11)</f>
        <v>Capital requirement</v>
      </c>
      <c r="C12" s="274"/>
      <c r="D12" s="274"/>
      <c r="E12" s="274"/>
      <c r="F12" s="274"/>
      <c r="G12" s="274"/>
      <c r="H12" s="274"/>
      <c r="I12" s="274"/>
      <c r="J12" s="274"/>
      <c r="K12" s="274"/>
      <c r="L12" s="274"/>
      <c r="M12" s="274"/>
      <c r="N12" s="274"/>
      <c r="O12" s="274"/>
      <c r="P12" s="274"/>
      <c r="Q12" s="274"/>
      <c r="R12" s="274"/>
      <c r="S12" s="274"/>
      <c r="T12" s="274"/>
      <c r="U12" s="274"/>
      <c r="V12" s="274"/>
      <c r="W12" s="274"/>
      <c r="X12" s="274"/>
    </row>
    <row r="13" spans="1:28" ht="13" customHeight="1">
      <c r="B13" s="88" t="str">
        <f>IF('Summary | Sumário'!D$6=Names!B$3,Names!X12,Names!Y12)</f>
        <v>Minimum principal capital required for RWA</v>
      </c>
      <c r="C13" s="269">
        <v>242472</v>
      </c>
      <c r="D13" s="269">
        <v>433940</v>
      </c>
      <c r="E13" s="269">
        <v>807897</v>
      </c>
      <c r="F13" s="269">
        <v>1104771</v>
      </c>
      <c r="G13" s="269">
        <f t="shared" ref="G13:G15" si="5">S13</f>
        <v>1203558.04406025</v>
      </c>
      <c r="H13" s="269">
        <v>524783</v>
      </c>
      <c r="I13" s="269">
        <v>614921</v>
      </c>
      <c r="J13" s="269">
        <v>719702</v>
      </c>
      <c r="K13" s="269">
        <v>807897</v>
      </c>
      <c r="L13" s="269">
        <v>888269</v>
      </c>
      <c r="M13" s="269">
        <v>968908</v>
      </c>
      <c r="N13" s="269">
        <v>1081768</v>
      </c>
      <c r="O13" s="269">
        <v>1104771</v>
      </c>
      <c r="P13" s="269">
        <v>1140524</v>
      </c>
      <c r="Q13" s="269">
        <v>1174993</v>
      </c>
      <c r="R13" s="269">
        <v>1130512</v>
      </c>
      <c r="S13" s="269">
        <v>1203558.04406025</v>
      </c>
      <c r="T13" s="269">
        <v>1298958.845949</v>
      </c>
      <c r="U13" s="269">
        <v>1375297.3285974001</v>
      </c>
      <c r="V13" s="274"/>
      <c r="W13" s="302">
        <f t="shared" ref="W13:W15" si="6">U13/T13-1</f>
        <v>5.8768977082278795E-2</v>
      </c>
      <c r="X13" s="302">
        <f t="shared" ref="X13:X15" si="7">U13/Q13-1</f>
        <v>0.17047278460161053</v>
      </c>
    </row>
    <row r="14" spans="1:28" ht="13" customHeight="1">
      <c r="B14" s="83" t="str">
        <f>IF('Summary | Sumário'!D$6=Names!B$3,Names!X13,Names!Y13)</f>
        <v>Tier I minimum reference equity required to RWA</v>
      </c>
      <c r="C14" s="274">
        <v>323296</v>
      </c>
      <c r="D14" s="274">
        <v>578587</v>
      </c>
      <c r="E14" s="274">
        <v>1077196</v>
      </c>
      <c r="F14" s="274">
        <v>1473028</v>
      </c>
      <c r="G14" s="274">
        <f t="shared" si="5"/>
        <v>1604744.0587470001</v>
      </c>
      <c r="H14" s="274">
        <v>699711</v>
      </c>
      <c r="I14" s="274">
        <v>819894</v>
      </c>
      <c r="J14" s="274">
        <v>959603</v>
      </c>
      <c r="K14" s="274">
        <v>1077196</v>
      </c>
      <c r="L14" s="274">
        <v>1184358</v>
      </c>
      <c r="M14" s="274">
        <v>1291878</v>
      </c>
      <c r="N14" s="274">
        <v>1442357</v>
      </c>
      <c r="O14" s="274">
        <v>1473028</v>
      </c>
      <c r="P14" s="274">
        <v>1520699</v>
      </c>
      <c r="Q14" s="274">
        <v>1566658</v>
      </c>
      <c r="R14" s="274">
        <v>1507349</v>
      </c>
      <c r="S14" s="274">
        <v>1604744.0587470001</v>
      </c>
      <c r="T14" s="274">
        <v>1731945.127932</v>
      </c>
      <c r="U14" s="274">
        <v>1833729.7714632</v>
      </c>
      <c r="V14" s="274"/>
      <c r="W14" s="303">
        <f t="shared" si="6"/>
        <v>5.8768977082278795E-2</v>
      </c>
      <c r="X14" s="303">
        <f t="shared" si="7"/>
        <v>0.17047228652532964</v>
      </c>
    </row>
    <row r="15" spans="1:28" ht="13" customHeight="1">
      <c r="B15" s="88" t="str">
        <f>IF('Summary | Sumário'!D$6=Names!B$3,Names!X14,Names!Y14)</f>
        <v>Minimum Reference Equity required to RWA</v>
      </c>
      <c r="C15" s="269">
        <v>431061</v>
      </c>
      <c r="D15" s="269">
        <v>771449</v>
      </c>
      <c r="E15" s="269">
        <v>1435261</v>
      </c>
      <c r="F15" s="269">
        <v>1964037</v>
      </c>
      <c r="G15" s="269">
        <f t="shared" si="5"/>
        <v>2139658.7449960001</v>
      </c>
      <c r="H15" s="269">
        <v>932948</v>
      </c>
      <c r="I15" s="269">
        <v>1093192</v>
      </c>
      <c r="J15" s="269">
        <v>1279471</v>
      </c>
      <c r="K15" s="269">
        <v>1436261</v>
      </c>
      <c r="L15" s="269">
        <v>1579145</v>
      </c>
      <c r="M15" s="269">
        <v>1722504</v>
      </c>
      <c r="N15" s="269">
        <v>1923143</v>
      </c>
      <c r="O15" s="269">
        <v>1964037</v>
      </c>
      <c r="P15" s="269">
        <v>2027598</v>
      </c>
      <c r="Q15" s="269">
        <v>2088877</v>
      </c>
      <c r="R15" s="269">
        <v>2009799</v>
      </c>
      <c r="S15" s="269">
        <v>2139658.7449960001</v>
      </c>
      <c r="T15" s="269">
        <v>2309260.1705760001</v>
      </c>
      <c r="U15" s="269">
        <v>2444973.0286176004</v>
      </c>
      <c r="V15" s="274"/>
      <c r="W15" s="302">
        <f t="shared" si="6"/>
        <v>5.8768977082278795E-2</v>
      </c>
      <c r="X15" s="302">
        <f t="shared" si="7"/>
        <v>0.1704724733038856</v>
      </c>
    </row>
    <row r="16" spans="1:28" ht="13" customHeight="1">
      <c r="B16" s="80" t="str">
        <f>IF('Summary | Sumário'!D$6=Names!B$3,Names!X15,Names!Y15)</f>
        <v>Margin on capital requirements</v>
      </c>
      <c r="C16" s="274"/>
      <c r="D16" s="274"/>
      <c r="E16" s="274"/>
      <c r="F16" s="274"/>
      <c r="G16" s="274"/>
      <c r="H16" s="274"/>
      <c r="I16" s="274"/>
      <c r="J16" s="274"/>
      <c r="K16" s="274"/>
      <c r="L16" s="274"/>
      <c r="M16" s="274"/>
      <c r="N16" s="274"/>
      <c r="O16" s="274"/>
      <c r="P16" s="274"/>
      <c r="Q16" s="274"/>
      <c r="R16" s="274"/>
      <c r="S16" s="274"/>
      <c r="T16" s="274"/>
      <c r="U16" s="274"/>
      <c r="V16" s="274"/>
      <c r="W16" s="274"/>
      <c r="X16" s="274"/>
    </row>
    <row r="17" spans="2:24" ht="13" customHeight="1">
      <c r="B17" s="112" t="str">
        <f>IF('Summary | Sumário'!D$6=Names!B$3,Names!X16,Names!Y16)</f>
        <v>Margin on required principal capital</v>
      </c>
      <c r="C17" s="269">
        <v>1880665</v>
      </c>
      <c r="D17" s="269">
        <v>2644013</v>
      </c>
      <c r="E17" s="269">
        <v>7147341</v>
      </c>
      <c r="F17" s="269">
        <v>4808558</v>
      </c>
      <c r="G17" s="269">
        <f t="shared" ref="G17:G21" si="8">S17</f>
        <v>4934615.455249751</v>
      </c>
      <c r="H17" s="300">
        <v>2290820</v>
      </c>
      <c r="I17" s="300">
        <v>2067330</v>
      </c>
      <c r="J17" s="300">
        <v>7235320</v>
      </c>
      <c r="K17" s="300" t="s">
        <v>833</v>
      </c>
      <c r="L17" s="269">
        <v>6153746</v>
      </c>
      <c r="M17" s="269">
        <v>6111964</v>
      </c>
      <c r="N17" s="269">
        <v>6080324</v>
      </c>
      <c r="O17" s="269">
        <v>4808558</v>
      </c>
      <c r="P17" s="269">
        <v>4688860</v>
      </c>
      <c r="Q17" s="269">
        <v>4784744</v>
      </c>
      <c r="R17" s="269">
        <v>4833597</v>
      </c>
      <c r="S17" s="269">
        <v>4934615.455249751</v>
      </c>
      <c r="T17" s="269">
        <v>4554014.0388110001</v>
      </c>
      <c r="U17" s="269">
        <v>4519913.4834225997</v>
      </c>
      <c r="V17" s="274"/>
      <c r="W17" s="302">
        <f t="shared" ref="W17:W18" si="9">U17/T17-1</f>
        <v>-7.4880215778394543E-3</v>
      </c>
      <c r="X17" s="302">
        <f t="shared" ref="X17:X18" si="10">U17/Q17-1</f>
        <v>-5.5348941673243224E-2</v>
      </c>
    </row>
    <row r="18" spans="2:24" ht="13" customHeight="1">
      <c r="B18" s="84" t="str">
        <f>IF('Summary | Sumário'!D$6=Names!B$3,Names!X17,Names!Y17)</f>
        <v>Margin on the tier I required reference equity</v>
      </c>
      <c r="C18" s="274">
        <v>1799831</v>
      </c>
      <c r="D18" s="274">
        <v>2499366</v>
      </c>
      <c r="E18" s="274">
        <v>6878042</v>
      </c>
      <c r="F18" s="274">
        <v>4440301</v>
      </c>
      <c r="G18" s="274">
        <f t="shared" si="8"/>
        <v>4533429.4405630007</v>
      </c>
      <c r="H18" s="301">
        <v>2115982</v>
      </c>
      <c r="I18" s="301">
        <v>1862356</v>
      </c>
      <c r="J18" s="301">
        <v>6995420</v>
      </c>
      <c r="K18" s="301">
        <v>6878042</v>
      </c>
      <c r="L18" s="274">
        <v>5857656</v>
      </c>
      <c r="M18" s="274">
        <v>5788994</v>
      </c>
      <c r="N18" s="274">
        <v>5719735</v>
      </c>
      <c r="O18" s="274">
        <v>4440301</v>
      </c>
      <c r="P18" s="274">
        <v>4308685</v>
      </c>
      <c r="Q18" s="274">
        <v>4393080</v>
      </c>
      <c r="R18" s="274">
        <v>4456759</v>
      </c>
      <c r="S18" s="274">
        <v>4533429.4405630007</v>
      </c>
      <c r="T18" s="274">
        <v>4121027.7568279998</v>
      </c>
      <c r="U18" s="274">
        <v>4061481.0405568001</v>
      </c>
      <c r="V18" s="274"/>
      <c r="W18" s="303">
        <f t="shared" si="9"/>
        <v>-1.4449481970253308E-2</v>
      </c>
      <c r="X18" s="303">
        <f t="shared" si="10"/>
        <v>-7.5482112650623212E-2</v>
      </c>
    </row>
    <row r="19" spans="2:24" ht="13" customHeight="1">
      <c r="B19" s="82" t="str">
        <f>IF('Summary | Sumário'!D$6=Names!B$3,Names!X18,Names!Y18)</f>
        <v>Core capital ratio (CC/RWA)</v>
      </c>
      <c r="C19" s="302">
        <v>0.39400000000000002</v>
      </c>
      <c r="D19" s="302">
        <v>0.31900000000000001</v>
      </c>
      <c r="E19" s="302">
        <f t="shared" si="0"/>
        <v>0.44310820142722684</v>
      </c>
      <c r="F19" s="302">
        <f>O19</f>
        <v>0.24099999999999999</v>
      </c>
      <c r="G19" s="302">
        <f t="shared" si="8"/>
        <v>0.229501027251763</v>
      </c>
      <c r="H19" s="302">
        <v>0.24143715721212744</v>
      </c>
      <c r="I19" s="302">
        <v>0.19628756610770765</v>
      </c>
      <c r="J19" s="302">
        <v>0.4973946586368172</v>
      </c>
      <c r="K19" s="302">
        <v>0.44310820142722684</v>
      </c>
      <c r="L19" s="302">
        <v>0.35699999999999998</v>
      </c>
      <c r="M19" s="302">
        <v>0.32900000000000001</v>
      </c>
      <c r="N19" s="302">
        <v>0.29799999999999999</v>
      </c>
      <c r="O19" s="302">
        <v>0.24099999999999999</v>
      </c>
      <c r="P19" s="302">
        <v>0.23</v>
      </c>
      <c r="Q19" s="302">
        <v>0.22800000000000001</v>
      </c>
      <c r="R19" s="302">
        <v>0.2374</v>
      </c>
      <c r="S19" s="302">
        <v>0.229501027251763</v>
      </c>
      <c r="T19" s="302">
        <v>0.20276529979036845</v>
      </c>
      <c r="U19" s="302">
        <v>0.19289246116070838</v>
      </c>
      <c r="V19" s="303"/>
      <c r="W19" s="562">
        <f>(U19-T19)*100</f>
        <v>-0.9872838629660069</v>
      </c>
      <c r="X19" s="562">
        <f>(U19-Q19)*100</f>
        <v>-3.510753883929163</v>
      </c>
    </row>
    <row r="20" spans="2:24" ht="13" customHeight="1">
      <c r="B20" s="80" t="str">
        <f>IF('Summary | Sumário'!D$6=Names!B$3,Names!X19,Names!Y19)</f>
        <v>Tier I capital ratio (tier I /RWA)</v>
      </c>
      <c r="C20" s="303">
        <v>0.39400000000000002</v>
      </c>
      <c r="D20" s="303">
        <v>0.31900000000000001</v>
      </c>
      <c r="E20" s="303">
        <f t="shared" si="0"/>
        <v>0.44310820142722684</v>
      </c>
      <c r="F20" s="303">
        <f t="shared" ref="F20:F21" si="11">O20</f>
        <v>0.24099999999999999</v>
      </c>
      <c r="G20" s="303">
        <f t="shared" si="8"/>
        <v>0.229501027251763</v>
      </c>
      <c r="H20" s="303">
        <v>0.24143715721212744</v>
      </c>
      <c r="I20" s="303">
        <v>0.19628756610770765</v>
      </c>
      <c r="J20" s="303">
        <v>0.4973946586368172</v>
      </c>
      <c r="K20" s="303">
        <v>0.44310820142722684</v>
      </c>
      <c r="L20" s="303">
        <v>0.35699999999999998</v>
      </c>
      <c r="M20" s="303">
        <v>0.32900000000000001</v>
      </c>
      <c r="N20" s="303">
        <v>0.29799999999999999</v>
      </c>
      <c r="O20" s="303">
        <v>0.24099999999999999</v>
      </c>
      <c r="P20" s="303">
        <v>0.23</v>
      </c>
      <c r="Q20" s="303">
        <v>0.22800000000000001</v>
      </c>
      <c r="R20" s="303">
        <v>0.2374</v>
      </c>
      <c r="S20" s="303">
        <v>0.229501027251763</v>
      </c>
      <c r="T20" s="303">
        <v>0.20276529979036845</v>
      </c>
      <c r="U20" s="303">
        <v>0.19289246116070838</v>
      </c>
      <c r="V20" s="303"/>
      <c r="W20" s="563">
        <f t="shared" ref="W20:W21" si="12">(U20-T20)*100</f>
        <v>-0.9872838629660069</v>
      </c>
      <c r="X20" s="563">
        <f t="shared" ref="X20:X21" si="13">(U20-Q20)*100</f>
        <v>-3.510753883929163</v>
      </c>
    </row>
    <row r="21" spans="2:24" ht="13" customHeight="1">
      <c r="B21" s="82" t="str">
        <f>IF('Summary | Sumário'!D$6=Names!B$3,Names!X20,Names!Y20)</f>
        <v>Basel ratio (RE/RWA)</v>
      </c>
      <c r="C21" s="302">
        <v>0.39400000000000002</v>
      </c>
      <c r="D21" s="302">
        <v>0.31900000000000001</v>
      </c>
      <c r="E21" s="302">
        <f t="shared" si="0"/>
        <v>0.44310820142722684</v>
      </c>
      <c r="F21" s="302">
        <f t="shared" si="11"/>
        <v>0.24099999999999999</v>
      </c>
      <c r="G21" s="302">
        <f t="shared" si="8"/>
        <v>0.229501027251763</v>
      </c>
      <c r="H21" s="302">
        <v>0.24143715721212744</v>
      </c>
      <c r="I21" s="302">
        <v>0.19628756610770765</v>
      </c>
      <c r="J21" s="302">
        <v>0.4973946586368172</v>
      </c>
      <c r="K21" s="302">
        <v>0.44310820142722684</v>
      </c>
      <c r="L21" s="302">
        <v>0.35699999999999998</v>
      </c>
      <c r="M21" s="302">
        <v>0.32900000000000001</v>
      </c>
      <c r="N21" s="302">
        <v>0.29799999999999999</v>
      </c>
      <c r="O21" s="302">
        <v>0.24099999999999999</v>
      </c>
      <c r="P21" s="302">
        <v>0.23</v>
      </c>
      <c r="Q21" s="302">
        <v>0.22800000000000001</v>
      </c>
      <c r="R21" s="302">
        <v>0.2374</v>
      </c>
      <c r="S21" s="302">
        <v>0.229501027251763</v>
      </c>
      <c r="T21" s="302">
        <v>0.20276529979036845</v>
      </c>
      <c r="U21" s="302">
        <v>0.19289246116070838</v>
      </c>
      <c r="V21" s="303"/>
      <c r="W21" s="562">
        <f t="shared" si="12"/>
        <v>-0.9872838629660069</v>
      </c>
      <c r="X21" s="562">
        <f t="shared" si="13"/>
        <v>-3.510753883929163</v>
      </c>
    </row>
    <row r="22" spans="2:24" ht="13" customHeight="1">
      <c r="B22" s="184"/>
      <c r="C22" s="304"/>
      <c r="D22" s="304"/>
      <c r="E22" s="304"/>
      <c r="F22" s="304"/>
      <c r="G22" s="304"/>
      <c r="H22" s="304"/>
      <c r="I22" s="304"/>
      <c r="J22" s="304"/>
      <c r="K22" s="304"/>
      <c r="L22" s="304"/>
      <c r="M22" s="304"/>
      <c r="N22" s="304"/>
      <c r="O22" s="304"/>
      <c r="P22" s="304"/>
      <c r="Q22" s="304"/>
      <c r="R22" s="466"/>
      <c r="S22" s="466"/>
      <c r="T22" s="466"/>
      <c r="U22" s="304"/>
      <c r="V22" s="304"/>
      <c r="W22" s="304"/>
      <c r="X22" s="304"/>
    </row>
    <row r="23" spans="2:24" ht="13" customHeight="1">
      <c r="B23" s="184"/>
      <c r="C23" s="304"/>
      <c r="D23" s="304"/>
      <c r="E23" s="304"/>
      <c r="F23" s="304"/>
      <c r="G23" s="305"/>
      <c r="H23" s="304"/>
      <c r="I23" s="304"/>
      <c r="J23" s="304"/>
      <c r="K23" s="304"/>
      <c r="L23" s="304"/>
      <c r="M23" s="304"/>
      <c r="N23" s="304"/>
      <c r="O23" s="304"/>
      <c r="P23" s="304"/>
      <c r="Q23" s="304"/>
      <c r="R23" s="304"/>
      <c r="S23" s="304"/>
      <c r="T23" s="304"/>
      <c r="U23" s="305"/>
      <c r="V23" s="305"/>
      <c r="W23" s="305"/>
      <c r="X23" s="305"/>
    </row>
    <row r="24" spans="2:24" ht="13" customHeight="1">
      <c r="B24" s="184"/>
      <c r="C24" s="305"/>
      <c r="D24" s="305"/>
      <c r="E24" s="305"/>
      <c r="F24" s="305"/>
      <c r="G24" s="305"/>
      <c r="H24" s="305"/>
      <c r="I24" s="305"/>
      <c r="J24" s="305"/>
      <c r="K24" s="305"/>
      <c r="L24" s="305"/>
      <c r="M24" s="305"/>
      <c r="N24" s="305"/>
      <c r="O24" s="305"/>
      <c r="P24" s="305"/>
      <c r="Q24" s="305"/>
      <c r="R24" s="305"/>
      <c r="S24" s="305"/>
      <c r="T24" s="305"/>
      <c r="U24" s="305"/>
      <c r="V24" s="305"/>
      <c r="W24" s="305"/>
      <c r="X24" s="305"/>
    </row>
    <row r="25" spans="2:24" ht="13" customHeight="1">
      <c r="B25" s="184"/>
      <c r="C25" s="305"/>
      <c r="D25" s="305"/>
      <c r="E25" s="305"/>
      <c r="F25" s="305"/>
      <c r="G25" s="305"/>
      <c r="H25" s="305"/>
      <c r="I25" s="305"/>
      <c r="J25" s="305"/>
      <c r="K25" s="305"/>
      <c r="L25" s="305"/>
      <c r="M25" s="305"/>
      <c r="N25" s="305"/>
      <c r="O25" s="305"/>
      <c r="P25" s="305"/>
      <c r="Q25" s="305"/>
      <c r="R25" s="305"/>
      <c r="S25" s="305"/>
      <c r="T25" s="305"/>
      <c r="U25" s="305"/>
      <c r="V25" s="305"/>
      <c r="W25" s="305"/>
      <c r="X25" s="305"/>
    </row>
    <row r="26" spans="2:24" ht="13" customHeight="1">
      <c r="B26" s="184"/>
      <c r="C26" s="304"/>
      <c r="D26" s="304"/>
      <c r="E26" s="304"/>
      <c r="F26" s="304"/>
      <c r="G26" s="304"/>
      <c r="H26" s="304"/>
      <c r="I26" s="304"/>
      <c r="J26" s="304"/>
      <c r="K26" s="304"/>
      <c r="L26" s="304"/>
      <c r="M26" s="304"/>
      <c r="N26" s="304"/>
      <c r="O26" s="304"/>
      <c r="P26" s="304"/>
      <c r="Q26" s="304"/>
      <c r="R26" s="304"/>
      <c r="S26" s="304"/>
      <c r="T26" s="304"/>
      <c r="U26" s="304"/>
      <c r="V26" s="304"/>
      <c r="W26" s="304"/>
      <c r="X26" s="304"/>
    </row>
    <row r="27" spans="2:24" ht="13" customHeight="1">
      <c r="B27" s="184"/>
      <c r="C27" s="304"/>
      <c r="D27" s="304"/>
      <c r="E27" s="304"/>
      <c r="F27" s="304"/>
      <c r="G27" s="304"/>
      <c r="H27" s="304"/>
      <c r="I27" s="304"/>
      <c r="J27" s="304"/>
      <c r="K27" s="304"/>
      <c r="L27" s="304"/>
      <c r="M27" s="304"/>
      <c r="N27" s="304"/>
      <c r="O27" s="304"/>
      <c r="P27" s="304"/>
      <c r="Q27" s="304"/>
      <c r="R27" s="304"/>
      <c r="S27" s="304"/>
      <c r="T27" s="304"/>
      <c r="U27" s="304"/>
      <c r="V27" s="304"/>
      <c r="W27" s="304"/>
      <c r="X27" s="304"/>
    </row>
    <row r="28" spans="2:24" ht="13" customHeight="1">
      <c r="B28" s="184"/>
      <c r="C28" s="304"/>
      <c r="D28" s="304"/>
      <c r="E28" s="304"/>
      <c r="F28" s="304"/>
      <c r="G28" s="304"/>
      <c r="H28" s="304"/>
      <c r="I28" s="304"/>
      <c r="J28" s="304"/>
      <c r="K28" s="304"/>
      <c r="L28" s="304"/>
      <c r="M28" s="304"/>
      <c r="N28" s="304"/>
      <c r="O28" s="304"/>
      <c r="P28" s="304"/>
      <c r="Q28" s="304"/>
      <c r="R28" s="304"/>
      <c r="S28" s="304"/>
      <c r="T28" s="304"/>
      <c r="U28" s="304"/>
      <c r="V28" s="304"/>
      <c r="W28" s="304"/>
      <c r="X28" s="304"/>
    </row>
    <row r="29" spans="2:24" ht="13" customHeight="1">
      <c r="B29" s="184"/>
      <c r="C29" s="304"/>
      <c r="D29" s="304"/>
      <c r="E29" s="304"/>
      <c r="F29" s="304"/>
      <c r="G29" s="304"/>
      <c r="H29" s="304"/>
      <c r="I29" s="304"/>
      <c r="J29" s="304"/>
      <c r="K29" s="304"/>
      <c r="L29" s="304"/>
      <c r="M29" s="304"/>
      <c r="N29" s="304"/>
      <c r="O29" s="304"/>
      <c r="P29" s="304"/>
      <c r="Q29" s="304"/>
      <c r="R29" s="304"/>
      <c r="S29" s="304"/>
      <c r="T29" s="304"/>
      <c r="U29" s="304"/>
      <c r="V29" s="304"/>
      <c r="W29" s="304"/>
      <c r="X29" s="304"/>
    </row>
    <row r="30" spans="2:24" ht="13" customHeight="1">
      <c r="B30" s="184"/>
      <c r="C30" s="304"/>
      <c r="D30" s="304"/>
      <c r="E30" s="304"/>
      <c r="F30" s="304"/>
      <c r="G30" s="304"/>
      <c r="H30" s="304"/>
      <c r="I30" s="304"/>
      <c r="J30" s="304"/>
      <c r="K30" s="304"/>
      <c r="L30" s="304"/>
      <c r="M30" s="304"/>
      <c r="N30" s="304"/>
      <c r="O30" s="304"/>
      <c r="P30" s="304"/>
      <c r="Q30" s="304"/>
      <c r="R30" s="304"/>
      <c r="S30" s="304"/>
      <c r="T30" s="304"/>
      <c r="U30" s="304"/>
      <c r="V30" s="304"/>
      <c r="W30" s="304"/>
      <c r="X30" s="304"/>
    </row>
    <row r="31" spans="2:24" ht="13" customHeight="1">
      <c r="B31" s="185"/>
      <c r="O31" s="467"/>
      <c r="R31" s="467"/>
      <c r="S31" s="467"/>
      <c r="T31" s="467"/>
    </row>
    <row r="32" spans="2:24" ht="13" customHeight="1">
      <c r="B32" s="186"/>
    </row>
    <row r="33" spans="15:20" ht="13" customHeight="1">
      <c r="O33" s="467"/>
      <c r="R33" s="467"/>
      <c r="S33" s="467"/>
      <c r="T33" s="467"/>
    </row>
  </sheetData>
  <sheetProtection algorithmName="SHA-512" hashValue="D6itKFaQFWTYY9/N4KurGwp6svqDQ4LLTUZ2SbR94e2ydcsoyddSxmmS3RX2adUP6KXknDFG0i1Vb+JkIatUVg==" saltValue="OSAmJKV9FqaAHRpFAXQ0m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5" tint="0.59999389629810485"/>
  </sheetPr>
  <dimension ref="B1:AB5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21" width="10.83203125" style="202" customWidth="1"/>
    <col min="22" max="22" width="5.83203125" style="202" customWidth="1"/>
    <col min="23" max="24" width="10.83203125" style="202" customWidth="1"/>
    <col min="25" max="16384" width="10.83203125" style="201"/>
  </cols>
  <sheetData>
    <row r="1" spans="2:28" ht="13" customHeight="1">
      <c r="Y1" s="202"/>
    </row>
    <row r="2" spans="2:28" s="10" customFormat="1" ht="13" customHeight="1">
      <c r="B2" s="384" t="str">
        <f>IF('Summary | Sumário'!D$6=Names!B$3,Names!Z1,Names!AA1)</f>
        <v>NIMs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43">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5"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2:28" ht="13" customHeight="1">
      <c r="B3" s="76"/>
      <c r="C3" s="241"/>
      <c r="D3" s="241"/>
      <c r="E3" s="241"/>
      <c r="F3" s="241"/>
      <c r="G3" s="241"/>
      <c r="H3" s="241"/>
      <c r="I3" s="241"/>
      <c r="J3" s="241"/>
      <c r="K3" s="241"/>
      <c r="L3" s="241"/>
      <c r="M3" s="241"/>
      <c r="N3" s="241"/>
      <c r="O3" s="241"/>
      <c r="P3" s="241"/>
      <c r="Q3" s="241"/>
      <c r="R3" s="241"/>
      <c r="S3" s="241"/>
      <c r="T3" s="241"/>
      <c r="U3" s="241"/>
      <c r="V3" s="241"/>
      <c r="W3" s="241"/>
      <c r="X3" s="241"/>
      <c r="Y3" s="213"/>
    </row>
    <row r="4" spans="2:28" ht="13" customHeight="1">
      <c r="B4" s="3" t="str">
        <f>IF('Summary | Sumário'!D$6=Names!B$3,Names!Z3,Names!AA3)</f>
        <v>NIM 1.0 - IEP + non-interest credit card receivables</v>
      </c>
      <c r="C4" s="277"/>
      <c r="D4" s="277"/>
      <c r="E4" s="277"/>
      <c r="F4" s="277"/>
      <c r="G4" s="277"/>
      <c r="H4" s="277"/>
      <c r="I4" s="277"/>
      <c r="J4" s="277"/>
      <c r="K4" s="277"/>
      <c r="L4" s="277"/>
      <c r="M4" s="277"/>
      <c r="N4" s="277"/>
      <c r="O4" s="277"/>
      <c r="P4" s="277"/>
      <c r="Q4" s="277"/>
      <c r="R4" s="277"/>
      <c r="S4" s="277"/>
      <c r="T4" s="277"/>
      <c r="U4" s="277"/>
      <c r="V4" s="277"/>
      <c r="W4" s="277"/>
      <c r="X4" s="277"/>
    </row>
    <row r="5" spans="2:28" ht="13" customHeight="1">
      <c r="B5" s="422" t="str">
        <f>IF('Summary | Sumário'!D$6=Names!B$3,Names!Z4,Names!AA4)</f>
        <v>Annualized NII</v>
      </c>
      <c r="C5" s="423">
        <f>C6</f>
        <v>585551</v>
      </c>
      <c r="D5" s="423">
        <f>D6</f>
        <v>715962.89517999999</v>
      </c>
      <c r="E5" s="423">
        <f t="shared" ref="E5:G5" si="0">E6</f>
        <v>1589469.2459999998</v>
      </c>
      <c r="F5" s="423">
        <f t="shared" si="0"/>
        <v>2335429.0819999995</v>
      </c>
      <c r="G5" s="423">
        <f t="shared" si="0"/>
        <v>3208088</v>
      </c>
      <c r="H5" s="423">
        <f>H6*4</f>
        <v>1166323.74</v>
      </c>
      <c r="I5" s="423">
        <f t="shared" ref="I5:U5" si="1">I6*4</f>
        <v>1209183.0040000002</v>
      </c>
      <c r="J5" s="423">
        <f t="shared" si="1"/>
        <v>1789479.52</v>
      </c>
      <c r="K5" s="423">
        <f t="shared" si="1"/>
        <v>2192886.7199999997</v>
      </c>
      <c r="L5" s="423">
        <f t="shared" si="1"/>
        <v>2173642.5279999999</v>
      </c>
      <c r="M5" s="423">
        <f t="shared" si="1"/>
        <v>2244350.5480000004</v>
      </c>
      <c r="N5" s="423">
        <f t="shared" si="1"/>
        <v>2222350.9240000001</v>
      </c>
      <c r="O5" s="423">
        <f t="shared" si="1"/>
        <v>2701372.3279999997</v>
      </c>
      <c r="P5" s="423">
        <f t="shared" si="1"/>
        <v>2846247.2880000002</v>
      </c>
      <c r="Q5" s="423">
        <f t="shared" si="1"/>
        <v>3208300</v>
      </c>
      <c r="R5" s="423">
        <f t="shared" si="1"/>
        <v>3274228.3549600001</v>
      </c>
      <c r="S5" s="423">
        <f t="shared" si="1"/>
        <v>3503580.3370399997</v>
      </c>
      <c r="T5" s="423">
        <f t="shared" si="1"/>
        <v>3882660.4387999997</v>
      </c>
      <c r="U5" s="423">
        <f t="shared" si="1"/>
        <v>4118673.3283354156</v>
      </c>
      <c r="V5" s="274"/>
      <c r="W5" s="538">
        <f t="shared" ref="W5:W13" si="2">U5/T5-1</f>
        <v>6.0786384298998852E-2</v>
      </c>
      <c r="X5" s="538">
        <f t="shared" ref="X5:X13" si="3">U5/Q5-1</f>
        <v>0.28375567382583156</v>
      </c>
    </row>
    <row r="6" spans="2:28" ht="13" customHeight="1">
      <c r="B6" s="84" t="str">
        <f>IF('Summary | Sumário'!D$6=Names!B$3,Names!Z5,Names!AA5)</f>
        <v>NII</v>
      </c>
      <c r="C6" s="274">
        <f t="shared" ref="C6:U6" si="4">SUM(C7:C7)</f>
        <v>585551</v>
      </c>
      <c r="D6" s="274">
        <f t="shared" si="4"/>
        <v>715962.89517999999</v>
      </c>
      <c r="E6" s="274">
        <f t="shared" si="4"/>
        <v>1589469.2459999998</v>
      </c>
      <c r="F6" s="274">
        <f t="shared" si="4"/>
        <v>2335429.0819999995</v>
      </c>
      <c r="G6" s="274">
        <f t="shared" si="4"/>
        <v>3208088</v>
      </c>
      <c r="H6" s="274">
        <f t="shared" si="4"/>
        <v>291580.935</v>
      </c>
      <c r="I6" s="274">
        <f t="shared" si="4"/>
        <v>302295.75100000005</v>
      </c>
      <c r="J6" s="274">
        <f t="shared" si="4"/>
        <v>447369.88</v>
      </c>
      <c r="K6" s="274">
        <f t="shared" si="4"/>
        <v>548221.67999999993</v>
      </c>
      <c r="L6" s="274">
        <f t="shared" si="4"/>
        <v>543410.63199999998</v>
      </c>
      <c r="M6" s="274">
        <f t="shared" si="4"/>
        <v>561087.6370000001</v>
      </c>
      <c r="N6" s="274">
        <f t="shared" si="4"/>
        <v>555587.73100000003</v>
      </c>
      <c r="O6" s="274">
        <f t="shared" si="4"/>
        <v>675343.08199999994</v>
      </c>
      <c r="P6" s="274">
        <f t="shared" si="4"/>
        <v>711561.82200000004</v>
      </c>
      <c r="Q6" s="274">
        <f t="shared" si="4"/>
        <v>802075</v>
      </c>
      <c r="R6" s="274">
        <f t="shared" si="4"/>
        <v>818557.08874000004</v>
      </c>
      <c r="S6" s="274">
        <f t="shared" si="4"/>
        <v>875895.08425999992</v>
      </c>
      <c r="T6" s="274">
        <f t="shared" si="4"/>
        <v>970665.10969999991</v>
      </c>
      <c r="U6" s="274">
        <f t="shared" si="4"/>
        <v>1029668.3320838539</v>
      </c>
      <c r="V6" s="274"/>
      <c r="W6" s="539">
        <f t="shared" si="2"/>
        <v>6.0786384298998852E-2</v>
      </c>
      <c r="X6" s="539">
        <f t="shared" si="3"/>
        <v>0.28375567382583156</v>
      </c>
    </row>
    <row r="7" spans="2:28" ht="13" customHeight="1">
      <c r="B7" s="97" t="str">
        <f>IF('Summary | Sumário'!D$6=Names!B$3,Names!Z6,Names!AA6)</f>
        <v>Net interest income</v>
      </c>
      <c r="C7" s="288">
        <v>585551</v>
      </c>
      <c r="D7" s="288">
        <v>715962.89517999999</v>
      </c>
      <c r="E7" s="288">
        <v>1589469.2459999998</v>
      </c>
      <c r="F7" s="288">
        <v>2335429.0819999995</v>
      </c>
      <c r="G7" s="288">
        <v>3208088</v>
      </c>
      <c r="H7" s="288">
        <v>291580.935</v>
      </c>
      <c r="I7" s="288">
        <v>302295.75100000005</v>
      </c>
      <c r="J7" s="288">
        <v>447369.88</v>
      </c>
      <c r="K7" s="288">
        <v>548221.67999999993</v>
      </c>
      <c r="L7" s="288">
        <v>543410.63199999998</v>
      </c>
      <c r="M7" s="288">
        <v>561087.6370000001</v>
      </c>
      <c r="N7" s="288">
        <v>555587.73100000003</v>
      </c>
      <c r="O7" s="288">
        <v>675343.08199999994</v>
      </c>
      <c r="P7" s="288">
        <v>711561.82200000004</v>
      </c>
      <c r="Q7" s="288">
        <v>802075</v>
      </c>
      <c r="R7" s="288">
        <v>818557.08874000004</v>
      </c>
      <c r="S7" s="288">
        <v>875895.08425999992</v>
      </c>
      <c r="T7" s="288">
        <v>970665.10969999991</v>
      </c>
      <c r="U7" s="288">
        <v>1029668.3320838539</v>
      </c>
      <c r="V7" s="289"/>
      <c r="W7" s="556">
        <f t="shared" si="2"/>
        <v>6.0786384298998852E-2</v>
      </c>
      <c r="X7" s="556">
        <f t="shared" si="3"/>
        <v>0.28375567382583156</v>
      </c>
    </row>
    <row r="8" spans="2:28" ht="13" customHeight="1">
      <c r="B8" s="93" t="str">
        <f>IF('Summary | Sumário'!D$6=Names!B$3,Names!Z8,Names!AA8)</f>
        <v>(÷) Avg of the last two periods of IEP + non-interest credit card receivables</v>
      </c>
      <c r="C8" s="289">
        <f>C9</f>
        <v>5973015</v>
      </c>
      <c r="D8" s="289">
        <f>(D9+C9)/2</f>
        <v>10411611</v>
      </c>
      <c r="E8" s="289">
        <f t="shared" ref="E8:G8" si="5">(E9+D9)/2</f>
        <v>23141067</v>
      </c>
      <c r="F8" s="289">
        <f t="shared" si="5"/>
        <v>34759632</v>
      </c>
      <c r="G8" s="289">
        <f t="shared" si="5"/>
        <v>43289367.897454999</v>
      </c>
      <c r="H8" s="289">
        <f>AVERAGE(H9,D9)</f>
        <v>15987577.5</v>
      </c>
      <c r="I8" s="289">
        <f>AVERAGE(I9,H9)</f>
        <v>19027250.5</v>
      </c>
      <c r="J8" s="289">
        <f t="shared" ref="J8:U8" si="6">AVERAGE(J9,I9)</f>
        <v>24944048</v>
      </c>
      <c r="K8" s="289">
        <f t="shared" si="6"/>
        <v>30195235</v>
      </c>
      <c r="L8" s="289">
        <f t="shared" si="6"/>
        <v>31479814</v>
      </c>
      <c r="M8" s="289">
        <f t="shared" si="6"/>
        <v>32288221</v>
      </c>
      <c r="N8" s="289">
        <f t="shared" si="6"/>
        <v>34830595</v>
      </c>
      <c r="O8" s="289">
        <f t="shared" si="6"/>
        <v>37349893</v>
      </c>
      <c r="P8" s="289">
        <f t="shared" si="6"/>
        <v>38382525.5</v>
      </c>
      <c r="Q8" s="289">
        <f t="shared" si="6"/>
        <v>39465908</v>
      </c>
      <c r="R8" s="289">
        <f t="shared" si="6"/>
        <v>41971325.694665</v>
      </c>
      <c r="S8" s="289">
        <f t="shared" si="6"/>
        <v>46089974.092119999</v>
      </c>
      <c r="T8" s="289">
        <f t="shared" si="6"/>
        <v>49772164.046540096</v>
      </c>
      <c r="U8" s="289">
        <f t="shared" si="6"/>
        <v>52711747.340865105</v>
      </c>
      <c r="V8" s="289"/>
      <c r="W8" s="564">
        <f t="shared" si="2"/>
        <v>5.9060789311397244E-2</v>
      </c>
      <c r="X8" s="564">
        <f t="shared" si="3"/>
        <v>0.3356273810009669</v>
      </c>
    </row>
    <row r="9" spans="2:28" ht="13" customHeight="1">
      <c r="B9" s="98" t="str">
        <f>IF('Summary | Sumário'!D$6=Names!B$3,Names!Z9,Names!AA9)</f>
        <v>IEP + non-interest credit card receivables</v>
      </c>
      <c r="C9" s="290">
        <f>SUM(C10:C13)</f>
        <v>5973015</v>
      </c>
      <c r="D9" s="290">
        <f>SUM(D10:D13)</f>
        <v>14850207</v>
      </c>
      <c r="E9" s="290">
        <f t="shared" ref="E9:F9" si="7">SUM(E10:E13)</f>
        <v>31431927</v>
      </c>
      <c r="F9" s="290">
        <f t="shared" si="7"/>
        <v>38087337</v>
      </c>
      <c r="G9" s="290">
        <f t="shared" ref="G9" si="8">SUM(G10:G13)</f>
        <v>48491398.794909999</v>
      </c>
      <c r="H9" s="290">
        <f t="shared" ref="H9:I9" si="9">SUM(H10:H13)</f>
        <v>17124948</v>
      </c>
      <c r="I9" s="290">
        <f t="shared" si="9"/>
        <v>20929553</v>
      </c>
      <c r="J9" s="290">
        <f t="shared" ref="J9" si="10">SUM(J10:J13)</f>
        <v>28958543</v>
      </c>
      <c r="K9" s="290">
        <f t="shared" ref="K9" si="11">SUM(K10:K13)</f>
        <v>31431927</v>
      </c>
      <c r="L9" s="290">
        <f t="shared" ref="L9" si="12">SUM(L10:L13)</f>
        <v>31527701</v>
      </c>
      <c r="M9" s="290">
        <f t="shared" ref="M9" si="13">SUM(M10:M13)</f>
        <v>33048741</v>
      </c>
      <c r="N9" s="290">
        <f t="shared" ref="N9" si="14">SUM(N10:N13)</f>
        <v>36612449</v>
      </c>
      <c r="O9" s="290">
        <f t="shared" ref="O9" si="15">SUM(O10:O13)</f>
        <v>38087337</v>
      </c>
      <c r="P9" s="290">
        <f t="shared" ref="P9:Q9" si="16">SUM(P10:P13)</f>
        <v>38677714</v>
      </c>
      <c r="Q9" s="290">
        <f t="shared" si="16"/>
        <v>40254102</v>
      </c>
      <c r="R9" s="290">
        <f t="shared" ref="R9:S9" si="17">SUM(R10:R13)</f>
        <v>43688549.38933</v>
      </c>
      <c r="S9" s="290">
        <f t="shared" si="17"/>
        <v>48491398.794909999</v>
      </c>
      <c r="T9" s="290">
        <f t="shared" ref="T9:U9" si="18">SUM(T10:T13)</f>
        <v>51052929.298170201</v>
      </c>
      <c r="U9" s="290">
        <f t="shared" si="18"/>
        <v>54370565.383560002</v>
      </c>
      <c r="V9" s="291"/>
      <c r="W9" s="565">
        <f t="shared" si="2"/>
        <v>6.4984245389984041E-2</v>
      </c>
      <c r="X9" s="565">
        <f t="shared" si="3"/>
        <v>0.35068384791095331</v>
      </c>
    </row>
    <row r="10" spans="2:28" ht="13" customHeight="1">
      <c r="B10" s="92" t="str">
        <f>IF('Summary | Sumário'!D$6=Names!B$3,Names!Z10,Names!AA10)</f>
        <v>Amounts due from financial institutions</v>
      </c>
      <c r="C10" s="291">
        <v>256097</v>
      </c>
      <c r="D10" s="291">
        <v>502369</v>
      </c>
      <c r="E10" s="291">
        <v>2051862</v>
      </c>
      <c r="F10" s="291">
        <v>4258856</v>
      </c>
      <c r="G10" s="291">
        <v>3718505.7949100002</v>
      </c>
      <c r="H10" s="291">
        <v>578499</v>
      </c>
      <c r="I10" s="291">
        <v>646905</v>
      </c>
      <c r="J10" s="291">
        <v>1408183</v>
      </c>
      <c r="K10" s="291">
        <v>2051862</v>
      </c>
      <c r="L10" s="291">
        <v>1807258</v>
      </c>
      <c r="M10" s="291">
        <v>1825289</v>
      </c>
      <c r="N10" s="291">
        <v>3417500</v>
      </c>
      <c r="O10" s="291">
        <v>4258856</v>
      </c>
      <c r="P10" s="291">
        <v>3770074</v>
      </c>
      <c r="Q10" s="291">
        <v>2556811</v>
      </c>
      <c r="R10" s="291">
        <v>3474243.8523399998</v>
      </c>
      <c r="S10" s="291">
        <v>3718505.7949100002</v>
      </c>
      <c r="T10" s="291">
        <v>4051287.3041199995</v>
      </c>
      <c r="U10" s="291">
        <v>5280321.9577800008</v>
      </c>
      <c r="V10" s="291"/>
      <c r="W10" s="468">
        <f t="shared" si="2"/>
        <v>0.30336891990111914</v>
      </c>
      <c r="X10" s="468">
        <f t="shared" si="3"/>
        <v>1.0651983888445415</v>
      </c>
    </row>
    <row r="11" spans="2:28" ht="13" customHeight="1">
      <c r="B11" s="97" t="str">
        <f>IF('Summary | Sumário'!D$6=Names!B$3,Names!Z11,Names!AA11)</f>
        <v>Securities</v>
      </c>
      <c r="C11" s="290">
        <v>1155094</v>
      </c>
      <c r="D11" s="290">
        <v>5812622</v>
      </c>
      <c r="E11" s="290">
        <v>12757687</v>
      </c>
      <c r="F11" s="290">
        <v>12448565</v>
      </c>
      <c r="G11" s="290">
        <v>16868112</v>
      </c>
      <c r="H11" s="290">
        <v>6619726</v>
      </c>
      <c r="I11" s="290">
        <v>8230481</v>
      </c>
      <c r="J11" s="290">
        <v>13241180</v>
      </c>
      <c r="K11" s="290">
        <v>12757687</v>
      </c>
      <c r="L11" s="290">
        <v>12335401</v>
      </c>
      <c r="M11" s="290">
        <v>12710051</v>
      </c>
      <c r="N11" s="290">
        <v>13373465</v>
      </c>
      <c r="O11" s="290">
        <v>12448565</v>
      </c>
      <c r="P11" s="290">
        <v>12535351</v>
      </c>
      <c r="Q11" s="290">
        <v>14169684</v>
      </c>
      <c r="R11" s="290">
        <v>14908297</v>
      </c>
      <c r="S11" s="290">
        <v>16868112</v>
      </c>
      <c r="T11" s="290">
        <v>18167251</v>
      </c>
      <c r="U11" s="290">
        <v>18276426</v>
      </c>
      <c r="V11" s="291"/>
      <c r="W11" s="565">
        <f t="shared" si="2"/>
        <v>6.0094397330670013E-3</v>
      </c>
      <c r="X11" s="565">
        <f t="shared" si="3"/>
        <v>0.2898259410725037</v>
      </c>
    </row>
    <row r="12" spans="2:28" ht="13" customHeight="1">
      <c r="B12" s="92" t="str">
        <f>IF('Summary | Sumário'!D$6=Names!B$3,Names!Z12,Names!AA12)</f>
        <v>Net loans and advances to customers</v>
      </c>
      <c r="C12" s="291">
        <v>4561824</v>
      </c>
      <c r="D12" s="291">
        <v>8507703</v>
      </c>
      <c r="E12" s="291">
        <v>16535430</v>
      </c>
      <c r="F12" s="291">
        <v>21379916</v>
      </c>
      <c r="G12" s="291">
        <v>27900543</v>
      </c>
      <c r="H12" s="291">
        <v>9908120</v>
      </c>
      <c r="I12" s="291">
        <v>12040483</v>
      </c>
      <c r="J12" s="291">
        <v>14301537</v>
      </c>
      <c r="K12" s="291">
        <v>16535430</v>
      </c>
      <c r="L12" s="291">
        <v>17374632</v>
      </c>
      <c r="M12" s="291">
        <v>18510189</v>
      </c>
      <c r="N12" s="291">
        <v>19820903</v>
      </c>
      <c r="O12" s="291">
        <v>21379916</v>
      </c>
      <c r="P12" s="291">
        <v>22371167</v>
      </c>
      <c r="Q12" s="291">
        <v>23523982</v>
      </c>
      <c r="R12" s="291">
        <v>25296620</v>
      </c>
      <c r="S12" s="291">
        <v>27900543</v>
      </c>
      <c r="T12" s="291">
        <v>28826998.881090201</v>
      </c>
      <c r="U12" s="291">
        <v>30806640</v>
      </c>
      <c r="V12" s="291"/>
      <c r="W12" s="468">
        <f t="shared" si="2"/>
        <v>6.8673160431153901E-2</v>
      </c>
      <c r="X12" s="468">
        <f t="shared" si="3"/>
        <v>0.30958440624550732</v>
      </c>
    </row>
    <row r="13" spans="2:28" ht="13" customHeight="1">
      <c r="B13" s="97" t="str">
        <f>IF('Summary | Sumário'!D$6=Names!B$3,Names!Z13,Names!AA13)</f>
        <v>Derivative financial assets</v>
      </c>
      <c r="C13" s="290">
        <v>0</v>
      </c>
      <c r="D13" s="290">
        <v>27513</v>
      </c>
      <c r="E13" s="290">
        <v>86948</v>
      </c>
      <c r="F13" s="290">
        <v>0</v>
      </c>
      <c r="G13" s="290">
        <v>4238</v>
      </c>
      <c r="H13" s="290">
        <v>18603</v>
      </c>
      <c r="I13" s="290">
        <v>11684</v>
      </c>
      <c r="J13" s="290">
        <v>7643</v>
      </c>
      <c r="K13" s="290">
        <v>86948</v>
      </c>
      <c r="L13" s="290">
        <v>10410</v>
      </c>
      <c r="M13" s="290">
        <v>3212</v>
      </c>
      <c r="N13" s="290">
        <v>581</v>
      </c>
      <c r="O13" s="290">
        <v>0</v>
      </c>
      <c r="P13" s="290">
        <v>1122</v>
      </c>
      <c r="Q13" s="290">
        <v>3625</v>
      </c>
      <c r="R13" s="290">
        <v>9388.5369900000005</v>
      </c>
      <c r="S13" s="290">
        <v>4238</v>
      </c>
      <c r="T13" s="290">
        <v>7392.1129600000004</v>
      </c>
      <c r="U13" s="290">
        <v>7177.425780000005</v>
      </c>
      <c r="V13" s="291"/>
      <c r="W13" s="565">
        <f t="shared" si="2"/>
        <v>-2.9042735299325773E-2</v>
      </c>
      <c r="X13" s="565">
        <f t="shared" si="3"/>
        <v>0.97997952551724277</v>
      </c>
    </row>
    <row r="14" spans="2:28" ht="13" customHeight="1">
      <c r="B14" s="420" t="str">
        <f>IF('Summary | Sumário'!D$6=Names!B$3,Names!Z14,Names!AA14)</f>
        <v>(=) NIM 1.0 - IEP + non-interest credit card receivables (%)</v>
      </c>
      <c r="C14" s="444">
        <f t="shared" ref="C14:Q14" si="19">C5/C8</f>
        <v>9.803273556152127E-2</v>
      </c>
      <c r="D14" s="444">
        <f t="shared" si="19"/>
        <v>6.8765813012030511E-2</v>
      </c>
      <c r="E14" s="444">
        <f t="shared" si="19"/>
        <v>6.8686082884596447E-2</v>
      </c>
      <c r="F14" s="444">
        <f t="shared" si="19"/>
        <v>6.7187969136151937E-2</v>
      </c>
      <c r="G14" s="444">
        <f t="shared" ref="G14" si="20">G5/G8</f>
        <v>7.4107989000888247E-2</v>
      </c>
      <c r="H14" s="444">
        <f t="shared" si="19"/>
        <v>7.2951874040954615E-2</v>
      </c>
      <c r="I14" s="444">
        <f t="shared" si="19"/>
        <v>6.3550064892455183E-2</v>
      </c>
      <c r="J14" s="444">
        <f t="shared" si="19"/>
        <v>7.1739740077472594E-2</v>
      </c>
      <c r="K14" s="444">
        <f t="shared" si="19"/>
        <v>7.2623601704043694E-2</v>
      </c>
      <c r="L14" s="444">
        <f t="shared" si="19"/>
        <v>6.9048772905710307E-2</v>
      </c>
      <c r="M14" s="444">
        <f t="shared" si="19"/>
        <v>6.9509885601935162E-2</v>
      </c>
      <c r="N14" s="444">
        <f t="shared" si="19"/>
        <v>6.3804563889878999E-2</v>
      </c>
      <c r="O14" s="444">
        <f t="shared" si="19"/>
        <v>7.2326106208657676E-2</v>
      </c>
      <c r="P14" s="444">
        <f t="shared" si="19"/>
        <v>7.4154768372393848E-2</v>
      </c>
      <c r="Q14" s="444">
        <f t="shared" si="19"/>
        <v>8.1292947827274115E-2</v>
      </c>
      <c r="R14" s="444">
        <f t="shared" ref="R14:S14" si="21">R5/R8</f>
        <v>7.8011077819640784E-2</v>
      </c>
      <c r="S14" s="444">
        <f t="shared" si="21"/>
        <v>7.6016105585943614E-2</v>
      </c>
      <c r="T14" s="444">
        <f t="shared" ref="T14:U14" si="22">T5/T8</f>
        <v>7.8008672381001329E-2</v>
      </c>
      <c r="U14" s="444">
        <f t="shared" si="22"/>
        <v>7.8135776863962711E-2</v>
      </c>
      <c r="V14" s="502"/>
      <c r="W14" s="569">
        <f t="shared" ref="W14" si="23">(U14-T14)*100</f>
        <v>1.271044829613821E-2</v>
      </c>
      <c r="X14" s="569">
        <f t="shared" ref="X14" si="24">(U14-Q14)*100</f>
        <v>-0.31571709633114037</v>
      </c>
      <c r="Z14" s="332"/>
      <c r="AA14" s="332"/>
    </row>
    <row r="15" spans="2:28" ht="13" customHeight="1">
      <c r="B15" s="99"/>
      <c r="C15" s="273"/>
      <c r="D15" s="273"/>
      <c r="E15" s="273"/>
      <c r="F15" s="273"/>
      <c r="G15" s="273"/>
      <c r="H15" s="273"/>
      <c r="I15" s="273"/>
      <c r="J15" s="273"/>
      <c r="K15" s="273"/>
      <c r="L15" s="273"/>
      <c r="M15" s="273"/>
      <c r="N15" s="273"/>
      <c r="O15" s="273"/>
      <c r="P15" s="273"/>
      <c r="Q15" s="273"/>
      <c r="R15" s="273"/>
      <c r="S15" s="273"/>
      <c r="T15" s="273"/>
      <c r="U15" s="273"/>
      <c r="W15" s="273"/>
      <c r="X15" s="273"/>
    </row>
    <row r="16" spans="2:28" ht="13" customHeight="1">
      <c r="B16" s="3" t="str">
        <f>IF('Summary | Sumário'!D$6=Names!B$3,Names!Z16,Names!AA16)</f>
        <v>NIM 2.0 - IEP</v>
      </c>
      <c r="C16" s="277"/>
      <c r="D16" s="277"/>
      <c r="E16" s="277"/>
      <c r="F16" s="277"/>
      <c r="G16" s="277"/>
      <c r="H16" s="277"/>
      <c r="I16" s="277"/>
      <c r="J16" s="277"/>
      <c r="K16" s="277"/>
      <c r="L16" s="277"/>
      <c r="M16" s="277"/>
      <c r="N16" s="277"/>
      <c r="O16" s="277"/>
      <c r="P16" s="277"/>
      <c r="Q16" s="277"/>
      <c r="R16" s="277"/>
      <c r="S16" s="277"/>
      <c r="T16" s="277"/>
      <c r="U16" s="277"/>
      <c r="V16" s="277"/>
      <c r="W16" s="277"/>
      <c r="X16" s="277"/>
    </row>
    <row r="17" spans="2:27" ht="13" customHeight="1">
      <c r="B17" s="422" t="str">
        <f>IF('Summary | Sumário'!D$6=Names!B$3,Names!Z17,Names!AA17)</f>
        <v>Annualized NII</v>
      </c>
      <c r="C17" s="423">
        <f t="shared" ref="C17:Q17" si="25">C5</f>
        <v>585551</v>
      </c>
      <c r="D17" s="423">
        <f t="shared" si="25"/>
        <v>715962.89517999999</v>
      </c>
      <c r="E17" s="423">
        <f t="shared" si="25"/>
        <v>1589469.2459999998</v>
      </c>
      <c r="F17" s="423">
        <f t="shared" si="25"/>
        <v>2335429.0819999995</v>
      </c>
      <c r="G17" s="423">
        <f t="shared" ref="G17" si="26">G5</f>
        <v>3208088</v>
      </c>
      <c r="H17" s="423">
        <f t="shared" si="25"/>
        <v>1166323.74</v>
      </c>
      <c r="I17" s="423">
        <f t="shared" si="25"/>
        <v>1209183.0040000002</v>
      </c>
      <c r="J17" s="423">
        <f t="shared" si="25"/>
        <v>1789479.52</v>
      </c>
      <c r="K17" s="423">
        <f t="shared" si="25"/>
        <v>2192886.7199999997</v>
      </c>
      <c r="L17" s="423">
        <f t="shared" si="25"/>
        <v>2173642.5279999999</v>
      </c>
      <c r="M17" s="423">
        <f t="shared" si="25"/>
        <v>2244350.5480000004</v>
      </c>
      <c r="N17" s="423">
        <f t="shared" si="25"/>
        <v>2222350.9240000001</v>
      </c>
      <c r="O17" s="423">
        <f t="shared" si="25"/>
        <v>2701372.3279999997</v>
      </c>
      <c r="P17" s="423">
        <f t="shared" si="25"/>
        <v>2846247.2880000002</v>
      </c>
      <c r="Q17" s="423">
        <f t="shared" si="25"/>
        <v>3208300</v>
      </c>
      <c r="R17" s="423">
        <f t="shared" ref="R17:S17" si="27">R5</f>
        <v>3274228.3549600001</v>
      </c>
      <c r="S17" s="423">
        <f t="shared" si="27"/>
        <v>3503580.3370399997</v>
      </c>
      <c r="T17" s="423">
        <f t="shared" ref="T17:U17" si="28">T5</f>
        <v>3882660.4387999997</v>
      </c>
      <c r="U17" s="423">
        <f t="shared" si="28"/>
        <v>4118673.3283354156</v>
      </c>
      <c r="V17" s="274"/>
      <c r="W17" s="538">
        <f>U17/T17-1</f>
        <v>6.0786384298998852E-2</v>
      </c>
      <c r="X17" s="538">
        <f>U17/Q17-1</f>
        <v>0.28375567382583156</v>
      </c>
    </row>
    <row r="18" spans="2:27" ht="13" customHeight="1">
      <c r="B18" s="84" t="str">
        <f>IF('Summary | Sumário'!D$6=Names!B$3,Names!Z18,Names!AA18)</f>
        <v>NII</v>
      </c>
      <c r="C18" s="274">
        <f t="shared" ref="C18:Q18" si="29">C6</f>
        <v>585551</v>
      </c>
      <c r="D18" s="274">
        <f t="shared" si="29"/>
        <v>715962.89517999999</v>
      </c>
      <c r="E18" s="274">
        <f t="shared" si="29"/>
        <v>1589469.2459999998</v>
      </c>
      <c r="F18" s="274">
        <f t="shared" si="29"/>
        <v>2335429.0819999995</v>
      </c>
      <c r="G18" s="274">
        <f t="shared" ref="G18" si="30">G6</f>
        <v>3208088</v>
      </c>
      <c r="H18" s="274">
        <f t="shared" si="29"/>
        <v>291580.935</v>
      </c>
      <c r="I18" s="274">
        <f t="shared" si="29"/>
        <v>302295.75100000005</v>
      </c>
      <c r="J18" s="274">
        <f t="shared" si="29"/>
        <v>447369.88</v>
      </c>
      <c r="K18" s="274">
        <f t="shared" si="29"/>
        <v>548221.67999999993</v>
      </c>
      <c r="L18" s="274">
        <f t="shared" si="29"/>
        <v>543410.63199999998</v>
      </c>
      <c r="M18" s="274">
        <f t="shared" si="29"/>
        <v>561087.6370000001</v>
      </c>
      <c r="N18" s="274">
        <f t="shared" si="29"/>
        <v>555587.73100000003</v>
      </c>
      <c r="O18" s="274">
        <f t="shared" si="29"/>
        <v>675343.08199999994</v>
      </c>
      <c r="P18" s="274">
        <f t="shared" si="29"/>
        <v>711561.82200000004</v>
      </c>
      <c r="Q18" s="274">
        <f t="shared" si="29"/>
        <v>802075</v>
      </c>
      <c r="R18" s="274">
        <f t="shared" ref="R18:S18" si="31">R6</f>
        <v>818557.08874000004</v>
      </c>
      <c r="S18" s="274">
        <f t="shared" si="31"/>
        <v>875895.08425999992</v>
      </c>
      <c r="T18" s="274">
        <f t="shared" ref="T18:U18" si="32">T6</f>
        <v>970665.10969999991</v>
      </c>
      <c r="U18" s="274">
        <f t="shared" si="32"/>
        <v>1029668.3320838539</v>
      </c>
      <c r="V18" s="274"/>
      <c r="W18" s="539">
        <f t="shared" ref="W18:W27" si="33">U18/T18-1</f>
        <v>6.0786384298998852E-2</v>
      </c>
      <c r="X18" s="539">
        <f t="shared" ref="X18:X27" si="34">U18/Q18-1</f>
        <v>0.28375567382583156</v>
      </c>
    </row>
    <row r="19" spans="2:27" ht="13" customHeight="1">
      <c r="B19" s="97" t="str">
        <f>IF('Summary | Sumário'!D$6=Names!B$3,Names!Z19,Names!AA19)</f>
        <v>Net interest income</v>
      </c>
      <c r="C19" s="288">
        <f t="shared" ref="C19:Q19" si="35">C7</f>
        <v>585551</v>
      </c>
      <c r="D19" s="288">
        <f t="shared" si="35"/>
        <v>715962.89517999999</v>
      </c>
      <c r="E19" s="288">
        <f t="shared" si="35"/>
        <v>1589469.2459999998</v>
      </c>
      <c r="F19" s="288">
        <f t="shared" si="35"/>
        <v>2335429.0819999995</v>
      </c>
      <c r="G19" s="288">
        <f t="shared" ref="G19" si="36">G7</f>
        <v>3208088</v>
      </c>
      <c r="H19" s="288">
        <f t="shared" si="35"/>
        <v>291580.935</v>
      </c>
      <c r="I19" s="288">
        <f t="shared" si="35"/>
        <v>302295.75100000005</v>
      </c>
      <c r="J19" s="288">
        <f t="shared" si="35"/>
        <v>447369.88</v>
      </c>
      <c r="K19" s="288">
        <f t="shared" si="35"/>
        <v>548221.67999999993</v>
      </c>
      <c r="L19" s="288">
        <f t="shared" si="35"/>
        <v>543410.63199999998</v>
      </c>
      <c r="M19" s="288">
        <f t="shared" si="35"/>
        <v>561087.6370000001</v>
      </c>
      <c r="N19" s="288">
        <f t="shared" si="35"/>
        <v>555587.73100000003</v>
      </c>
      <c r="O19" s="288">
        <f t="shared" si="35"/>
        <v>675343.08199999994</v>
      </c>
      <c r="P19" s="288">
        <f t="shared" si="35"/>
        <v>711561.82200000004</v>
      </c>
      <c r="Q19" s="288">
        <f t="shared" si="35"/>
        <v>802075</v>
      </c>
      <c r="R19" s="288">
        <f t="shared" ref="R19:S19" si="37">R7</f>
        <v>818557.08874000004</v>
      </c>
      <c r="S19" s="288">
        <f t="shared" si="37"/>
        <v>875895.08425999992</v>
      </c>
      <c r="T19" s="288">
        <f t="shared" ref="T19:U19" si="38">T7</f>
        <v>970665.10969999991</v>
      </c>
      <c r="U19" s="288">
        <f t="shared" si="38"/>
        <v>1029668.3320838539</v>
      </c>
      <c r="V19" s="289"/>
      <c r="W19" s="556">
        <f t="shared" si="33"/>
        <v>6.0786384298998852E-2</v>
      </c>
      <c r="X19" s="556">
        <f t="shared" si="34"/>
        <v>0.28375567382583156</v>
      </c>
    </row>
    <row r="20" spans="2:27" ht="13" customHeight="1">
      <c r="B20" s="93" t="str">
        <f>IF('Summary | Sumário'!D$6=Names!B$3,Names!Z21,Names!AA21)</f>
        <v>(÷) Avg of the last two periods of IEP</v>
      </c>
      <c r="C20" s="289">
        <f>C21</f>
        <v>5906176.3870000001</v>
      </c>
      <c r="D20" s="292">
        <f>(D21+C21)/2</f>
        <v>9540976.6059999987</v>
      </c>
      <c r="E20" s="292">
        <f t="shared" ref="E20:G20" si="39">(E21+D21)/2</f>
        <v>20242695.412500001</v>
      </c>
      <c r="F20" s="292">
        <f t="shared" si="39"/>
        <v>29992576.5</v>
      </c>
      <c r="G20" s="292">
        <f t="shared" si="39"/>
        <v>36838463.595954999</v>
      </c>
      <c r="H20" s="292">
        <f>(H21+D21)/2</f>
        <v>14103254.9125</v>
      </c>
      <c r="I20" s="289">
        <f>(I21+H21)/2</f>
        <v>16655040.5</v>
      </c>
      <c r="J20" s="289">
        <f t="shared" ref="J20:U20" si="40">(J21+I21)/2</f>
        <v>21978468</v>
      </c>
      <c r="K20" s="289">
        <f t="shared" si="40"/>
        <v>26493601</v>
      </c>
      <c r="L20" s="289">
        <f t="shared" si="40"/>
        <v>27179014.5</v>
      </c>
      <c r="M20" s="289">
        <f t="shared" si="40"/>
        <v>27600017.5</v>
      </c>
      <c r="N20" s="289">
        <f t="shared" si="40"/>
        <v>29831065</v>
      </c>
      <c r="O20" s="289">
        <f t="shared" si="40"/>
        <v>32093024.5</v>
      </c>
      <c r="P20" s="289">
        <f t="shared" si="40"/>
        <v>32836492.193913735</v>
      </c>
      <c r="Q20" s="289">
        <f t="shared" si="40"/>
        <v>33673793.577701032</v>
      </c>
      <c r="R20" s="289">
        <f t="shared" si="40"/>
        <v>35635379.055952296</v>
      </c>
      <c r="S20" s="289">
        <f t="shared" si="40"/>
        <v>38961002.268119998</v>
      </c>
      <c r="T20" s="289">
        <f t="shared" si="40"/>
        <v>42059618.137200102</v>
      </c>
      <c r="U20" s="289">
        <f t="shared" si="40"/>
        <v>44622222.490435094</v>
      </c>
      <c r="V20" s="289"/>
      <c r="W20" s="564">
        <f t="shared" si="33"/>
        <v>6.0927903455415988E-2</v>
      </c>
      <c r="X20" s="564">
        <f t="shared" si="34"/>
        <v>0.32513203145558767</v>
      </c>
    </row>
    <row r="21" spans="2:27" ht="13" customHeight="1">
      <c r="B21" s="98" t="str">
        <f>IF('Summary | Sumário'!D$6=Names!B$3,Names!Z22,Names!AA22)</f>
        <v>IEP</v>
      </c>
      <c r="C21" s="288">
        <f>C22+C23+C24+C27</f>
        <v>5906176.3870000001</v>
      </c>
      <c r="D21" s="288">
        <f t="shared" ref="D21:P21" si="41">D22+D23+D24+D27</f>
        <v>13175776.824999999</v>
      </c>
      <c r="E21" s="288">
        <f t="shared" si="41"/>
        <v>27309614</v>
      </c>
      <c r="F21" s="288">
        <f t="shared" si="41"/>
        <v>32675539</v>
      </c>
      <c r="G21" s="288">
        <f t="shared" ref="G21" si="42">G22+G23+G24+G27</f>
        <v>41001388.191909999</v>
      </c>
      <c r="H21" s="288">
        <f t="shared" si="41"/>
        <v>15030733</v>
      </c>
      <c r="I21" s="288">
        <f t="shared" si="41"/>
        <v>18279348</v>
      </c>
      <c r="J21" s="288">
        <f t="shared" si="41"/>
        <v>25677588</v>
      </c>
      <c r="K21" s="288">
        <f t="shared" si="41"/>
        <v>27309614</v>
      </c>
      <c r="L21" s="288">
        <f t="shared" si="41"/>
        <v>27048415</v>
      </c>
      <c r="M21" s="288">
        <f t="shared" si="41"/>
        <v>28151620</v>
      </c>
      <c r="N21" s="288">
        <f t="shared" si="41"/>
        <v>31510510</v>
      </c>
      <c r="O21" s="288">
        <f t="shared" si="41"/>
        <v>32675539</v>
      </c>
      <c r="P21" s="288">
        <f t="shared" si="41"/>
        <v>32997445.387827475</v>
      </c>
      <c r="Q21" s="288">
        <f t="shared" ref="Q21:R21" si="43">Q22+Q23+Q24+Q27</f>
        <v>34350141.767574593</v>
      </c>
      <c r="R21" s="288">
        <f t="shared" si="43"/>
        <v>36920616.344329998</v>
      </c>
      <c r="S21" s="288">
        <f t="shared" ref="S21:T21" si="44">S22+S23+S24+S27</f>
        <v>41001388.191909999</v>
      </c>
      <c r="T21" s="288">
        <f t="shared" si="44"/>
        <v>43117848.082490198</v>
      </c>
      <c r="U21" s="288">
        <f t="shared" ref="U21" si="45">U22+U23+U24+U27</f>
        <v>46126596.898379996</v>
      </c>
      <c r="V21" s="289"/>
      <c r="W21" s="556">
        <f t="shared" si="33"/>
        <v>6.9779660852593128E-2</v>
      </c>
      <c r="X21" s="556">
        <f t="shared" si="34"/>
        <v>0.34283570677783892</v>
      </c>
    </row>
    <row r="22" spans="2:27" ht="13" customHeight="1">
      <c r="B22" s="92" t="str">
        <f>IF('Summary | Sumário'!D$6=Names!B$3,Names!Z23,Names!AA23)</f>
        <v>Amounts due from financial institutions</v>
      </c>
      <c r="C22" s="289">
        <f t="shared" ref="C22:Q22" si="46">C10</f>
        <v>256097</v>
      </c>
      <c r="D22" s="289">
        <f t="shared" si="46"/>
        <v>502369</v>
      </c>
      <c r="E22" s="289">
        <f t="shared" si="46"/>
        <v>2051862</v>
      </c>
      <c r="F22" s="289">
        <f t="shared" si="46"/>
        <v>4258856</v>
      </c>
      <c r="G22" s="289">
        <f t="shared" ref="G22" si="47">G10</f>
        <v>3718505.7949100002</v>
      </c>
      <c r="H22" s="289">
        <f t="shared" si="46"/>
        <v>578499</v>
      </c>
      <c r="I22" s="289">
        <f t="shared" si="46"/>
        <v>646905</v>
      </c>
      <c r="J22" s="289">
        <f t="shared" si="46"/>
        <v>1408183</v>
      </c>
      <c r="K22" s="289">
        <f t="shared" si="46"/>
        <v>2051862</v>
      </c>
      <c r="L22" s="289">
        <f t="shared" si="46"/>
        <v>1807258</v>
      </c>
      <c r="M22" s="289">
        <f t="shared" si="46"/>
        <v>1825289</v>
      </c>
      <c r="N22" s="289">
        <f t="shared" si="46"/>
        <v>3417500</v>
      </c>
      <c r="O22" s="289">
        <f t="shared" si="46"/>
        <v>4258856</v>
      </c>
      <c r="P22" s="289">
        <f t="shared" si="46"/>
        <v>3770074</v>
      </c>
      <c r="Q22" s="289">
        <f t="shared" si="46"/>
        <v>2556811</v>
      </c>
      <c r="R22" s="289">
        <f t="shared" ref="R22:S22" si="48">R10</f>
        <v>3474243.8523399998</v>
      </c>
      <c r="S22" s="289">
        <f t="shared" si="48"/>
        <v>3718505.7949100002</v>
      </c>
      <c r="T22" s="289">
        <f t="shared" ref="T22:U22" si="49">T10</f>
        <v>4051287.3041199995</v>
      </c>
      <c r="U22" s="289">
        <f t="shared" si="49"/>
        <v>5280321.9577800008</v>
      </c>
      <c r="V22" s="289"/>
      <c r="W22" s="564">
        <f t="shared" si="33"/>
        <v>0.30336891990111914</v>
      </c>
      <c r="X22" s="564">
        <f t="shared" si="34"/>
        <v>1.0651983888445415</v>
      </c>
    </row>
    <row r="23" spans="2:27" ht="13" customHeight="1">
      <c r="B23" s="97" t="str">
        <f>IF('Summary | Sumário'!D$6=Names!B$3,Names!Z24,Names!AA24)</f>
        <v>Securities</v>
      </c>
      <c r="C23" s="288">
        <f t="shared" ref="C23:Q23" si="50">C11</f>
        <v>1155094</v>
      </c>
      <c r="D23" s="288">
        <f t="shared" si="50"/>
        <v>5812622</v>
      </c>
      <c r="E23" s="288">
        <f t="shared" si="50"/>
        <v>12757687</v>
      </c>
      <c r="F23" s="288">
        <f t="shared" si="50"/>
        <v>12448565</v>
      </c>
      <c r="G23" s="288">
        <f t="shared" ref="G23" si="51">G11</f>
        <v>16868112</v>
      </c>
      <c r="H23" s="288">
        <f t="shared" si="50"/>
        <v>6619726</v>
      </c>
      <c r="I23" s="288">
        <f t="shared" si="50"/>
        <v>8230481</v>
      </c>
      <c r="J23" s="288">
        <f t="shared" si="50"/>
        <v>13241180</v>
      </c>
      <c r="K23" s="288">
        <f t="shared" si="50"/>
        <v>12757687</v>
      </c>
      <c r="L23" s="288">
        <f t="shared" si="50"/>
        <v>12335401</v>
      </c>
      <c r="M23" s="288">
        <f t="shared" si="50"/>
        <v>12710051</v>
      </c>
      <c r="N23" s="288">
        <f t="shared" si="50"/>
        <v>13373465</v>
      </c>
      <c r="O23" s="288">
        <f t="shared" si="50"/>
        <v>12448565</v>
      </c>
      <c r="P23" s="288">
        <f t="shared" si="50"/>
        <v>12535351</v>
      </c>
      <c r="Q23" s="288">
        <f t="shared" si="50"/>
        <v>14169684</v>
      </c>
      <c r="R23" s="288">
        <f t="shared" ref="R23:S23" si="52">R11</f>
        <v>14908297</v>
      </c>
      <c r="S23" s="288">
        <f t="shared" si="52"/>
        <v>16868112</v>
      </c>
      <c r="T23" s="288">
        <f t="shared" ref="T23:U23" si="53">T11</f>
        <v>18167251</v>
      </c>
      <c r="U23" s="288">
        <f t="shared" si="53"/>
        <v>18276426</v>
      </c>
      <c r="V23" s="289"/>
      <c r="W23" s="556">
        <f t="shared" si="33"/>
        <v>6.0094397330670013E-3</v>
      </c>
      <c r="X23" s="556">
        <f t="shared" si="34"/>
        <v>0.2898259410725037</v>
      </c>
    </row>
    <row r="24" spans="2:27" ht="13" customHeight="1">
      <c r="B24" s="95" t="str">
        <f>IF('Summary | Sumário'!D$6=Names!B$3,Names!Z25,Names!AA25)</f>
        <v>Net loans and advances to customers excluding non int. CC Receivables</v>
      </c>
      <c r="C24" s="289">
        <f>SUM(C25,-C26)</f>
        <v>4494985.3870000001</v>
      </c>
      <c r="D24" s="289">
        <f t="shared" ref="D24:P24" si="54">SUM(D25,-D26)</f>
        <v>6833272.8250000002</v>
      </c>
      <c r="E24" s="289">
        <f t="shared" si="54"/>
        <v>12413117</v>
      </c>
      <c r="F24" s="289">
        <f t="shared" si="54"/>
        <v>15968118</v>
      </c>
      <c r="G24" s="289">
        <f t="shared" ref="G24" si="55">SUM(G25,-G26)</f>
        <v>20410532.397</v>
      </c>
      <c r="H24" s="289">
        <f t="shared" si="54"/>
        <v>7813905</v>
      </c>
      <c r="I24" s="289">
        <f t="shared" si="54"/>
        <v>9390278</v>
      </c>
      <c r="J24" s="289">
        <f t="shared" si="54"/>
        <v>11020582</v>
      </c>
      <c r="K24" s="289">
        <f t="shared" si="54"/>
        <v>12413117</v>
      </c>
      <c r="L24" s="289">
        <f t="shared" si="54"/>
        <v>12895346</v>
      </c>
      <c r="M24" s="289">
        <f t="shared" si="54"/>
        <v>13613068</v>
      </c>
      <c r="N24" s="289">
        <f t="shared" si="54"/>
        <v>14718964</v>
      </c>
      <c r="O24" s="289">
        <f t="shared" si="54"/>
        <v>15968118</v>
      </c>
      <c r="P24" s="289">
        <f t="shared" si="54"/>
        <v>16690898.387827475</v>
      </c>
      <c r="Q24" s="289">
        <f t="shared" ref="Q24:R24" si="56">SUM(Q25,-Q26)</f>
        <v>17620021.767574593</v>
      </c>
      <c r="R24" s="289">
        <f t="shared" si="56"/>
        <v>18528686.954999998</v>
      </c>
      <c r="S24" s="289">
        <f t="shared" ref="S24:T24" si="57">SUM(S25,-S26)</f>
        <v>20410532.397</v>
      </c>
      <c r="T24" s="289">
        <f t="shared" si="57"/>
        <v>20891917.665410198</v>
      </c>
      <c r="U24" s="289">
        <f t="shared" ref="U24" si="58">SUM(U25,-U26)</f>
        <v>22562671.514820002</v>
      </c>
      <c r="V24" s="289"/>
      <c r="W24" s="564">
        <f t="shared" si="33"/>
        <v>7.9971301637666192E-2</v>
      </c>
      <c r="X24" s="564">
        <f t="shared" si="34"/>
        <v>0.28051325999728127</v>
      </c>
    </row>
    <row r="25" spans="2:27" ht="13" customHeight="1">
      <c r="B25" s="100" t="str">
        <f>IF('Summary | Sumário'!D$6=Names!B$3,Names!Z26,Names!AA26)</f>
        <v>Net loans and advances to customers</v>
      </c>
      <c r="C25" s="288">
        <f t="shared" ref="C25:Q25" si="59">C12</f>
        <v>4561824</v>
      </c>
      <c r="D25" s="288">
        <f t="shared" si="59"/>
        <v>8507703</v>
      </c>
      <c r="E25" s="288">
        <f t="shared" si="59"/>
        <v>16535430</v>
      </c>
      <c r="F25" s="288">
        <f t="shared" si="59"/>
        <v>21379916</v>
      </c>
      <c r="G25" s="288">
        <f t="shared" ref="G25" si="60">G12</f>
        <v>27900543</v>
      </c>
      <c r="H25" s="288">
        <f t="shared" si="59"/>
        <v>9908120</v>
      </c>
      <c r="I25" s="288">
        <f t="shared" si="59"/>
        <v>12040483</v>
      </c>
      <c r="J25" s="288">
        <f t="shared" si="59"/>
        <v>14301537</v>
      </c>
      <c r="K25" s="288">
        <f t="shared" si="59"/>
        <v>16535430</v>
      </c>
      <c r="L25" s="288">
        <f t="shared" si="59"/>
        <v>17374632</v>
      </c>
      <c r="M25" s="288">
        <f t="shared" si="59"/>
        <v>18510189</v>
      </c>
      <c r="N25" s="288">
        <f t="shared" si="59"/>
        <v>19820903</v>
      </c>
      <c r="O25" s="288">
        <f t="shared" si="59"/>
        <v>21379916</v>
      </c>
      <c r="P25" s="288">
        <f t="shared" si="59"/>
        <v>22371167</v>
      </c>
      <c r="Q25" s="288">
        <f t="shared" si="59"/>
        <v>23523982</v>
      </c>
      <c r="R25" s="288">
        <f t="shared" ref="R25:S25" si="61">R12</f>
        <v>25296620</v>
      </c>
      <c r="S25" s="288">
        <f t="shared" si="61"/>
        <v>27900543</v>
      </c>
      <c r="T25" s="288">
        <f t="shared" ref="T25:U25" si="62">T12</f>
        <v>28826998.881090201</v>
      </c>
      <c r="U25" s="288">
        <f t="shared" si="62"/>
        <v>30806640</v>
      </c>
      <c r="V25" s="289"/>
      <c r="W25" s="556">
        <f t="shared" si="33"/>
        <v>6.8673160431153901E-2</v>
      </c>
      <c r="X25" s="556">
        <f t="shared" si="34"/>
        <v>0.30958440624550732</v>
      </c>
    </row>
    <row r="26" spans="2:27" ht="13" customHeight="1">
      <c r="B26" s="96" t="str">
        <f>IF('Summary | Sumário'!D$6=Names!B$3,Names!Z27,Names!AA27)</f>
        <v>(-) Non int. CC receivables</v>
      </c>
      <c r="C26" s="289">
        <v>66838.612999999998</v>
      </c>
      <c r="D26" s="289">
        <v>1674430.175</v>
      </c>
      <c r="E26" s="289">
        <v>4122313</v>
      </c>
      <c r="F26" s="289">
        <v>5411798</v>
      </c>
      <c r="G26" s="289">
        <v>7490010.6029999992</v>
      </c>
      <c r="H26" s="289">
        <v>2094215</v>
      </c>
      <c r="I26" s="289">
        <v>2650205</v>
      </c>
      <c r="J26" s="289">
        <v>3280955</v>
      </c>
      <c r="K26" s="289">
        <v>4122313</v>
      </c>
      <c r="L26" s="289">
        <v>4479286</v>
      </c>
      <c r="M26" s="289">
        <v>4897121</v>
      </c>
      <c r="N26" s="289">
        <v>5101939</v>
      </c>
      <c r="O26" s="289">
        <v>5411798</v>
      </c>
      <c r="P26" s="289">
        <v>5680268.6121725254</v>
      </c>
      <c r="Q26" s="289">
        <v>5903960.2324254084</v>
      </c>
      <c r="R26" s="289">
        <v>6767933.0449999999</v>
      </c>
      <c r="S26" s="289">
        <v>7490010.6029999992</v>
      </c>
      <c r="T26" s="289">
        <v>7935081.2156800013</v>
      </c>
      <c r="U26" s="289">
        <v>8243968.4851799998</v>
      </c>
      <c r="V26" s="289"/>
      <c r="W26" s="564">
        <f t="shared" si="33"/>
        <v>3.8926793703084828E-2</v>
      </c>
      <c r="X26" s="564">
        <f t="shared" si="34"/>
        <v>0.39634553090363411</v>
      </c>
    </row>
    <row r="27" spans="2:27" ht="13" customHeight="1">
      <c r="B27" s="97" t="str">
        <f>IF('Summary | Sumário'!D$6=Names!B$3,Names!Z28,Names!AA28)</f>
        <v>Derivative financial assets</v>
      </c>
      <c r="C27" s="288">
        <f t="shared" ref="C27:Q27" si="63">C13</f>
        <v>0</v>
      </c>
      <c r="D27" s="288">
        <f t="shared" si="63"/>
        <v>27513</v>
      </c>
      <c r="E27" s="288">
        <f t="shared" si="63"/>
        <v>86948</v>
      </c>
      <c r="F27" s="288">
        <f t="shared" si="63"/>
        <v>0</v>
      </c>
      <c r="G27" s="288">
        <f t="shared" ref="G27" si="64">G13</f>
        <v>4238</v>
      </c>
      <c r="H27" s="288">
        <f t="shared" si="63"/>
        <v>18603</v>
      </c>
      <c r="I27" s="288">
        <f t="shared" si="63"/>
        <v>11684</v>
      </c>
      <c r="J27" s="288">
        <f t="shared" si="63"/>
        <v>7643</v>
      </c>
      <c r="K27" s="288">
        <f t="shared" si="63"/>
        <v>86948</v>
      </c>
      <c r="L27" s="288">
        <f t="shared" si="63"/>
        <v>10410</v>
      </c>
      <c r="M27" s="288">
        <f t="shared" si="63"/>
        <v>3212</v>
      </c>
      <c r="N27" s="288">
        <f t="shared" si="63"/>
        <v>581</v>
      </c>
      <c r="O27" s="288">
        <f t="shared" si="63"/>
        <v>0</v>
      </c>
      <c r="P27" s="288">
        <f t="shared" si="63"/>
        <v>1122</v>
      </c>
      <c r="Q27" s="288">
        <f t="shared" si="63"/>
        <v>3625</v>
      </c>
      <c r="R27" s="288">
        <f t="shared" ref="R27:S27" si="65">R13</f>
        <v>9388.5369900000005</v>
      </c>
      <c r="S27" s="288">
        <f t="shared" si="65"/>
        <v>4238</v>
      </c>
      <c r="T27" s="288">
        <f t="shared" ref="T27:U27" si="66">T13</f>
        <v>7392.1129600000004</v>
      </c>
      <c r="U27" s="288">
        <f t="shared" si="66"/>
        <v>7177.425780000005</v>
      </c>
      <c r="V27" s="289"/>
      <c r="W27" s="556">
        <f t="shared" si="33"/>
        <v>-2.9042735299325773E-2</v>
      </c>
      <c r="X27" s="556">
        <f t="shared" si="34"/>
        <v>0.97997952551724277</v>
      </c>
    </row>
    <row r="28" spans="2:27" ht="13" customHeight="1">
      <c r="B28" s="420" t="str">
        <f>IF('Summary | Sumário'!D$6=Names!B$3,Names!Z29,Names!AA29)</f>
        <v>(=) NIM 2.0 - IEP (%)</v>
      </c>
      <c r="C28" s="444">
        <f t="shared" ref="C28:Q28" si="67">C17/C20</f>
        <v>9.9142145718649363E-2</v>
      </c>
      <c r="D28" s="444">
        <f t="shared" si="67"/>
        <v>7.5040839606477505E-2</v>
      </c>
      <c r="E28" s="444">
        <f t="shared" si="67"/>
        <v>7.8520632436058474E-2</v>
      </c>
      <c r="F28" s="444">
        <f t="shared" si="67"/>
        <v>7.786690423211888E-2</v>
      </c>
      <c r="G28" s="444">
        <f>G17/G20</f>
        <v>8.7085282252440624E-2</v>
      </c>
      <c r="H28" s="444">
        <f t="shared" si="67"/>
        <v>8.2698905127656999E-2</v>
      </c>
      <c r="I28" s="444">
        <f t="shared" si="67"/>
        <v>7.2601624955520236E-2</v>
      </c>
      <c r="J28" s="444">
        <f t="shared" si="67"/>
        <v>8.1419665829301657E-2</v>
      </c>
      <c r="K28" s="444">
        <f t="shared" si="67"/>
        <v>8.2770428980190339E-2</v>
      </c>
      <c r="L28" s="444">
        <f t="shared" si="67"/>
        <v>7.9975031029914642E-2</v>
      </c>
      <c r="M28" s="444">
        <f t="shared" si="67"/>
        <v>8.1316997280889425E-2</v>
      </c>
      <c r="N28" s="444">
        <f t="shared" si="67"/>
        <v>7.4497874078582174E-2</v>
      </c>
      <c r="O28" s="444">
        <f t="shared" si="67"/>
        <v>8.4173192464300134E-2</v>
      </c>
      <c r="P28" s="444">
        <f t="shared" si="67"/>
        <v>8.6679395326141259E-2</v>
      </c>
      <c r="Q28" s="444">
        <f t="shared" si="67"/>
        <v>9.5275870614249816E-2</v>
      </c>
      <c r="R28" s="444">
        <f t="shared" ref="R28:S28" si="68">R17/R20</f>
        <v>9.1881395447457576E-2</v>
      </c>
      <c r="S28" s="444">
        <f t="shared" si="68"/>
        <v>8.9925313340997362E-2</v>
      </c>
      <c r="T28" s="444">
        <f t="shared" ref="T28:U28" si="69">T17/T20</f>
        <v>9.2313259386583371E-2</v>
      </c>
      <c r="U28" s="444">
        <f t="shared" si="69"/>
        <v>9.2300945548336719E-2</v>
      </c>
      <c r="V28" s="502"/>
      <c r="W28" s="569">
        <f t="shared" ref="W28" si="70">(U28-T28)*100</f>
        <v>-1.2313838246652553E-3</v>
      </c>
      <c r="X28" s="569">
        <f t="shared" ref="X28" si="71">(U28-Q28)*100</f>
        <v>-0.29749250659130977</v>
      </c>
      <c r="Z28" s="332"/>
      <c r="AA28" s="332"/>
    </row>
    <row r="29" spans="2:27" ht="13" customHeight="1">
      <c r="B29" s="475"/>
      <c r="C29" s="273"/>
      <c r="D29" s="273"/>
      <c r="E29" s="273"/>
      <c r="F29" s="273"/>
      <c r="G29" s="273"/>
      <c r="H29" s="273"/>
      <c r="I29" s="273"/>
      <c r="J29" s="273"/>
      <c r="K29" s="273"/>
      <c r="L29" s="273"/>
      <c r="M29" s="273"/>
      <c r="N29" s="273"/>
      <c r="O29" s="273"/>
      <c r="P29" s="273"/>
      <c r="Q29" s="273"/>
      <c r="R29" s="273"/>
      <c r="S29" s="273"/>
      <c r="T29" s="273"/>
      <c r="U29" s="273"/>
      <c r="W29" s="273"/>
      <c r="X29" s="273"/>
    </row>
    <row r="30" spans="2:27" ht="13" customHeight="1">
      <c r="B30" s="3" t="str">
        <f>IF('Summary | Sumário'!D$6=Names!B$3,Names!Z31,Names!AA31)</f>
        <v>Risk-Adjusted NIM 1.0 - IEP + non-interest credit card receivables</v>
      </c>
      <c r="C30" s="277"/>
      <c r="D30" s="277"/>
      <c r="E30" s="277"/>
      <c r="F30" s="277"/>
      <c r="G30" s="277"/>
      <c r="H30" s="277"/>
      <c r="I30" s="277"/>
      <c r="J30" s="277"/>
      <c r="K30" s="277"/>
      <c r="L30" s="277"/>
      <c r="M30" s="277"/>
      <c r="N30" s="277"/>
      <c r="O30" s="277"/>
      <c r="P30" s="277"/>
      <c r="Q30" s="277"/>
      <c r="R30" s="277"/>
      <c r="S30" s="277"/>
      <c r="T30" s="277"/>
      <c r="U30" s="277"/>
      <c r="V30" s="277"/>
      <c r="W30" s="277"/>
      <c r="X30" s="277"/>
    </row>
    <row r="31" spans="2:27" ht="13" customHeight="1">
      <c r="B31" s="422" t="str">
        <f>IF('Summary | Sumário'!D$6=Names!B$3,Names!Z32,Names!AA32)</f>
        <v>Annualized NII after impairment losses on financial assets</v>
      </c>
      <c r="C31" s="423">
        <f>C32</f>
        <v>446981</v>
      </c>
      <c r="D31" s="423">
        <f>D32</f>
        <v>502274.89517999999</v>
      </c>
      <c r="E31" s="423">
        <f t="shared" ref="E31:G31" si="72">E32</f>
        <v>993888.24599999981</v>
      </c>
      <c r="F31" s="423">
        <f t="shared" si="72"/>
        <v>1252192.0819999995</v>
      </c>
      <c r="G31" s="423">
        <f t="shared" si="72"/>
        <v>1666504</v>
      </c>
      <c r="H31" s="423">
        <f>H32*4</f>
        <v>739647.74</v>
      </c>
      <c r="I31" s="423">
        <f t="shared" ref="I31:U31" si="73">I32*4</f>
        <v>539419.00400000019</v>
      </c>
      <c r="J31" s="423">
        <f t="shared" si="73"/>
        <v>1237459.52</v>
      </c>
      <c r="K31" s="423">
        <f t="shared" si="73"/>
        <v>1459022.7199999997</v>
      </c>
      <c r="L31" s="423">
        <f t="shared" si="73"/>
        <v>921858.52799999993</v>
      </c>
      <c r="M31" s="423">
        <f t="shared" si="73"/>
        <v>1274494.5480000004</v>
      </c>
      <c r="N31" s="423">
        <f t="shared" si="73"/>
        <v>1169898.9240000001</v>
      </c>
      <c r="O31" s="423">
        <f t="shared" si="73"/>
        <v>1642516.3279999997</v>
      </c>
      <c r="P31" s="423">
        <f t="shared" si="73"/>
        <v>1443523.2880000002</v>
      </c>
      <c r="Q31" s="423">
        <f t="shared" si="73"/>
        <v>1614060</v>
      </c>
      <c r="R31" s="423">
        <f t="shared" si="73"/>
        <v>1642632.3549600001</v>
      </c>
      <c r="S31" s="423">
        <f t="shared" si="73"/>
        <v>1965804.3370399997</v>
      </c>
      <c r="T31" s="423">
        <f t="shared" si="73"/>
        <v>2238468.4387999997</v>
      </c>
      <c r="U31" s="423">
        <f t="shared" si="73"/>
        <v>2433681.3283354156</v>
      </c>
      <c r="V31" s="274"/>
      <c r="W31" s="538">
        <f t="shared" ref="W31:W40" si="74">U31/T31-1</f>
        <v>8.7208238522257675E-2</v>
      </c>
      <c r="X31" s="538">
        <f t="shared" ref="X31:X40" si="75">U31/Q31-1</f>
        <v>0.5078010286701955</v>
      </c>
    </row>
    <row r="32" spans="2:27" ht="13" customHeight="1">
      <c r="B32" s="84" t="str">
        <f>IF('Summary | Sumário'!D$6=Names!B$3,Names!Z33,Names!AA33)</f>
        <v>NII after impairment losses on financial assets</v>
      </c>
      <c r="C32" s="274">
        <f>C33+C34</f>
        <v>446981</v>
      </c>
      <c r="D32" s="274">
        <f t="shared" ref="D32:S32" si="76">D33+D34</f>
        <v>502274.89517999999</v>
      </c>
      <c r="E32" s="274">
        <f t="shared" si="76"/>
        <v>993888.24599999981</v>
      </c>
      <c r="F32" s="274">
        <f t="shared" si="76"/>
        <v>1252192.0819999995</v>
      </c>
      <c r="G32" s="274">
        <f t="shared" si="76"/>
        <v>1666504</v>
      </c>
      <c r="H32" s="274">
        <f t="shared" si="76"/>
        <v>184911.935</v>
      </c>
      <c r="I32" s="274">
        <f t="shared" si="76"/>
        <v>134854.75100000005</v>
      </c>
      <c r="J32" s="274">
        <f t="shared" si="76"/>
        <v>309364.88</v>
      </c>
      <c r="K32" s="274">
        <f t="shared" si="76"/>
        <v>364755.67999999993</v>
      </c>
      <c r="L32" s="274">
        <f t="shared" si="76"/>
        <v>230464.63199999998</v>
      </c>
      <c r="M32" s="274">
        <f t="shared" si="76"/>
        <v>318623.6370000001</v>
      </c>
      <c r="N32" s="274">
        <f t="shared" si="76"/>
        <v>292474.73100000003</v>
      </c>
      <c r="O32" s="274">
        <f t="shared" si="76"/>
        <v>410629.08199999994</v>
      </c>
      <c r="P32" s="274">
        <f t="shared" si="76"/>
        <v>360880.82200000004</v>
      </c>
      <c r="Q32" s="274">
        <f t="shared" si="76"/>
        <v>403515</v>
      </c>
      <c r="R32" s="274">
        <f t="shared" si="76"/>
        <v>410658.08874000004</v>
      </c>
      <c r="S32" s="274">
        <f t="shared" si="76"/>
        <v>491451.08425999992</v>
      </c>
      <c r="T32" s="274">
        <f t="shared" ref="T32:U32" si="77">T33+T34</f>
        <v>559617.10969999991</v>
      </c>
      <c r="U32" s="274">
        <f t="shared" si="77"/>
        <v>608420.33208385389</v>
      </c>
      <c r="V32" s="274"/>
      <c r="W32" s="539">
        <f t="shared" si="74"/>
        <v>8.7208238522257675E-2</v>
      </c>
      <c r="X32" s="539">
        <f t="shared" si="75"/>
        <v>0.5078010286701955</v>
      </c>
    </row>
    <row r="33" spans="2:24" ht="13" customHeight="1">
      <c r="B33" s="476" t="str">
        <f>IF('Summary | Sumário'!D$6=Names!B$3,Names!Z6,Names!AA6)</f>
        <v>Net interest income</v>
      </c>
      <c r="C33" s="288">
        <v>585551</v>
      </c>
      <c r="D33" s="288">
        <v>715962.89517999999</v>
      </c>
      <c r="E33" s="288">
        <v>1589469.2459999998</v>
      </c>
      <c r="F33" s="288">
        <v>2335429.0819999995</v>
      </c>
      <c r="G33" s="288">
        <v>3208088</v>
      </c>
      <c r="H33" s="288">
        <v>291580.935</v>
      </c>
      <c r="I33" s="288">
        <v>302295.75100000005</v>
      </c>
      <c r="J33" s="288">
        <v>447369.88</v>
      </c>
      <c r="K33" s="288">
        <v>548221.67999999993</v>
      </c>
      <c r="L33" s="288">
        <v>543410.63199999998</v>
      </c>
      <c r="M33" s="288">
        <v>561087.6370000001</v>
      </c>
      <c r="N33" s="288">
        <v>555587.73100000003</v>
      </c>
      <c r="O33" s="288">
        <v>675343.08199999994</v>
      </c>
      <c r="P33" s="288">
        <v>711561.82200000004</v>
      </c>
      <c r="Q33" s="288">
        <v>802075</v>
      </c>
      <c r="R33" s="288">
        <v>818557.08874000004</v>
      </c>
      <c r="S33" s="288">
        <v>875895.08425999992</v>
      </c>
      <c r="T33" s="288">
        <v>970665.10969999991</v>
      </c>
      <c r="U33" s="288">
        <v>1029668.3320838539</v>
      </c>
      <c r="V33" s="289"/>
      <c r="W33" s="556">
        <f t="shared" si="74"/>
        <v>6.0786384298998852E-2</v>
      </c>
      <c r="X33" s="556">
        <f t="shared" si="75"/>
        <v>0.28375567382583156</v>
      </c>
    </row>
    <row r="34" spans="2:24" ht="13" customHeight="1">
      <c r="B34" s="92" t="str">
        <f>IF('Summary | Sumário'!D$6=Names!B$3,Names!Z34,Names!AA34)</f>
        <v>Impairment losses on financial assets</v>
      </c>
      <c r="C34" s="289">
        <v>-138570</v>
      </c>
      <c r="D34" s="289">
        <v>-213688</v>
      </c>
      <c r="E34" s="289">
        <v>-595581</v>
      </c>
      <c r="F34" s="289">
        <v>-1083237</v>
      </c>
      <c r="G34" s="289">
        <v>-1541584</v>
      </c>
      <c r="H34" s="289">
        <v>-106669</v>
      </c>
      <c r="I34" s="289">
        <v>-167441</v>
      </c>
      <c r="J34" s="289">
        <v>-138005</v>
      </c>
      <c r="K34" s="289">
        <v>-183466</v>
      </c>
      <c r="L34" s="289">
        <v>-312946</v>
      </c>
      <c r="M34" s="289">
        <v>-242464</v>
      </c>
      <c r="N34" s="289">
        <v>-263113</v>
      </c>
      <c r="O34" s="289">
        <v>-264714</v>
      </c>
      <c r="P34" s="289">
        <v>-350681</v>
      </c>
      <c r="Q34" s="289">
        <v>-398560</v>
      </c>
      <c r="R34" s="289">
        <v>-407899</v>
      </c>
      <c r="S34" s="289">
        <v>-384444</v>
      </c>
      <c r="T34" s="289">
        <v>-411048</v>
      </c>
      <c r="U34" s="289">
        <v>-421248</v>
      </c>
      <c r="V34" s="289"/>
      <c r="W34" s="564">
        <f t="shared" si="74"/>
        <v>2.4814620190342751E-2</v>
      </c>
      <c r="X34" s="564">
        <f t="shared" si="75"/>
        <v>5.6924929747089514E-2</v>
      </c>
    </row>
    <row r="35" spans="2:24" ht="13" customHeight="1">
      <c r="B35" s="99" t="str">
        <f>IF('Summary | Sumário'!D$6=Names!B$3,Names!Z8,Names!AA8)</f>
        <v>(÷) Avg of the last two periods of IEP + non-interest credit card receivables</v>
      </c>
      <c r="C35" s="288">
        <f>C36</f>
        <v>5973015</v>
      </c>
      <c r="D35" s="288">
        <f>(D36+C36)/2</f>
        <v>10411611</v>
      </c>
      <c r="E35" s="288">
        <f t="shared" ref="E35" si="78">(E36+D36)/2</f>
        <v>23141067</v>
      </c>
      <c r="F35" s="288">
        <f t="shared" ref="F35" si="79">(F36+E36)/2</f>
        <v>34759632</v>
      </c>
      <c r="G35" s="288">
        <f t="shared" ref="G35" si="80">(G36+F36)/2</f>
        <v>43289367.897454999</v>
      </c>
      <c r="H35" s="288">
        <f>AVERAGE(H36,D36)</f>
        <v>15987577.5</v>
      </c>
      <c r="I35" s="288">
        <f>AVERAGE(I36,H36)</f>
        <v>19027250.5</v>
      </c>
      <c r="J35" s="288">
        <f t="shared" ref="J35" si="81">AVERAGE(J36,I36)</f>
        <v>24944048</v>
      </c>
      <c r="K35" s="288">
        <f t="shared" ref="K35" si="82">AVERAGE(K36,J36)</f>
        <v>30195235</v>
      </c>
      <c r="L35" s="288">
        <f t="shared" ref="L35" si="83">AVERAGE(L36,K36)</f>
        <v>31479814</v>
      </c>
      <c r="M35" s="288">
        <f t="shared" ref="M35" si="84">AVERAGE(M36,L36)</f>
        <v>32288221</v>
      </c>
      <c r="N35" s="288">
        <f t="shared" ref="N35" si="85">AVERAGE(N36,M36)</f>
        <v>34830595</v>
      </c>
      <c r="O35" s="288">
        <f t="shared" ref="O35" si="86">AVERAGE(O36,N36)</f>
        <v>37349893</v>
      </c>
      <c r="P35" s="288">
        <f t="shared" ref="P35" si="87">AVERAGE(P36,O36)</f>
        <v>38382525.5</v>
      </c>
      <c r="Q35" s="288">
        <f t="shared" ref="Q35" si="88">AVERAGE(Q36,P36)</f>
        <v>39465908</v>
      </c>
      <c r="R35" s="288">
        <f t="shared" ref="R35" si="89">AVERAGE(R36,Q36)</f>
        <v>41971325.694665</v>
      </c>
      <c r="S35" s="288">
        <f t="shared" ref="S35:U35" si="90">AVERAGE(S36,R36)</f>
        <v>46089974.092119999</v>
      </c>
      <c r="T35" s="288">
        <f t="shared" si="90"/>
        <v>49772164.046540096</v>
      </c>
      <c r="U35" s="288">
        <f t="shared" si="90"/>
        <v>52711747.340865105</v>
      </c>
      <c r="V35" s="289"/>
      <c r="W35" s="556">
        <f t="shared" si="74"/>
        <v>5.9060789311397244E-2</v>
      </c>
      <c r="X35" s="556">
        <f t="shared" si="75"/>
        <v>0.3356273810009669</v>
      </c>
    </row>
    <row r="36" spans="2:24" ht="13" customHeight="1">
      <c r="B36" s="94" t="str">
        <f>IF('Summary | Sumário'!D$6=Names!B$3,Names!Z9,Names!AA9)</f>
        <v>IEP + non-interest credit card receivables</v>
      </c>
      <c r="C36" s="291">
        <f>SUM(C37:C40)</f>
        <v>5973015</v>
      </c>
      <c r="D36" s="291">
        <f>SUM(D37:D40)</f>
        <v>14850207</v>
      </c>
      <c r="E36" s="291">
        <f t="shared" ref="E36:S36" si="91">SUM(E37:E40)</f>
        <v>31431927</v>
      </c>
      <c r="F36" s="291">
        <f t="shared" si="91"/>
        <v>38087337</v>
      </c>
      <c r="G36" s="291">
        <f t="shared" si="91"/>
        <v>48491398.794909999</v>
      </c>
      <c r="H36" s="291">
        <f t="shared" si="91"/>
        <v>17124948</v>
      </c>
      <c r="I36" s="291">
        <f t="shared" si="91"/>
        <v>20929553</v>
      </c>
      <c r="J36" s="291">
        <f t="shared" si="91"/>
        <v>28958543</v>
      </c>
      <c r="K36" s="291">
        <f t="shared" si="91"/>
        <v>31431927</v>
      </c>
      <c r="L36" s="291">
        <f t="shared" si="91"/>
        <v>31527701</v>
      </c>
      <c r="M36" s="291">
        <f t="shared" si="91"/>
        <v>33048741</v>
      </c>
      <c r="N36" s="291">
        <f t="shared" si="91"/>
        <v>36612449</v>
      </c>
      <c r="O36" s="291">
        <f t="shared" si="91"/>
        <v>38087337</v>
      </c>
      <c r="P36" s="291">
        <f t="shared" si="91"/>
        <v>38677714</v>
      </c>
      <c r="Q36" s="291">
        <f t="shared" si="91"/>
        <v>40254102</v>
      </c>
      <c r="R36" s="291">
        <f t="shared" si="91"/>
        <v>43688549.38933</v>
      </c>
      <c r="S36" s="291">
        <f t="shared" si="91"/>
        <v>48491398.794909999</v>
      </c>
      <c r="T36" s="291">
        <f t="shared" ref="T36:U36" si="92">SUM(T37:T40)</f>
        <v>51052929.298170201</v>
      </c>
      <c r="U36" s="291">
        <f t="shared" si="92"/>
        <v>54370565.383560002</v>
      </c>
      <c r="V36" s="291"/>
      <c r="W36" s="468">
        <f t="shared" si="74"/>
        <v>6.4984245389984041E-2</v>
      </c>
      <c r="X36" s="468">
        <f t="shared" si="75"/>
        <v>0.35068384791095331</v>
      </c>
    </row>
    <row r="37" spans="2:24" ht="13" customHeight="1">
      <c r="B37" s="97" t="str">
        <f>IF('Summary | Sumário'!D$6=Names!B$3,Names!Z10,Names!AA10)</f>
        <v>Amounts due from financial institutions</v>
      </c>
      <c r="C37" s="290">
        <v>256097</v>
      </c>
      <c r="D37" s="290">
        <v>502369</v>
      </c>
      <c r="E37" s="290">
        <v>2051862</v>
      </c>
      <c r="F37" s="290">
        <v>4258856</v>
      </c>
      <c r="G37" s="290">
        <v>3718505.7949100002</v>
      </c>
      <c r="H37" s="290">
        <v>578499</v>
      </c>
      <c r="I37" s="290">
        <v>646905</v>
      </c>
      <c r="J37" s="290">
        <v>1408183</v>
      </c>
      <c r="K37" s="290">
        <v>2051862</v>
      </c>
      <c r="L37" s="290">
        <v>1807258</v>
      </c>
      <c r="M37" s="290">
        <v>1825289</v>
      </c>
      <c r="N37" s="290">
        <v>3417500</v>
      </c>
      <c r="O37" s="290">
        <v>4258856</v>
      </c>
      <c r="P37" s="290">
        <v>3770074</v>
      </c>
      <c r="Q37" s="290">
        <v>2556811</v>
      </c>
      <c r="R37" s="290">
        <v>3474243.8523399998</v>
      </c>
      <c r="S37" s="290">
        <v>3718505.7949100002</v>
      </c>
      <c r="T37" s="290">
        <v>4051287.3041199995</v>
      </c>
      <c r="U37" s="290">
        <v>5280321.9577800008</v>
      </c>
      <c r="V37" s="291"/>
      <c r="W37" s="565">
        <f t="shared" si="74"/>
        <v>0.30336891990111914</v>
      </c>
      <c r="X37" s="565">
        <f t="shared" si="75"/>
        <v>1.0651983888445415</v>
      </c>
    </row>
    <row r="38" spans="2:24" ht="13" customHeight="1">
      <c r="B38" s="92" t="str">
        <f>IF('Summary | Sumário'!D$6=Names!B$3,Names!Z11,Names!AA11)</f>
        <v>Securities</v>
      </c>
      <c r="C38" s="291">
        <v>1155094</v>
      </c>
      <c r="D38" s="291">
        <v>5812622</v>
      </c>
      <c r="E38" s="291">
        <v>12757687</v>
      </c>
      <c r="F38" s="291">
        <v>12448565</v>
      </c>
      <c r="G38" s="291">
        <v>16868112</v>
      </c>
      <c r="H38" s="291">
        <v>6619726</v>
      </c>
      <c r="I38" s="291">
        <v>8230481</v>
      </c>
      <c r="J38" s="291">
        <v>13241180</v>
      </c>
      <c r="K38" s="291">
        <v>12757687</v>
      </c>
      <c r="L38" s="291">
        <v>12335401</v>
      </c>
      <c r="M38" s="291">
        <v>12710051</v>
      </c>
      <c r="N38" s="291">
        <v>13373465</v>
      </c>
      <c r="O38" s="291">
        <v>12448565</v>
      </c>
      <c r="P38" s="291">
        <v>12535351</v>
      </c>
      <c r="Q38" s="291">
        <v>14169684</v>
      </c>
      <c r="R38" s="291">
        <v>14908297</v>
      </c>
      <c r="S38" s="291">
        <v>16868112</v>
      </c>
      <c r="T38" s="291">
        <v>18167251</v>
      </c>
      <c r="U38" s="291">
        <v>18276426</v>
      </c>
      <c r="V38" s="291"/>
      <c r="W38" s="468">
        <f t="shared" si="74"/>
        <v>6.0094397330670013E-3</v>
      </c>
      <c r="X38" s="468">
        <f t="shared" si="75"/>
        <v>0.2898259410725037</v>
      </c>
    </row>
    <row r="39" spans="2:24" ht="13" customHeight="1">
      <c r="B39" s="97" t="str">
        <f>IF('Summary | Sumário'!D$6=Names!B$3,Names!Z12,Names!AA12)</f>
        <v>Net loans and advances to customers</v>
      </c>
      <c r="C39" s="290">
        <v>4561824</v>
      </c>
      <c r="D39" s="290">
        <v>8507703</v>
      </c>
      <c r="E39" s="290">
        <v>16535430</v>
      </c>
      <c r="F39" s="290">
        <v>21379916</v>
      </c>
      <c r="G39" s="290">
        <v>27900543</v>
      </c>
      <c r="H39" s="290">
        <v>9908120</v>
      </c>
      <c r="I39" s="290">
        <v>12040483</v>
      </c>
      <c r="J39" s="290">
        <v>14301537</v>
      </c>
      <c r="K39" s="290">
        <v>16535430</v>
      </c>
      <c r="L39" s="290">
        <v>17374632</v>
      </c>
      <c r="M39" s="290">
        <v>18510189</v>
      </c>
      <c r="N39" s="290">
        <v>19820903</v>
      </c>
      <c r="O39" s="290">
        <v>21379916</v>
      </c>
      <c r="P39" s="290">
        <v>22371167</v>
      </c>
      <c r="Q39" s="290">
        <v>23523982</v>
      </c>
      <c r="R39" s="290">
        <v>25296620</v>
      </c>
      <c r="S39" s="290">
        <v>27900543</v>
      </c>
      <c r="T39" s="290">
        <v>28826998.881090201</v>
      </c>
      <c r="U39" s="290">
        <v>30806640</v>
      </c>
      <c r="V39" s="291"/>
      <c r="W39" s="565">
        <f t="shared" si="74"/>
        <v>6.8673160431153901E-2</v>
      </c>
      <c r="X39" s="565">
        <f t="shared" si="75"/>
        <v>0.30958440624550732</v>
      </c>
    </row>
    <row r="40" spans="2:24" ht="13" customHeight="1">
      <c r="B40" s="92" t="str">
        <f>IF('Summary | Sumário'!D$6=Names!B$3,Names!Z13,Names!AA13)</f>
        <v>Derivative financial assets</v>
      </c>
      <c r="C40" s="291">
        <v>0</v>
      </c>
      <c r="D40" s="291">
        <v>27513</v>
      </c>
      <c r="E40" s="291">
        <v>86948</v>
      </c>
      <c r="F40" s="291">
        <v>0</v>
      </c>
      <c r="G40" s="291">
        <v>4238</v>
      </c>
      <c r="H40" s="291">
        <v>18603</v>
      </c>
      <c r="I40" s="291">
        <v>11684</v>
      </c>
      <c r="J40" s="291">
        <v>7643</v>
      </c>
      <c r="K40" s="291">
        <v>86948</v>
      </c>
      <c r="L40" s="291">
        <v>10410</v>
      </c>
      <c r="M40" s="291">
        <v>3212</v>
      </c>
      <c r="N40" s="291">
        <v>581</v>
      </c>
      <c r="O40" s="291">
        <v>0</v>
      </c>
      <c r="P40" s="291">
        <v>1122</v>
      </c>
      <c r="Q40" s="291">
        <v>3625</v>
      </c>
      <c r="R40" s="291">
        <v>9388.5369900000005</v>
      </c>
      <c r="S40" s="291">
        <v>4238</v>
      </c>
      <c r="T40" s="291">
        <v>7392.1129600000004</v>
      </c>
      <c r="U40" s="291">
        <v>7177.425780000005</v>
      </c>
      <c r="V40" s="291"/>
      <c r="W40" s="468">
        <f t="shared" si="74"/>
        <v>-2.9042735299325773E-2</v>
      </c>
      <c r="X40" s="468">
        <f t="shared" si="75"/>
        <v>0.97997952551724277</v>
      </c>
    </row>
    <row r="41" spans="2:24" ht="13" customHeight="1">
      <c r="B41" s="419" t="str">
        <f>IF('Summary | Sumário'!D$6=Names!B$3,Names!Z35,Names!AA35)</f>
        <v>(=) Risk-Adjusted NIM 1.0 - IEP + non-interest credit card receivables (%)</v>
      </c>
      <c r="C41" s="477">
        <f t="shared" ref="C41:S41" si="93">C31/C35</f>
        <v>7.4833396534246102E-2</v>
      </c>
      <c r="D41" s="477">
        <f t="shared" si="93"/>
        <v>4.8241803807307054E-2</v>
      </c>
      <c r="E41" s="477">
        <f t="shared" si="93"/>
        <v>4.2949110600647752E-2</v>
      </c>
      <c r="F41" s="477">
        <f t="shared" si="93"/>
        <v>3.6024319302344725E-2</v>
      </c>
      <c r="G41" s="477">
        <f t="shared" si="93"/>
        <v>3.8496843011144415E-2</v>
      </c>
      <c r="H41" s="477">
        <f t="shared" si="93"/>
        <v>4.6263903333697676E-2</v>
      </c>
      <c r="I41" s="477">
        <f t="shared" si="93"/>
        <v>2.8349813547679955E-2</v>
      </c>
      <c r="J41" s="477">
        <f t="shared" si="93"/>
        <v>4.9609410629742216E-2</v>
      </c>
      <c r="K41" s="477">
        <f t="shared" si="93"/>
        <v>4.831963453836341E-2</v>
      </c>
      <c r="L41" s="477">
        <f t="shared" si="93"/>
        <v>2.9284116100558914E-2</v>
      </c>
      <c r="M41" s="477">
        <f t="shared" si="93"/>
        <v>3.9472430147204467E-2</v>
      </c>
      <c r="N41" s="477">
        <f t="shared" si="93"/>
        <v>3.3588255497788655E-2</v>
      </c>
      <c r="O41" s="477">
        <f t="shared" si="93"/>
        <v>4.3976466759891378E-2</v>
      </c>
      <c r="P41" s="477">
        <f t="shared" si="93"/>
        <v>3.7608866774543018E-2</v>
      </c>
      <c r="Q41" s="477">
        <f t="shared" si="93"/>
        <v>4.0897576713552368E-2</v>
      </c>
      <c r="R41" s="477">
        <f t="shared" si="93"/>
        <v>3.9137013848690422E-2</v>
      </c>
      <c r="S41" s="477">
        <f t="shared" si="93"/>
        <v>4.2651452420236727E-2</v>
      </c>
      <c r="T41" s="477">
        <f t="shared" ref="T41:U41" si="94">T31/T35</f>
        <v>4.4974304044865139E-2</v>
      </c>
      <c r="U41" s="477">
        <f t="shared" si="94"/>
        <v>4.6169619697821879E-2</v>
      </c>
      <c r="V41" s="502"/>
      <c r="W41" s="570">
        <f t="shared" ref="W41" si="95">(U41-T41)*100</f>
        <v>0.11953156529567396</v>
      </c>
      <c r="X41" s="570">
        <f t="shared" ref="X41" si="96">(U41-Q41)*100</f>
        <v>0.52720429842695105</v>
      </c>
    </row>
    <row r="43" spans="2:24" ht="13" customHeight="1">
      <c r="B43" s="24" t="str">
        <f>IF('Summary | Sumário'!D$6=Names!B$3,Names!Z36,Names!AA36)</f>
        <v>Risk Adjusted NIM 2.0 - IEP</v>
      </c>
      <c r="C43" s="478"/>
      <c r="D43" s="478"/>
      <c r="E43" s="478"/>
      <c r="F43" s="478"/>
      <c r="G43" s="478"/>
      <c r="H43" s="478"/>
      <c r="I43" s="478"/>
      <c r="J43" s="478"/>
      <c r="K43" s="478"/>
      <c r="L43" s="478"/>
      <c r="M43" s="478"/>
      <c r="N43" s="478"/>
      <c r="O43" s="478"/>
      <c r="P43" s="478"/>
      <c r="Q43" s="478"/>
      <c r="R43" s="478"/>
      <c r="S43" s="478"/>
      <c r="T43" s="478"/>
      <c r="U43" s="478"/>
      <c r="V43" s="277"/>
      <c r="W43" s="478"/>
      <c r="X43" s="478"/>
    </row>
    <row r="44" spans="2:24" ht="13" customHeight="1">
      <c r="B44" s="425" t="str">
        <f>IF('Summary | Sumário'!D$6=Names!B$3,Names!Z32,Names!AA32)</f>
        <v>Annualized NII after impairment losses on financial assets</v>
      </c>
      <c r="C44" s="426">
        <f>C45</f>
        <v>446981</v>
      </c>
      <c r="D44" s="426">
        <f>D45</f>
        <v>502274.89517999999</v>
      </c>
      <c r="E44" s="426">
        <f t="shared" ref="E44:G44" si="97">E45</f>
        <v>993888.24599999981</v>
      </c>
      <c r="F44" s="426">
        <f t="shared" si="97"/>
        <v>1252192.0819999995</v>
      </c>
      <c r="G44" s="426">
        <f t="shared" si="97"/>
        <v>1666504</v>
      </c>
      <c r="H44" s="426">
        <f>H45*4</f>
        <v>739647.74</v>
      </c>
      <c r="I44" s="426">
        <f t="shared" ref="I44:U44" si="98">I45*4</f>
        <v>539419.00400000019</v>
      </c>
      <c r="J44" s="426">
        <f t="shared" si="98"/>
        <v>1237459.52</v>
      </c>
      <c r="K44" s="426">
        <f t="shared" si="98"/>
        <v>1459022.7199999997</v>
      </c>
      <c r="L44" s="426">
        <f t="shared" si="98"/>
        <v>921858.52799999993</v>
      </c>
      <c r="M44" s="426">
        <f t="shared" si="98"/>
        <v>1274494.5480000004</v>
      </c>
      <c r="N44" s="426">
        <f t="shared" si="98"/>
        <v>1169898.9240000001</v>
      </c>
      <c r="O44" s="426">
        <f t="shared" si="98"/>
        <v>1642516.3279999997</v>
      </c>
      <c r="P44" s="426">
        <f t="shared" si="98"/>
        <v>1443523.2880000002</v>
      </c>
      <c r="Q44" s="426">
        <f t="shared" si="98"/>
        <v>1614060</v>
      </c>
      <c r="R44" s="426">
        <f t="shared" si="98"/>
        <v>1642632.3549600001</v>
      </c>
      <c r="S44" s="426">
        <f t="shared" si="98"/>
        <v>1965804.3370399997</v>
      </c>
      <c r="T44" s="426">
        <f t="shared" si="98"/>
        <v>2238468.4387999997</v>
      </c>
      <c r="U44" s="426">
        <f t="shared" si="98"/>
        <v>2433681.3283354156</v>
      </c>
      <c r="V44" s="274"/>
      <c r="W44" s="538">
        <f t="shared" ref="W44:W54" si="99">U44/T44-1</f>
        <v>8.7208238522257675E-2</v>
      </c>
      <c r="X44" s="538">
        <f t="shared" ref="X44:X54" si="100">U44/Q44-1</f>
        <v>0.5078010286701955</v>
      </c>
    </row>
    <row r="45" spans="2:24" ht="13" customHeight="1">
      <c r="B45" s="89" t="str">
        <f>IF('Summary | Sumário'!D$6=Names!B$3,Names!Z33,Names!AA33)</f>
        <v>NII after impairment losses on financial assets</v>
      </c>
      <c r="C45" s="274">
        <f>C46+C47</f>
        <v>446981</v>
      </c>
      <c r="D45" s="274">
        <f t="shared" ref="D45" si="101">D46+D47</f>
        <v>502274.89517999999</v>
      </c>
      <c r="E45" s="274">
        <f t="shared" ref="E45" si="102">E46+E47</f>
        <v>993888.24599999981</v>
      </c>
      <c r="F45" s="282">
        <f t="shared" ref="F45" si="103">F46+F47</f>
        <v>1252192.0819999995</v>
      </c>
      <c r="G45" s="282">
        <f t="shared" ref="G45" si="104">G46+G47</f>
        <v>1666504</v>
      </c>
      <c r="H45" s="282">
        <f t="shared" ref="H45" si="105">H46+H47</f>
        <v>184911.935</v>
      </c>
      <c r="I45" s="282">
        <f t="shared" ref="I45" si="106">I46+I47</f>
        <v>134854.75100000005</v>
      </c>
      <c r="J45" s="282">
        <f t="shared" ref="J45" si="107">J46+J47</f>
        <v>309364.88</v>
      </c>
      <c r="K45" s="282">
        <f t="shared" ref="K45" si="108">K46+K47</f>
        <v>364755.67999999993</v>
      </c>
      <c r="L45" s="282">
        <f t="shared" ref="L45" si="109">L46+L47</f>
        <v>230464.63199999998</v>
      </c>
      <c r="M45" s="282">
        <f t="shared" ref="M45" si="110">M46+M47</f>
        <v>318623.6370000001</v>
      </c>
      <c r="N45" s="282">
        <f t="shared" ref="N45" si="111">N46+N47</f>
        <v>292474.73100000003</v>
      </c>
      <c r="O45" s="282">
        <f t="shared" ref="O45" si="112">O46+O47</f>
        <v>410629.08199999994</v>
      </c>
      <c r="P45" s="282">
        <f t="shared" ref="P45" si="113">P46+P47</f>
        <v>360880.82200000004</v>
      </c>
      <c r="Q45" s="282">
        <f t="shared" ref="Q45" si="114">Q46+Q47</f>
        <v>403515</v>
      </c>
      <c r="R45" s="282">
        <f t="shared" ref="R45" si="115">R46+R47</f>
        <v>410658.08874000004</v>
      </c>
      <c r="S45" s="282">
        <f t="shared" ref="S45:T45" si="116">S46+S47</f>
        <v>491451.08425999992</v>
      </c>
      <c r="T45" s="282">
        <f t="shared" si="116"/>
        <v>559617.10969999991</v>
      </c>
      <c r="U45" s="282">
        <f t="shared" ref="U45" si="117">U46+U47</f>
        <v>608420.33208385389</v>
      </c>
      <c r="V45" s="274"/>
      <c r="W45" s="568">
        <f t="shared" si="99"/>
        <v>8.7208238522257675E-2</v>
      </c>
      <c r="X45" s="568">
        <f t="shared" si="100"/>
        <v>0.5078010286701955</v>
      </c>
    </row>
    <row r="46" spans="2:24" ht="13" customHeight="1">
      <c r="B46" s="92" t="str">
        <f>IF('Summary | Sumário'!D$6=Names!B$3,Names!Z6,Names!AA6)</f>
        <v>Net interest income</v>
      </c>
      <c r="C46" s="289">
        <v>585551</v>
      </c>
      <c r="D46" s="289">
        <v>715962.89517999999</v>
      </c>
      <c r="E46" s="289">
        <v>1589469.2459999998</v>
      </c>
      <c r="F46" s="289">
        <v>2335429.0819999995</v>
      </c>
      <c r="G46" s="289">
        <v>3208088</v>
      </c>
      <c r="H46" s="289">
        <v>291580.935</v>
      </c>
      <c r="I46" s="289">
        <v>302295.75100000005</v>
      </c>
      <c r="J46" s="289">
        <v>447369.88</v>
      </c>
      <c r="K46" s="289">
        <v>548221.67999999993</v>
      </c>
      <c r="L46" s="289">
        <v>543410.63199999998</v>
      </c>
      <c r="M46" s="289">
        <v>561087.6370000001</v>
      </c>
      <c r="N46" s="289">
        <v>555587.73100000003</v>
      </c>
      <c r="O46" s="289">
        <v>675343.08199999994</v>
      </c>
      <c r="P46" s="289">
        <v>711561.82200000004</v>
      </c>
      <c r="Q46" s="289">
        <v>802075</v>
      </c>
      <c r="R46" s="289">
        <v>818557.08874000004</v>
      </c>
      <c r="S46" s="289">
        <v>875895.08425999992</v>
      </c>
      <c r="T46" s="289">
        <v>970665.10969999991</v>
      </c>
      <c r="U46" s="289">
        <v>1029668.3320838539</v>
      </c>
      <c r="V46" s="289"/>
      <c r="W46" s="564">
        <f t="shared" si="99"/>
        <v>6.0786384298998852E-2</v>
      </c>
      <c r="X46" s="564">
        <f t="shared" si="100"/>
        <v>0.28375567382583156</v>
      </c>
    </row>
    <row r="47" spans="2:24" ht="13" customHeight="1">
      <c r="B47" s="97" t="str">
        <f>IF('Summary | Sumário'!D$6=Names!B$3,Names!Z34,Names!AA34)</f>
        <v>Impairment losses on financial assets</v>
      </c>
      <c r="C47" s="289">
        <v>-138570</v>
      </c>
      <c r="D47" s="289">
        <v>-213688</v>
      </c>
      <c r="E47" s="289">
        <v>-595581</v>
      </c>
      <c r="F47" s="566">
        <v>-1083237</v>
      </c>
      <c r="G47" s="566">
        <v>-1541584</v>
      </c>
      <c r="H47" s="566">
        <v>-106669</v>
      </c>
      <c r="I47" s="566">
        <v>-167441</v>
      </c>
      <c r="J47" s="566">
        <v>-138005</v>
      </c>
      <c r="K47" s="566">
        <v>-183466</v>
      </c>
      <c r="L47" s="566">
        <v>-312946</v>
      </c>
      <c r="M47" s="566">
        <v>-242464</v>
      </c>
      <c r="N47" s="566">
        <v>-263113</v>
      </c>
      <c r="O47" s="566">
        <v>-264714</v>
      </c>
      <c r="P47" s="566">
        <v>-350681</v>
      </c>
      <c r="Q47" s="566">
        <v>-398560</v>
      </c>
      <c r="R47" s="566">
        <v>-407899</v>
      </c>
      <c r="S47" s="566">
        <v>-384444</v>
      </c>
      <c r="T47" s="566">
        <v>-411048</v>
      </c>
      <c r="U47" s="566">
        <v>-421248</v>
      </c>
      <c r="V47" s="289"/>
      <c r="W47" s="567">
        <f t="shared" si="99"/>
        <v>2.4814620190342751E-2</v>
      </c>
      <c r="X47" s="567">
        <f t="shared" si="100"/>
        <v>5.6924929747089514E-2</v>
      </c>
    </row>
    <row r="48" spans="2:24" ht="13" customHeight="1">
      <c r="B48" s="93" t="str">
        <f>IF('Summary | Sumário'!D$6=Names!B$3,Names!Z21,Names!AA21)</f>
        <v>(÷) Avg of the last two periods of IEP</v>
      </c>
      <c r="C48" s="289">
        <f>C49</f>
        <v>5906176.3870000001</v>
      </c>
      <c r="D48" s="292">
        <f>(D49+C49)/2</f>
        <v>9540976.6059999987</v>
      </c>
      <c r="E48" s="292">
        <f t="shared" ref="E48" si="118">(E49+D49)/2</f>
        <v>20242695.412500001</v>
      </c>
      <c r="F48" s="292">
        <f t="shared" ref="F48" si="119">(F49+E49)/2</f>
        <v>29992576.5</v>
      </c>
      <c r="G48" s="292">
        <f t="shared" ref="G48" si="120">(G49+F49)/2</f>
        <v>36838463.595954999</v>
      </c>
      <c r="H48" s="292">
        <f>(H49+D49)/2</f>
        <v>14103254.9125</v>
      </c>
      <c r="I48" s="289">
        <f>(I49+H49)/2</f>
        <v>16655040.5</v>
      </c>
      <c r="J48" s="289">
        <f t="shared" ref="J48" si="121">(J49+I49)/2</f>
        <v>21978468</v>
      </c>
      <c r="K48" s="289">
        <f t="shared" ref="K48" si="122">(K49+J49)/2</f>
        <v>26493601</v>
      </c>
      <c r="L48" s="289">
        <f t="shared" ref="L48" si="123">(L49+K49)/2</f>
        <v>27179014.5</v>
      </c>
      <c r="M48" s="289">
        <f t="shared" ref="M48" si="124">(M49+L49)/2</f>
        <v>27600017.5</v>
      </c>
      <c r="N48" s="289">
        <f t="shared" ref="N48" si="125">(N49+M49)/2</f>
        <v>29831065</v>
      </c>
      <c r="O48" s="289">
        <f t="shared" ref="O48" si="126">(O49+N49)/2</f>
        <v>32093024.5</v>
      </c>
      <c r="P48" s="289">
        <f t="shared" ref="P48" si="127">(P49+O49)/2</f>
        <v>32836492.193913735</v>
      </c>
      <c r="Q48" s="289">
        <f t="shared" ref="Q48" si="128">(Q49+P49)/2</f>
        <v>33673793.577701032</v>
      </c>
      <c r="R48" s="289">
        <f t="shared" ref="R48" si="129">(R49+Q49)/2</f>
        <v>35635379.055952296</v>
      </c>
      <c r="S48" s="289">
        <f t="shared" ref="S48:U48" si="130">(S49+R49)/2</f>
        <v>38961002.268119998</v>
      </c>
      <c r="T48" s="289">
        <f t="shared" si="130"/>
        <v>42059618.137200102</v>
      </c>
      <c r="U48" s="289">
        <f t="shared" si="130"/>
        <v>44622222.490435094</v>
      </c>
      <c r="V48" s="289"/>
      <c r="W48" s="564">
        <f t="shared" si="99"/>
        <v>6.0927903455415988E-2</v>
      </c>
      <c r="X48" s="564">
        <f t="shared" si="100"/>
        <v>0.32513203145558767</v>
      </c>
    </row>
    <row r="49" spans="2:24" ht="13" customHeight="1">
      <c r="B49" s="98" t="str">
        <f>IF('Summary | Sumário'!D$6=Names!B$3,Names!Z22,Names!AA22)</f>
        <v>IEP</v>
      </c>
      <c r="C49" s="288">
        <f>C50+C51+C52+C55</f>
        <v>5906176.3870000001</v>
      </c>
      <c r="D49" s="288">
        <f t="shared" ref="D49:S49" si="131">D50+D51+D52+D55</f>
        <v>13175776.824999999</v>
      </c>
      <c r="E49" s="288">
        <f t="shared" si="131"/>
        <v>27309614</v>
      </c>
      <c r="F49" s="288">
        <f t="shared" si="131"/>
        <v>32675539</v>
      </c>
      <c r="G49" s="288">
        <f t="shared" si="131"/>
        <v>41001388.191909999</v>
      </c>
      <c r="H49" s="288">
        <f t="shared" si="131"/>
        <v>15030733</v>
      </c>
      <c r="I49" s="288">
        <f t="shared" si="131"/>
        <v>18279348</v>
      </c>
      <c r="J49" s="288">
        <f t="shared" si="131"/>
        <v>25677588</v>
      </c>
      <c r="K49" s="288">
        <f t="shared" si="131"/>
        <v>27309614</v>
      </c>
      <c r="L49" s="288">
        <f t="shared" si="131"/>
        <v>27048415</v>
      </c>
      <c r="M49" s="288">
        <f t="shared" si="131"/>
        <v>28151620</v>
      </c>
      <c r="N49" s="288">
        <f t="shared" si="131"/>
        <v>31510510</v>
      </c>
      <c r="O49" s="288">
        <f t="shared" si="131"/>
        <v>32675539</v>
      </c>
      <c r="P49" s="288">
        <f t="shared" si="131"/>
        <v>32997445.387827475</v>
      </c>
      <c r="Q49" s="288">
        <f t="shared" si="131"/>
        <v>34350141.767574593</v>
      </c>
      <c r="R49" s="288">
        <f t="shared" si="131"/>
        <v>36920616.344329998</v>
      </c>
      <c r="S49" s="288">
        <f t="shared" si="131"/>
        <v>41001388.191909999</v>
      </c>
      <c r="T49" s="288">
        <f t="shared" ref="T49:U49" si="132">T50+T51+T52+T55</f>
        <v>43117848.082490198</v>
      </c>
      <c r="U49" s="288">
        <f t="shared" si="132"/>
        <v>46126596.898379996</v>
      </c>
      <c r="V49" s="289"/>
      <c r="W49" s="556">
        <f t="shared" si="99"/>
        <v>6.9779660852593128E-2</v>
      </c>
      <c r="X49" s="556">
        <f t="shared" si="100"/>
        <v>0.34283570677783892</v>
      </c>
    </row>
    <row r="50" spans="2:24" ht="13" customHeight="1">
      <c r="B50" s="92" t="str">
        <f>IF('Summary | Sumário'!D$6=Names!B$3,Names!Z23,Names!AA23)</f>
        <v>Amounts due from financial institutions</v>
      </c>
      <c r="C50" s="289">
        <f t="shared" ref="C50:S50" si="133">C37</f>
        <v>256097</v>
      </c>
      <c r="D50" s="289">
        <f t="shared" si="133"/>
        <v>502369</v>
      </c>
      <c r="E50" s="289">
        <f t="shared" si="133"/>
        <v>2051862</v>
      </c>
      <c r="F50" s="289">
        <f t="shared" si="133"/>
        <v>4258856</v>
      </c>
      <c r="G50" s="289">
        <f t="shared" si="133"/>
        <v>3718505.7949100002</v>
      </c>
      <c r="H50" s="289">
        <f t="shared" si="133"/>
        <v>578499</v>
      </c>
      <c r="I50" s="289">
        <f t="shared" si="133"/>
        <v>646905</v>
      </c>
      <c r="J50" s="289">
        <f t="shared" si="133"/>
        <v>1408183</v>
      </c>
      <c r="K50" s="289">
        <f t="shared" si="133"/>
        <v>2051862</v>
      </c>
      <c r="L50" s="289">
        <f t="shared" si="133"/>
        <v>1807258</v>
      </c>
      <c r="M50" s="289">
        <f t="shared" si="133"/>
        <v>1825289</v>
      </c>
      <c r="N50" s="289">
        <f t="shared" si="133"/>
        <v>3417500</v>
      </c>
      <c r="O50" s="289">
        <f t="shared" si="133"/>
        <v>4258856</v>
      </c>
      <c r="P50" s="289">
        <f t="shared" si="133"/>
        <v>3770074</v>
      </c>
      <c r="Q50" s="289">
        <f t="shared" si="133"/>
        <v>2556811</v>
      </c>
      <c r="R50" s="289">
        <f t="shared" si="133"/>
        <v>3474243.8523399998</v>
      </c>
      <c r="S50" s="289">
        <f t="shared" si="133"/>
        <v>3718505.7949100002</v>
      </c>
      <c r="T50" s="289">
        <f t="shared" ref="T50:U50" si="134">T37</f>
        <v>4051287.3041199995</v>
      </c>
      <c r="U50" s="289">
        <f t="shared" si="134"/>
        <v>5280321.9577800008</v>
      </c>
      <c r="V50" s="289"/>
      <c r="W50" s="564">
        <f t="shared" si="99"/>
        <v>0.30336891990111914</v>
      </c>
      <c r="X50" s="564">
        <f t="shared" si="100"/>
        <v>1.0651983888445415</v>
      </c>
    </row>
    <row r="51" spans="2:24" ht="13" customHeight="1">
      <c r="B51" s="97" t="str">
        <f>IF('Summary | Sumário'!D$6=Names!B$3,Names!Z24,Names!AA24)</f>
        <v>Securities</v>
      </c>
      <c r="C51" s="288">
        <f t="shared" ref="C51:F51" si="135">C38</f>
        <v>1155094</v>
      </c>
      <c r="D51" s="288">
        <f t="shared" si="135"/>
        <v>5812622</v>
      </c>
      <c r="E51" s="288">
        <f t="shared" si="135"/>
        <v>12757687</v>
      </c>
      <c r="F51" s="288">
        <f t="shared" si="135"/>
        <v>12448565</v>
      </c>
      <c r="G51" s="288">
        <f t="shared" ref="G51:S51" si="136">G38</f>
        <v>16868112</v>
      </c>
      <c r="H51" s="288">
        <f t="shared" si="136"/>
        <v>6619726</v>
      </c>
      <c r="I51" s="288">
        <f t="shared" si="136"/>
        <v>8230481</v>
      </c>
      <c r="J51" s="288">
        <f t="shared" si="136"/>
        <v>13241180</v>
      </c>
      <c r="K51" s="288">
        <f t="shared" si="136"/>
        <v>12757687</v>
      </c>
      <c r="L51" s="288">
        <f t="shared" si="136"/>
        <v>12335401</v>
      </c>
      <c r="M51" s="288">
        <f t="shared" si="136"/>
        <v>12710051</v>
      </c>
      <c r="N51" s="288">
        <f t="shared" si="136"/>
        <v>13373465</v>
      </c>
      <c r="O51" s="288">
        <f t="shared" si="136"/>
        <v>12448565</v>
      </c>
      <c r="P51" s="288">
        <f t="shared" si="136"/>
        <v>12535351</v>
      </c>
      <c r="Q51" s="288">
        <f t="shared" si="136"/>
        <v>14169684</v>
      </c>
      <c r="R51" s="288">
        <f t="shared" si="136"/>
        <v>14908297</v>
      </c>
      <c r="S51" s="288">
        <f t="shared" si="136"/>
        <v>16868112</v>
      </c>
      <c r="T51" s="288">
        <f t="shared" ref="T51:U51" si="137">T38</f>
        <v>18167251</v>
      </c>
      <c r="U51" s="288">
        <f t="shared" si="137"/>
        <v>18276426</v>
      </c>
      <c r="V51" s="289"/>
      <c r="W51" s="556">
        <f t="shared" si="99"/>
        <v>6.0094397330670013E-3</v>
      </c>
      <c r="X51" s="556">
        <f t="shared" si="100"/>
        <v>0.2898259410725037</v>
      </c>
    </row>
    <row r="52" spans="2:24" ht="13" customHeight="1">
      <c r="B52" s="95" t="str">
        <f>IF('Summary | Sumário'!D$6=Names!B$3,Names!Z25,Names!AA25)</f>
        <v>Net loans and advances to customers excluding non int. CC Receivables</v>
      </c>
      <c r="C52" s="289">
        <f>SUM(C53,-C54)</f>
        <v>4494985.3870000001</v>
      </c>
      <c r="D52" s="289">
        <f t="shared" ref="D52:S52" si="138">SUM(D53,-D54)</f>
        <v>6833272.8250000002</v>
      </c>
      <c r="E52" s="289">
        <f t="shared" si="138"/>
        <v>12413117</v>
      </c>
      <c r="F52" s="289">
        <f t="shared" si="138"/>
        <v>15968118</v>
      </c>
      <c r="G52" s="289">
        <f t="shared" si="138"/>
        <v>20410532.397</v>
      </c>
      <c r="H52" s="289">
        <f t="shared" si="138"/>
        <v>7813905</v>
      </c>
      <c r="I52" s="289">
        <f t="shared" si="138"/>
        <v>9390278</v>
      </c>
      <c r="J52" s="289">
        <f t="shared" si="138"/>
        <v>11020582</v>
      </c>
      <c r="K52" s="289">
        <f t="shared" si="138"/>
        <v>12413117</v>
      </c>
      <c r="L52" s="289">
        <f t="shared" si="138"/>
        <v>12895346</v>
      </c>
      <c r="M52" s="289">
        <f t="shared" si="138"/>
        <v>13613068</v>
      </c>
      <c r="N52" s="289">
        <f t="shared" si="138"/>
        <v>14718964</v>
      </c>
      <c r="O52" s="289">
        <f t="shared" si="138"/>
        <v>15968118</v>
      </c>
      <c r="P52" s="289">
        <f t="shared" si="138"/>
        <v>16690898.387827475</v>
      </c>
      <c r="Q52" s="289">
        <f t="shared" si="138"/>
        <v>17620021.767574593</v>
      </c>
      <c r="R52" s="289">
        <f t="shared" si="138"/>
        <v>18528686.954999998</v>
      </c>
      <c r="S52" s="289">
        <f t="shared" si="138"/>
        <v>20410532.397</v>
      </c>
      <c r="T52" s="289">
        <f t="shared" ref="T52:U52" si="139">SUM(T53,-T54)</f>
        <v>20891917.665410198</v>
      </c>
      <c r="U52" s="289">
        <f t="shared" si="139"/>
        <v>22562671.514820002</v>
      </c>
      <c r="V52" s="289"/>
      <c r="W52" s="564">
        <f t="shared" si="99"/>
        <v>7.9971301637666192E-2</v>
      </c>
      <c r="X52" s="564">
        <f t="shared" si="100"/>
        <v>0.28051325999728127</v>
      </c>
    </row>
    <row r="53" spans="2:24" ht="13" customHeight="1">
      <c r="B53" s="100" t="str">
        <f>IF('Summary | Sumário'!D$6=Names!B$3,Names!Z26,Names!AA26)</f>
        <v>Net loans and advances to customers</v>
      </c>
      <c r="C53" s="288">
        <f t="shared" ref="C53:S53" si="140">C39</f>
        <v>4561824</v>
      </c>
      <c r="D53" s="288">
        <f t="shared" si="140"/>
        <v>8507703</v>
      </c>
      <c r="E53" s="288">
        <f t="shared" si="140"/>
        <v>16535430</v>
      </c>
      <c r="F53" s="288">
        <f t="shared" si="140"/>
        <v>21379916</v>
      </c>
      <c r="G53" s="288">
        <f t="shared" si="140"/>
        <v>27900543</v>
      </c>
      <c r="H53" s="288">
        <f t="shared" si="140"/>
        <v>9908120</v>
      </c>
      <c r="I53" s="288">
        <f t="shared" si="140"/>
        <v>12040483</v>
      </c>
      <c r="J53" s="288">
        <f t="shared" si="140"/>
        <v>14301537</v>
      </c>
      <c r="K53" s="288">
        <f t="shared" si="140"/>
        <v>16535430</v>
      </c>
      <c r="L53" s="288">
        <f t="shared" si="140"/>
        <v>17374632</v>
      </c>
      <c r="M53" s="288">
        <f t="shared" si="140"/>
        <v>18510189</v>
      </c>
      <c r="N53" s="288">
        <f t="shared" si="140"/>
        <v>19820903</v>
      </c>
      <c r="O53" s="288">
        <f t="shared" si="140"/>
        <v>21379916</v>
      </c>
      <c r="P53" s="288">
        <f t="shared" si="140"/>
        <v>22371167</v>
      </c>
      <c r="Q53" s="288">
        <f t="shared" si="140"/>
        <v>23523982</v>
      </c>
      <c r="R53" s="288">
        <f t="shared" si="140"/>
        <v>25296620</v>
      </c>
      <c r="S53" s="288">
        <f t="shared" si="140"/>
        <v>27900543</v>
      </c>
      <c r="T53" s="288">
        <f t="shared" ref="T53:U53" si="141">T39</f>
        <v>28826998.881090201</v>
      </c>
      <c r="U53" s="288">
        <f t="shared" si="141"/>
        <v>30806640</v>
      </c>
      <c r="V53" s="289"/>
      <c r="W53" s="556">
        <f t="shared" si="99"/>
        <v>6.8673160431153901E-2</v>
      </c>
      <c r="X53" s="556">
        <f t="shared" si="100"/>
        <v>0.30958440624550732</v>
      </c>
    </row>
    <row r="54" spans="2:24" ht="13" customHeight="1">
      <c r="B54" s="96" t="str">
        <f>IF('Summary | Sumário'!D$6=Names!B$3,Names!Z27,Names!AA27)</f>
        <v>(-) Non int. CC receivables</v>
      </c>
      <c r="C54" s="289">
        <v>66838.612999999998</v>
      </c>
      <c r="D54" s="289">
        <v>1674430.175</v>
      </c>
      <c r="E54" s="289">
        <v>4122313</v>
      </c>
      <c r="F54" s="289">
        <v>5411798</v>
      </c>
      <c r="G54" s="289">
        <v>7490010.6029999992</v>
      </c>
      <c r="H54" s="289">
        <v>2094215</v>
      </c>
      <c r="I54" s="289">
        <v>2650205</v>
      </c>
      <c r="J54" s="289">
        <v>3280955</v>
      </c>
      <c r="K54" s="289">
        <v>4122313</v>
      </c>
      <c r="L54" s="289">
        <v>4479286</v>
      </c>
      <c r="M54" s="289">
        <v>4897121</v>
      </c>
      <c r="N54" s="289">
        <v>5101939</v>
      </c>
      <c r="O54" s="289">
        <v>5411798</v>
      </c>
      <c r="P54" s="289">
        <v>5680268.6121725254</v>
      </c>
      <c r="Q54" s="289">
        <v>5903960.2324254084</v>
      </c>
      <c r="R54" s="289">
        <v>6767933.0449999999</v>
      </c>
      <c r="S54" s="289">
        <v>7490010.6029999992</v>
      </c>
      <c r="T54" s="289">
        <v>7935081.2156800013</v>
      </c>
      <c r="U54" s="289">
        <v>8243968.4851799998</v>
      </c>
      <c r="V54" s="289"/>
      <c r="W54" s="564">
        <f t="shared" si="99"/>
        <v>3.8926793703084828E-2</v>
      </c>
      <c r="X54" s="564">
        <f t="shared" si="100"/>
        <v>0.39634553090363411</v>
      </c>
    </row>
    <row r="55" spans="2:24" ht="13" customHeight="1">
      <c r="B55" s="97" t="str">
        <f>IF('Summary | Sumário'!D$6=Names!B$3,Names!Z28,Names!AA28)</f>
        <v>Derivative financial assets</v>
      </c>
      <c r="C55" s="288">
        <f t="shared" ref="C55:S55" si="142">C40</f>
        <v>0</v>
      </c>
      <c r="D55" s="288">
        <f t="shared" si="142"/>
        <v>27513</v>
      </c>
      <c r="E55" s="288">
        <f t="shared" si="142"/>
        <v>86948</v>
      </c>
      <c r="F55" s="288">
        <f t="shared" si="142"/>
        <v>0</v>
      </c>
      <c r="G55" s="288">
        <f t="shared" si="142"/>
        <v>4238</v>
      </c>
      <c r="H55" s="288">
        <f t="shared" si="142"/>
        <v>18603</v>
      </c>
      <c r="I55" s="288">
        <f t="shared" si="142"/>
        <v>11684</v>
      </c>
      <c r="J55" s="288">
        <f t="shared" si="142"/>
        <v>7643</v>
      </c>
      <c r="K55" s="288">
        <f t="shared" si="142"/>
        <v>86948</v>
      </c>
      <c r="L55" s="288">
        <f t="shared" si="142"/>
        <v>10410</v>
      </c>
      <c r="M55" s="288">
        <f t="shared" si="142"/>
        <v>3212</v>
      </c>
      <c r="N55" s="288">
        <f t="shared" si="142"/>
        <v>581</v>
      </c>
      <c r="O55" s="288">
        <f t="shared" si="142"/>
        <v>0</v>
      </c>
      <c r="P55" s="288">
        <f t="shared" si="142"/>
        <v>1122</v>
      </c>
      <c r="Q55" s="288">
        <f t="shared" si="142"/>
        <v>3625</v>
      </c>
      <c r="R55" s="288">
        <f t="shared" si="142"/>
        <v>9388.5369900000005</v>
      </c>
      <c r="S55" s="288">
        <f t="shared" si="142"/>
        <v>4238</v>
      </c>
      <c r="T55" s="288">
        <f t="shared" ref="T55:U55" si="143">T40</f>
        <v>7392.1129600000004</v>
      </c>
      <c r="U55" s="288">
        <f t="shared" si="143"/>
        <v>7177.425780000005</v>
      </c>
      <c r="V55" s="289"/>
      <c r="W55" s="556">
        <f t="shared" ref="W55" si="144">U55/T55-1</f>
        <v>-2.9042735299325773E-2</v>
      </c>
      <c r="X55" s="556">
        <f t="shared" ref="X55" si="145">U55/Q55-1</f>
        <v>0.97997952551724277</v>
      </c>
    </row>
    <row r="56" spans="2:24" ht="13" customHeight="1">
      <c r="B56" s="420" t="str">
        <f>IF('Summary | Sumário'!D$6=Names!B$3,Names!Z37,Names!AA37)</f>
        <v>(=) Risk-adjusted NIM 2.0 - IEP (%)</v>
      </c>
      <c r="C56" s="444">
        <f t="shared" ref="C56:F56" si="146">C44/C48</f>
        <v>7.5680265998124177E-2</v>
      </c>
      <c r="D56" s="444">
        <f t="shared" si="146"/>
        <v>5.2643970939425237E-2</v>
      </c>
      <c r="E56" s="444">
        <f t="shared" si="146"/>
        <v>4.9098611906508612E-2</v>
      </c>
      <c r="F56" s="444">
        <f t="shared" si="146"/>
        <v>4.1750067120775683E-2</v>
      </c>
      <c r="G56" s="444">
        <f>G44/G48</f>
        <v>4.5238151576522001E-2</v>
      </c>
      <c r="H56" s="444">
        <f t="shared" ref="H56:S56" si="147">H44/H48</f>
        <v>5.2445179824725088E-2</v>
      </c>
      <c r="I56" s="444">
        <f t="shared" si="147"/>
        <v>3.2387732950874555E-2</v>
      </c>
      <c r="J56" s="444">
        <f t="shared" si="147"/>
        <v>5.6303265541529104E-2</v>
      </c>
      <c r="K56" s="444">
        <f t="shared" si="147"/>
        <v>5.5070759161806648E-2</v>
      </c>
      <c r="L56" s="444">
        <f t="shared" si="147"/>
        <v>3.3918026277222083E-2</v>
      </c>
      <c r="M56" s="444">
        <f t="shared" si="147"/>
        <v>4.617730941656107E-2</v>
      </c>
      <c r="N56" s="444">
        <f t="shared" si="147"/>
        <v>3.9217470914967335E-2</v>
      </c>
      <c r="O56" s="444">
        <f t="shared" si="147"/>
        <v>5.1179854612954906E-2</v>
      </c>
      <c r="P56" s="444">
        <f t="shared" si="147"/>
        <v>4.3960946847652567E-2</v>
      </c>
      <c r="Q56" s="444">
        <f t="shared" si="147"/>
        <v>4.7932229443517146E-2</v>
      </c>
      <c r="R56" s="444">
        <f t="shared" si="147"/>
        <v>4.6095548819078042E-2</v>
      </c>
      <c r="S56" s="444">
        <f t="shared" si="147"/>
        <v>5.0455692169103339E-2</v>
      </c>
      <c r="T56" s="444">
        <f t="shared" ref="T56:U56" si="148">T44/T48</f>
        <v>5.3221321018608131E-2</v>
      </c>
      <c r="U56" s="444">
        <f t="shared" si="148"/>
        <v>5.4539670874911766E-2</v>
      </c>
      <c r="V56" s="502"/>
      <c r="W56" s="569">
        <f t="shared" ref="W56" si="149">(U56-T56)*100</f>
        <v>0.13183498563036355</v>
      </c>
      <c r="X56" s="569">
        <f t="shared" ref="X56" si="150">(U56-Q56)*100</f>
        <v>0.66074414313946206</v>
      </c>
    </row>
  </sheetData>
  <sheetProtection algorithmName="SHA-512" hashValue="cFQ94diO9p5xMfKS48g4lEkx91tK7q5s+vuEOUkDtosUDFJTg+TH6XvLZKGtAirolrYs3gCtxZV962iwW8fTeg==" saltValue="eHZoBuNg31S+NFHpaB/Zx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5" tint="0.59999389629810485"/>
  </sheetPr>
  <dimension ref="A1:AC4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21" width="10.83203125" style="202" customWidth="1"/>
    <col min="22" max="22" width="5.83203125" style="202" customWidth="1"/>
    <col min="23" max="24" width="10.83203125" style="202" customWidth="1"/>
    <col min="25" max="16384" width="10.83203125" style="201"/>
  </cols>
  <sheetData>
    <row r="1" spans="2:28" ht="13" customHeight="1">
      <c r="Y1" s="202"/>
    </row>
    <row r="2" spans="2:28" s="10" customFormat="1" ht="13" customHeight="1">
      <c r="B2" s="384" t="str">
        <f>IF('Summary | Sumário'!D$6=Names!B$3,Names!AV1,Names!AW1)</f>
        <v> Efficiency Ratio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12">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5"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2:28" ht="13" customHeight="1">
      <c r="B3" s="76"/>
      <c r="C3" s="241"/>
      <c r="D3" s="241"/>
      <c r="E3" s="241"/>
      <c r="F3" s="241"/>
      <c r="G3" s="241"/>
      <c r="H3" s="241"/>
      <c r="I3" s="241"/>
      <c r="J3" s="241"/>
      <c r="K3" s="241"/>
      <c r="L3" s="241"/>
      <c r="M3" s="241"/>
      <c r="N3" s="241"/>
      <c r="O3" s="241"/>
      <c r="P3" s="241"/>
      <c r="Q3" s="241"/>
      <c r="R3" s="241"/>
      <c r="S3" s="241"/>
      <c r="T3" s="241"/>
      <c r="U3" s="241"/>
      <c r="V3" s="241"/>
      <c r="W3" s="241"/>
      <c r="X3" s="241"/>
      <c r="Y3" s="213"/>
    </row>
    <row r="4" spans="2:28" ht="13" customHeight="1">
      <c r="B4" s="3" t="str">
        <f>IF('Summary | Sumário'!D$6=Names!B$3,Names!AV3,Names!AW3)</f>
        <v>Efficiency ratio </v>
      </c>
      <c r="C4" s="277"/>
      <c r="D4" s="277"/>
      <c r="E4" s="277"/>
      <c r="F4" s="277"/>
      <c r="G4" s="277"/>
      <c r="H4" s="277"/>
      <c r="I4" s="277"/>
      <c r="J4" s="277"/>
      <c r="K4" s="277"/>
      <c r="L4" s="277"/>
      <c r="M4" s="277"/>
      <c r="N4" s="277"/>
      <c r="O4" s="277"/>
      <c r="P4" s="277"/>
      <c r="Q4" s="277"/>
      <c r="R4" s="277"/>
      <c r="S4" s="277"/>
      <c r="T4" s="277"/>
      <c r="U4" s="277"/>
      <c r="V4" s="277"/>
      <c r="W4" s="277"/>
      <c r="X4" s="277"/>
    </row>
    <row r="5" spans="2:28" ht="13" customHeight="1">
      <c r="B5" s="422" t="str">
        <f>IF('Summary | Sumário'!D$6=Names!B$3,Names!AV4,Names!AW4)</f>
        <v>Total operational expenses</v>
      </c>
      <c r="C5" s="423">
        <f>SUM(C6:C8)</f>
        <v>572970</v>
      </c>
      <c r="D5" s="423">
        <f t="shared" ref="D5:P5" si="0">SUM(D6:D8)</f>
        <v>914082</v>
      </c>
      <c r="E5" s="423">
        <f t="shared" si="0"/>
        <v>1701818.2949999999</v>
      </c>
      <c r="F5" s="423">
        <f t="shared" si="0"/>
        <v>2392061</v>
      </c>
      <c r="G5" s="423">
        <f>SUM(G6:G8)</f>
        <v>2412527</v>
      </c>
      <c r="H5" s="423">
        <f t="shared" si="0"/>
        <v>320122.31299999997</v>
      </c>
      <c r="I5" s="423">
        <f t="shared" si="0"/>
        <v>391145</v>
      </c>
      <c r="J5" s="423">
        <f t="shared" si="0"/>
        <v>387488.18799999997</v>
      </c>
      <c r="K5" s="423">
        <f t="shared" si="0"/>
        <v>603062.79399999999</v>
      </c>
      <c r="L5" s="423">
        <f t="shared" si="0"/>
        <v>558404</v>
      </c>
      <c r="M5" s="423">
        <f t="shared" si="0"/>
        <v>556595</v>
      </c>
      <c r="N5" s="423">
        <f t="shared" si="0"/>
        <v>591798</v>
      </c>
      <c r="O5" s="423">
        <f t="shared" si="0"/>
        <v>685264</v>
      </c>
      <c r="P5" s="423">
        <f t="shared" si="0"/>
        <v>595604</v>
      </c>
      <c r="Q5" s="423">
        <f t="shared" ref="Q5:R5" si="1">SUM(Q6:Q8)</f>
        <v>575247</v>
      </c>
      <c r="R5" s="423">
        <f t="shared" si="1"/>
        <v>614129</v>
      </c>
      <c r="S5" s="423">
        <f t="shared" ref="S5:T5" si="2">SUM(S6:S8)</f>
        <v>627547</v>
      </c>
      <c r="T5" s="423">
        <f t="shared" si="2"/>
        <v>627607</v>
      </c>
      <c r="U5" s="423">
        <f t="shared" ref="U5" si="3">SUM(U6:U8)</f>
        <v>660069</v>
      </c>
      <c r="V5" s="274"/>
      <c r="W5" s="538">
        <f t="shared" ref="W5:W13" si="4">U5/T5-1</f>
        <v>5.1723451140602394E-2</v>
      </c>
      <c r="X5" s="538">
        <f t="shared" ref="X5:X13" si="5">U5/Q5-1</f>
        <v>0.14745318098138704</v>
      </c>
    </row>
    <row r="6" spans="2:28" ht="13" customHeight="1">
      <c r="B6" s="92" t="str">
        <f>IF('Summary | Sumário'!D$6=Names!B$3,Names!AV5,Names!AW5)</f>
        <v>Personnel expenses</v>
      </c>
      <c r="C6" s="274">
        <v>169198</v>
      </c>
      <c r="D6" s="274">
        <v>229096</v>
      </c>
      <c r="E6" s="274">
        <v>443328</v>
      </c>
      <c r="F6" s="274">
        <v>733605</v>
      </c>
      <c r="G6" s="274">
        <v>790739</v>
      </c>
      <c r="H6" s="274">
        <v>81861</v>
      </c>
      <c r="I6" s="274">
        <v>93046</v>
      </c>
      <c r="J6" s="274">
        <v>121250</v>
      </c>
      <c r="K6" s="274">
        <v>147171</v>
      </c>
      <c r="L6" s="274">
        <v>145120</v>
      </c>
      <c r="M6" s="274">
        <v>172466</v>
      </c>
      <c r="N6" s="274">
        <v>176232</v>
      </c>
      <c r="O6" s="274">
        <v>239787</v>
      </c>
      <c r="P6" s="274">
        <v>172412</v>
      </c>
      <c r="Q6" s="274">
        <v>186249</v>
      </c>
      <c r="R6" s="274">
        <v>210661</v>
      </c>
      <c r="S6" s="274">
        <v>221417</v>
      </c>
      <c r="T6" s="274">
        <v>190463</v>
      </c>
      <c r="U6" s="274">
        <v>204207</v>
      </c>
      <c r="V6" s="274"/>
      <c r="W6" s="539">
        <f t="shared" si="4"/>
        <v>7.2160997149052664E-2</v>
      </c>
      <c r="X6" s="539">
        <f t="shared" si="5"/>
        <v>9.6419309633877237E-2</v>
      </c>
    </row>
    <row r="7" spans="2:28" ht="13" customHeight="1">
      <c r="B7" s="97" t="str">
        <f>IF('Summary | Sumário'!D$6=Names!B$3,Names!AV6,Names!AW6)</f>
        <v>Administrative expenses</v>
      </c>
      <c r="C7" s="269">
        <v>386309</v>
      </c>
      <c r="D7" s="269">
        <v>641327</v>
      </c>
      <c r="E7" s="269">
        <v>1164239.7749999999</v>
      </c>
      <c r="F7" s="269">
        <v>1494484</v>
      </c>
      <c r="G7" s="269">
        <v>1461348</v>
      </c>
      <c r="H7" s="269">
        <v>219095.31299999999</v>
      </c>
      <c r="I7" s="269">
        <v>272761</v>
      </c>
      <c r="J7" s="269">
        <v>235355.18799999999</v>
      </c>
      <c r="K7" s="269">
        <v>437028.27399999998</v>
      </c>
      <c r="L7" s="269">
        <v>376806</v>
      </c>
      <c r="M7" s="269">
        <v>348618</v>
      </c>
      <c r="N7" s="269">
        <v>379946</v>
      </c>
      <c r="O7" s="269">
        <v>389114</v>
      </c>
      <c r="P7" s="269">
        <v>385615</v>
      </c>
      <c r="Q7" s="269">
        <v>347868</v>
      </c>
      <c r="R7" s="269">
        <v>362877</v>
      </c>
      <c r="S7" s="269">
        <v>364988</v>
      </c>
      <c r="T7" s="269">
        <v>395244</v>
      </c>
      <c r="U7" s="269">
        <v>402827</v>
      </c>
      <c r="V7" s="274"/>
      <c r="W7" s="540">
        <f t="shared" si="4"/>
        <v>1.9185616985962994E-2</v>
      </c>
      <c r="X7" s="540">
        <f t="shared" si="5"/>
        <v>0.157988087435464</v>
      </c>
    </row>
    <row r="8" spans="2:28" ht="13" customHeight="1">
      <c r="B8" s="92" t="str">
        <f>IF('Summary | Sumário'!D$6=Names!B$3,Names!AV7,Names!AW7)</f>
        <v>Depreciation and amortization</v>
      </c>
      <c r="C8" s="274">
        <v>17463</v>
      </c>
      <c r="D8" s="274">
        <v>43659</v>
      </c>
      <c r="E8" s="274">
        <v>94250.52</v>
      </c>
      <c r="F8" s="274">
        <v>163972</v>
      </c>
      <c r="G8" s="274">
        <v>160440</v>
      </c>
      <c r="H8" s="274">
        <v>19166</v>
      </c>
      <c r="I8" s="274">
        <v>25338</v>
      </c>
      <c r="J8" s="274">
        <v>30883</v>
      </c>
      <c r="K8" s="274">
        <v>18863.520000000004</v>
      </c>
      <c r="L8" s="274">
        <v>36478</v>
      </c>
      <c r="M8" s="274">
        <v>35511</v>
      </c>
      <c r="N8" s="274">
        <v>35620</v>
      </c>
      <c r="O8" s="274">
        <v>56363</v>
      </c>
      <c r="P8" s="274">
        <v>37577</v>
      </c>
      <c r="Q8" s="274">
        <v>41130</v>
      </c>
      <c r="R8" s="274">
        <v>40591</v>
      </c>
      <c r="S8" s="274">
        <v>41142</v>
      </c>
      <c r="T8" s="274">
        <v>41900</v>
      </c>
      <c r="U8" s="274">
        <v>53035</v>
      </c>
      <c r="V8" s="274"/>
      <c r="W8" s="539">
        <f t="shared" si="4"/>
        <v>0.26575178997613369</v>
      </c>
      <c r="X8" s="539">
        <f t="shared" si="5"/>
        <v>0.28944809141745687</v>
      </c>
    </row>
    <row r="9" spans="2:28" ht="13" customHeight="1">
      <c r="B9" s="82" t="str">
        <f>IF('Summary | Sumário'!D$6=Names!B$3,Names!AV8,Names!AW8)</f>
        <v>(÷) Total net revenues excluding tax expenses</v>
      </c>
      <c r="C9" s="269">
        <f t="shared" ref="C9:Q9" si="6">SUM(C10:C13)</f>
        <v>712223.66099999996</v>
      </c>
      <c r="D9" s="269">
        <f t="shared" si="6"/>
        <v>1011378.89518</v>
      </c>
      <c r="E9" s="269">
        <f t="shared" si="6"/>
        <v>2075102.0209999997</v>
      </c>
      <c r="F9" s="269">
        <f t="shared" si="6"/>
        <v>3314109.0819999995</v>
      </c>
      <c r="G9" s="269">
        <f t="shared" ref="G9" si="7">SUM(G10:G13)</f>
        <v>4425992</v>
      </c>
      <c r="H9" s="269">
        <f t="shared" si="6"/>
        <v>389231.24800000002</v>
      </c>
      <c r="I9" s="269">
        <f t="shared" si="6"/>
        <v>437040.75100000005</v>
      </c>
      <c r="J9" s="269">
        <f t="shared" si="6"/>
        <v>565864.06799999997</v>
      </c>
      <c r="K9" s="269">
        <f t="shared" si="6"/>
        <v>682964.95399999991</v>
      </c>
      <c r="L9" s="269">
        <f t="shared" si="6"/>
        <v>776827.63199999998</v>
      </c>
      <c r="M9" s="269">
        <f t="shared" si="6"/>
        <v>815420.6370000001</v>
      </c>
      <c r="N9" s="269">
        <f t="shared" si="6"/>
        <v>788759.73100000003</v>
      </c>
      <c r="O9" s="269">
        <f t="shared" si="6"/>
        <v>933101.08199999994</v>
      </c>
      <c r="P9" s="269">
        <f t="shared" si="6"/>
        <v>955242.82200000004</v>
      </c>
      <c r="Q9" s="269">
        <f t="shared" si="6"/>
        <v>1077571</v>
      </c>
      <c r="R9" s="269">
        <f t="shared" ref="R9:S9" si="8">SUM(R10:R13)</f>
        <v>1171423.5890200001</v>
      </c>
      <c r="S9" s="269">
        <f t="shared" si="8"/>
        <v>1221756.18398</v>
      </c>
      <c r="T9" s="269">
        <f t="shared" ref="T9:U9" si="9">SUM(T10:T13)</f>
        <v>1314608.5045515322</v>
      </c>
      <c r="U9" s="269">
        <f t="shared" si="9"/>
        <v>1379181.3320838539</v>
      </c>
      <c r="V9" s="274"/>
      <c r="W9" s="540">
        <f t="shared" si="4"/>
        <v>4.9119435412712686E-2</v>
      </c>
      <c r="X9" s="540">
        <f t="shared" si="5"/>
        <v>0.27989833809916376</v>
      </c>
    </row>
    <row r="10" spans="2:28" ht="13" customHeight="1">
      <c r="B10" s="84" t="str">
        <f>IF('Summary | Sumário'!D$6=Names!B$3,Names!AV9,Names!AW9)</f>
        <v>Net interest income</v>
      </c>
      <c r="C10" s="274">
        <v>585551</v>
      </c>
      <c r="D10" s="274">
        <v>715962.89517999999</v>
      </c>
      <c r="E10" s="274">
        <v>1589469.2459999998</v>
      </c>
      <c r="F10" s="274">
        <v>2335429.0819999995</v>
      </c>
      <c r="G10" s="274">
        <v>3208088</v>
      </c>
      <c r="H10" s="274">
        <v>291580.935</v>
      </c>
      <c r="I10" s="274">
        <v>302295.75100000005</v>
      </c>
      <c r="J10" s="274">
        <v>447369.88</v>
      </c>
      <c r="K10" s="274">
        <v>548221.67999999993</v>
      </c>
      <c r="L10" s="274">
        <v>543410.63199999998</v>
      </c>
      <c r="M10" s="274">
        <v>561087.6370000001</v>
      </c>
      <c r="N10" s="274">
        <v>555587.73100000003</v>
      </c>
      <c r="O10" s="274">
        <v>675343.08199999994</v>
      </c>
      <c r="P10" s="274">
        <v>711561.82200000004</v>
      </c>
      <c r="Q10" s="274">
        <v>802075</v>
      </c>
      <c r="R10" s="274">
        <v>818557.08874000004</v>
      </c>
      <c r="S10" s="274">
        <v>875895.08425999992</v>
      </c>
      <c r="T10" s="274">
        <v>970665.10969999991</v>
      </c>
      <c r="U10" s="274">
        <v>1029668.3320838539</v>
      </c>
      <c r="V10" s="274"/>
      <c r="W10" s="539">
        <f t="shared" si="4"/>
        <v>6.0786384298998852E-2</v>
      </c>
      <c r="X10" s="539">
        <f t="shared" si="5"/>
        <v>0.28375567382583156</v>
      </c>
    </row>
    <row r="11" spans="2:28" ht="13" customHeight="1">
      <c r="B11" s="98" t="str">
        <f>IF('Summary | Sumário'!D$6=Names!B$3,Names!AV10,Names!AW10)</f>
        <v>Net result from services and commissions</v>
      </c>
      <c r="C11" s="269">
        <v>73829.660999999993</v>
      </c>
      <c r="D11" s="269">
        <v>185534</v>
      </c>
      <c r="E11" s="269">
        <v>442272</v>
      </c>
      <c r="F11" s="269">
        <v>838806</v>
      </c>
      <c r="G11" s="269">
        <v>1168800</v>
      </c>
      <c r="H11" s="269">
        <v>77686</v>
      </c>
      <c r="I11" s="269">
        <v>89070</v>
      </c>
      <c r="J11" s="269">
        <v>122853</v>
      </c>
      <c r="K11" s="269">
        <v>152663</v>
      </c>
      <c r="L11" s="269">
        <v>177703</v>
      </c>
      <c r="M11" s="269">
        <v>204561</v>
      </c>
      <c r="N11" s="269">
        <v>217029</v>
      </c>
      <c r="O11" s="269">
        <v>239513</v>
      </c>
      <c r="P11" s="269">
        <v>246675</v>
      </c>
      <c r="Q11" s="269">
        <v>266801</v>
      </c>
      <c r="R11" s="269">
        <v>315509</v>
      </c>
      <c r="S11" s="269">
        <v>339815.6</v>
      </c>
      <c r="T11" s="269">
        <v>340317.39485153224</v>
      </c>
      <c r="U11" s="269">
        <v>364203</v>
      </c>
      <c r="V11" s="274"/>
      <c r="W11" s="540">
        <f t="shared" si="4"/>
        <v>7.0186259973247012E-2</v>
      </c>
      <c r="X11" s="540">
        <f t="shared" si="5"/>
        <v>0.36507359417693341</v>
      </c>
    </row>
    <row r="12" spans="2:28" ht="13" customHeight="1">
      <c r="B12" s="94" t="str">
        <f>IF('Summary | Sumário'!D$6=Names!B$3,Names!AV12,Names!AW12)</f>
        <v>Other revenues</v>
      </c>
      <c r="C12" s="274">
        <v>52843</v>
      </c>
      <c r="D12" s="274">
        <v>109882</v>
      </c>
      <c r="E12" s="274">
        <v>190082</v>
      </c>
      <c r="F12" s="274">
        <v>388462</v>
      </c>
      <c r="G12" s="274">
        <v>375688</v>
      </c>
      <c r="H12" s="274">
        <v>47499</v>
      </c>
      <c r="I12" s="274">
        <v>76048</v>
      </c>
      <c r="J12" s="274">
        <v>36287</v>
      </c>
      <c r="K12" s="274">
        <v>30248</v>
      </c>
      <c r="L12" s="274">
        <v>112407</v>
      </c>
      <c r="M12" s="274">
        <v>111372</v>
      </c>
      <c r="N12" s="274">
        <v>77687</v>
      </c>
      <c r="O12" s="274">
        <v>86996</v>
      </c>
      <c r="P12" s="274">
        <v>65877</v>
      </c>
      <c r="Q12" s="274">
        <v>81158</v>
      </c>
      <c r="R12" s="274">
        <v>131429.50028000001</v>
      </c>
      <c r="S12" s="274">
        <v>97223.499719999993</v>
      </c>
      <c r="T12" s="274">
        <v>89957</v>
      </c>
      <c r="U12" s="274">
        <v>84728</v>
      </c>
      <c r="V12" s="274"/>
      <c r="W12" s="539">
        <f t="shared" si="4"/>
        <v>-5.8127772157808733E-2</v>
      </c>
      <c r="X12" s="539">
        <f t="shared" si="5"/>
        <v>4.3988269794721369E-2</v>
      </c>
    </row>
    <row r="13" spans="2:28" ht="13" customHeight="1">
      <c r="B13" s="98" t="str">
        <f>IF('Summary | Sumário'!D$6=Names!B$3,Names!AV13,Names!AW13)</f>
        <v>Tax expenses</v>
      </c>
      <c r="C13" s="269">
        <v>0</v>
      </c>
      <c r="D13" s="269">
        <v>0</v>
      </c>
      <c r="E13" s="269">
        <v>-146721.22500000001</v>
      </c>
      <c r="F13" s="269">
        <v>-248588</v>
      </c>
      <c r="G13" s="269">
        <v>-326584</v>
      </c>
      <c r="H13" s="269">
        <v>-27534.687000000002</v>
      </c>
      <c r="I13" s="269">
        <v>-30373</v>
      </c>
      <c r="J13" s="269">
        <v>-40645.811999999998</v>
      </c>
      <c r="K13" s="269">
        <v>-48167.726000000002</v>
      </c>
      <c r="L13" s="269">
        <v>-56693</v>
      </c>
      <c r="M13" s="269">
        <v>-61600</v>
      </c>
      <c r="N13" s="269">
        <v>-61544</v>
      </c>
      <c r="O13" s="269">
        <v>-68751</v>
      </c>
      <c r="P13" s="269">
        <v>-68871</v>
      </c>
      <c r="Q13" s="269">
        <v>-72463</v>
      </c>
      <c r="R13" s="269">
        <v>-94072</v>
      </c>
      <c r="S13" s="269">
        <v>-91178</v>
      </c>
      <c r="T13" s="269">
        <v>-86331</v>
      </c>
      <c r="U13" s="269">
        <v>-99418</v>
      </c>
      <c r="V13" s="274"/>
      <c r="W13" s="540">
        <f t="shared" si="4"/>
        <v>0.1515909696401061</v>
      </c>
      <c r="X13" s="540">
        <f t="shared" si="5"/>
        <v>0.3719829430191961</v>
      </c>
    </row>
    <row r="14" spans="2:28" ht="13" customHeight="1">
      <c r="B14" s="420" t="str">
        <f>IF('Summary | Sumário'!D$6=Names!B$3,Names!AV14,Names!AW14)</f>
        <v> (=) Efficiency ratio (%)</v>
      </c>
      <c r="C14" s="444">
        <f>C5/C9</f>
        <v>0.80448043413149117</v>
      </c>
      <c r="D14" s="444">
        <f t="shared" ref="D14:P14" si="10">D5/D9</f>
        <v>0.90379777979974207</v>
      </c>
      <c r="E14" s="444">
        <f t="shared" si="10"/>
        <v>0.82011307288876678</v>
      </c>
      <c r="F14" s="444">
        <f t="shared" si="10"/>
        <v>0.72178100986236648</v>
      </c>
      <c r="G14" s="444">
        <f>G5/G9</f>
        <v>0.54508164497360145</v>
      </c>
      <c r="H14" s="444">
        <f t="shared" si="10"/>
        <v>0.82244761859407534</v>
      </c>
      <c r="I14" s="444">
        <f t="shared" si="10"/>
        <v>0.89498519098050877</v>
      </c>
      <c r="J14" s="444">
        <f t="shared" si="10"/>
        <v>0.68477256272790943</v>
      </c>
      <c r="K14" s="444">
        <f t="shared" si="10"/>
        <v>0.88300693976751266</v>
      </c>
      <c r="L14" s="444">
        <f t="shared" si="10"/>
        <v>0.71882612950101654</v>
      </c>
      <c r="M14" s="444">
        <f t="shared" si="10"/>
        <v>0.68258635450748339</v>
      </c>
      <c r="N14" s="444">
        <f t="shared" si="10"/>
        <v>0.75028931719132097</v>
      </c>
      <c r="O14" s="444">
        <f t="shared" si="10"/>
        <v>0.73439417574268773</v>
      </c>
      <c r="P14" s="444">
        <f t="shared" si="10"/>
        <v>0.62351057373347107</v>
      </c>
      <c r="Q14" s="444">
        <f t="shared" ref="Q14:R14" si="11">Q5/Q9</f>
        <v>0.53383674950420901</v>
      </c>
      <c r="R14" s="444">
        <f t="shared" si="11"/>
        <v>0.52425869323134722</v>
      </c>
      <c r="S14" s="444">
        <f t="shared" ref="S14:T14" si="12">S5/S9</f>
        <v>0.51364339974584727</v>
      </c>
      <c r="T14" s="444">
        <f t="shared" si="12"/>
        <v>0.47740981275189825</v>
      </c>
      <c r="U14" s="444">
        <f t="shared" ref="U14" si="13">U5/U9</f>
        <v>0.47859478999957056</v>
      </c>
      <c r="V14" s="502"/>
      <c r="W14" s="569">
        <f t="shared" ref="W14" si="14">(U14-T14)*100</f>
        <v>0.11849772476723031</v>
      </c>
      <c r="X14" s="569">
        <f t="shared" ref="X14" si="15">(U14-Q14)*100</f>
        <v>-5.5241959504638452</v>
      </c>
      <c r="Z14" s="280"/>
      <c r="AA14" s="280"/>
    </row>
    <row r="15" spans="2:28" ht="13" customHeight="1">
      <c r="B15" s="178"/>
      <c r="C15" s="281"/>
      <c r="D15" s="281"/>
      <c r="E15" s="281"/>
      <c r="F15" s="281"/>
      <c r="G15" s="281"/>
      <c r="H15" s="281"/>
      <c r="I15" s="281"/>
      <c r="J15" s="281"/>
      <c r="K15" s="281"/>
      <c r="L15" s="281"/>
      <c r="M15" s="281"/>
      <c r="N15" s="281"/>
      <c r="O15" s="281"/>
      <c r="P15" s="281"/>
      <c r="Q15" s="281"/>
      <c r="R15" s="281"/>
      <c r="S15" s="281"/>
      <c r="T15" s="281"/>
      <c r="U15" s="281"/>
      <c r="W15" s="281"/>
      <c r="X15" s="281"/>
    </row>
    <row r="16" spans="2:28" ht="13" customHeight="1">
      <c r="B16" s="3" t="str">
        <f>IF('Summary | Sumário'!D$6=Names!B$3,Names!AV17,Names!AW17)</f>
        <v>Personnel efficiency ratio </v>
      </c>
      <c r="C16" s="277"/>
      <c r="D16" s="277"/>
      <c r="E16" s="277"/>
      <c r="F16" s="277"/>
      <c r="G16" s="277"/>
      <c r="H16" s="277"/>
      <c r="I16" s="277"/>
      <c r="J16" s="277"/>
      <c r="K16" s="277"/>
      <c r="L16" s="277"/>
      <c r="M16" s="277"/>
      <c r="N16" s="277"/>
      <c r="O16" s="277"/>
      <c r="P16" s="277"/>
      <c r="Q16" s="277"/>
      <c r="R16" s="277"/>
      <c r="S16" s="277"/>
      <c r="T16" s="277"/>
      <c r="U16" s="277"/>
      <c r="V16" s="277"/>
      <c r="W16" s="277"/>
      <c r="X16" s="277"/>
    </row>
    <row r="17" spans="1:29" ht="13" customHeight="1">
      <c r="B17" s="446" t="str">
        <f>IF('Summary | Sumário'!D$6=Names!B$3,Names!AV18,Names!AW18)</f>
        <v>Personnel expenses</v>
      </c>
      <c r="C17" s="447">
        <f>C6</f>
        <v>169198</v>
      </c>
      <c r="D17" s="447">
        <f t="shared" ref="D17:Q17" si="16">D6</f>
        <v>229096</v>
      </c>
      <c r="E17" s="447">
        <f t="shared" si="16"/>
        <v>443328</v>
      </c>
      <c r="F17" s="447">
        <f t="shared" si="16"/>
        <v>733605</v>
      </c>
      <c r="G17" s="447">
        <f t="shared" ref="G17" si="17">G6</f>
        <v>790739</v>
      </c>
      <c r="H17" s="447">
        <f t="shared" si="16"/>
        <v>81861</v>
      </c>
      <c r="I17" s="447">
        <f t="shared" si="16"/>
        <v>93046</v>
      </c>
      <c r="J17" s="447">
        <f t="shared" si="16"/>
        <v>121250</v>
      </c>
      <c r="K17" s="447">
        <f t="shared" si="16"/>
        <v>147171</v>
      </c>
      <c r="L17" s="447">
        <f t="shared" si="16"/>
        <v>145120</v>
      </c>
      <c r="M17" s="447">
        <f t="shared" si="16"/>
        <v>172466</v>
      </c>
      <c r="N17" s="447">
        <f t="shared" si="16"/>
        <v>176232</v>
      </c>
      <c r="O17" s="447">
        <f t="shared" si="16"/>
        <v>239787</v>
      </c>
      <c r="P17" s="447">
        <f t="shared" si="16"/>
        <v>172412</v>
      </c>
      <c r="Q17" s="447">
        <f t="shared" si="16"/>
        <v>186249</v>
      </c>
      <c r="R17" s="447">
        <f t="shared" ref="R17:S17" si="18">R6</f>
        <v>210661</v>
      </c>
      <c r="S17" s="447">
        <f t="shared" si="18"/>
        <v>221417</v>
      </c>
      <c r="T17" s="447">
        <f t="shared" ref="T17:U17" si="19">T6</f>
        <v>190463</v>
      </c>
      <c r="U17" s="447">
        <f t="shared" si="19"/>
        <v>204207</v>
      </c>
      <c r="V17" s="274"/>
      <c r="W17" s="571">
        <f t="shared" ref="W17:W22" si="20">U17/T17-1</f>
        <v>7.2160997149052664E-2</v>
      </c>
      <c r="X17" s="571">
        <f t="shared" ref="X17:X22" si="21">U17/Q17-1</f>
        <v>9.6419309633877237E-2</v>
      </c>
    </row>
    <row r="18" spans="1:29" ht="13" customHeight="1">
      <c r="B18" s="93" t="str">
        <f>IF('Summary | Sumário'!D$6=Names!B$3,Names!AV19,Names!AW19)</f>
        <v>(÷) Total net revenues excluding tax expenses</v>
      </c>
      <c r="C18" s="274">
        <f>C9</f>
        <v>712223.66099999996</v>
      </c>
      <c r="D18" s="274">
        <f t="shared" ref="D18:Q18" si="22">D9</f>
        <v>1011378.89518</v>
      </c>
      <c r="E18" s="274">
        <f t="shared" si="22"/>
        <v>2075102.0209999997</v>
      </c>
      <c r="F18" s="274">
        <f t="shared" si="22"/>
        <v>3314109.0819999995</v>
      </c>
      <c r="G18" s="274">
        <f t="shared" ref="G18" si="23">G9</f>
        <v>4425992</v>
      </c>
      <c r="H18" s="274">
        <f t="shared" si="22"/>
        <v>389231.24800000002</v>
      </c>
      <c r="I18" s="274">
        <f t="shared" si="22"/>
        <v>437040.75100000005</v>
      </c>
      <c r="J18" s="274">
        <f t="shared" si="22"/>
        <v>565864.06799999997</v>
      </c>
      <c r="K18" s="274">
        <f t="shared" si="22"/>
        <v>682964.95399999991</v>
      </c>
      <c r="L18" s="274">
        <f t="shared" si="22"/>
        <v>776827.63199999998</v>
      </c>
      <c r="M18" s="274">
        <f t="shared" si="22"/>
        <v>815420.6370000001</v>
      </c>
      <c r="N18" s="274">
        <f t="shared" si="22"/>
        <v>788759.73100000003</v>
      </c>
      <c r="O18" s="274">
        <f t="shared" si="22"/>
        <v>933101.08199999994</v>
      </c>
      <c r="P18" s="274">
        <f t="shared" si="22"/>
        <v>955242.82200000004</v>
      </c>
      <c r="Q18" s="274">
        <f t="shared" si="22"/>
        <v>1077571</v>
      </c>
      <c r="R18" s="274">
        <f t="shared" ref="R18:S18" si="24">R9</f>
        <v>1171423.5890200001</v>
      </c>
      <c r="S18" s="274">
        <f t="shared" si="24"/>
        <v>1221756.18398</v>
      </c>
      <c r="T18" s="274">
        <f t="shared" ref="T18:U18" si="25">T9</f>
        <v>1314608.5045515322</v>
      </c>
      <c r="U18" s="274">
        <f t="shared" si="25"/>
        <v>1379181.3320838539</v>
      </c>
      <c r="V18" s="274"/>
      <c r="W18" s="539">
        <f t="shared" si="20"/>
        <v>4.9119435412712686E-2</v>
      </c>
      <c r="X18" s="539">
        <f t="shared" si="21"/>
        <v>0.27989833809916376</v>
      </c>
    </row>
    <row r="19" spans="1:29" ht="13" customHeight="1">
      <c r="B19" s="179" t="str">
        <f>IF('Summary | Sumário'!D$6=Names!B$3,Names!AV20,Names!AW20)</f>
        <v>Net interest income</v>
      </c>
      <c r="C19" s="282">
        <f t="shared" ref="C19:Q22" si="26">C10</f>
        <v>585551</v>
      </c>
      <c r="D19" s="282">
        <f t="shared" si="26"/>
        <v>715962.89517999999</v>
      </c>
      <c r="E19" s="282">
        <f t="shared" si="26"/>
        <v>1589469.2459999998</v>
      </c>
      <c r="F19" s="282">
        <f t="shared" si="26"/>
        <v>2335429.0819999995</v>
      </c>
      <c r="G19" s="282">
        <f t="shared" ref="G19" si="27">G10</f>
        <v>3208088</v>
      </c>
      <c r="H19" s="282">
        <f t="shared" si="26"/>
        <v>291580.935</v>
      </c>
      <c r="I19" s="282">
        <f t="shared" si="26"/>
        <v>302295.75100000005</v>
      </c>
      <c r="J19" s="282">
        <f t="shared" si="26"/>
        <v>447369.88</v>
      </c>
      <c r="K19" s="282">
        <f t="shared" si="26"/>
        <v>548221.67999999993</v>
      </c>
      <c r="L19" s="282">
        <f t="shared" si="26"/>
        <v>543410.63199999998</v>
      </c>
      <c r="M19" s="282">
        <f t="shared" si="26"/>
        <v>561087.6370000001</v>
      </c>
      <c r="N19" s="282">
        <f t="shared" si="26"/>
        <v>555587.73100000003</v>
      </c>
      <c r="O19" s="282">
        <f t="shared" si="26"/>
        <v>675343.08199999994</v>
      </c>
      <c r="P19" s="282">
        <f t="shared" si="26"/>
        <v>711561.82200000004</v>
      </c>
      <c r="Q19" s="282">
        <f t="shared" si="26"/>
        <v>802075</v>
      </c>
      <c r="R19" s="282">
        <f t="shared" ref="R19:S19" si="28">R10</f>
        <v>818557.08874000004</v>
      </c>
      <c r="S19" s="282">
        <f t="shared" si="28"/>
        <v>875895.08425999992</v>
      </c>
      <c r="T19" s="282">
        <f t="shared" ref="T19:U19" si="29">T10</f>
        <v>970665.10969999991</v>
      </c>
      <c r="U19" s="282">
        <f t="shared" si="29"/>
        <v>1029668.3320838539</v>
      </c>
      <c r="V19" s="274"/>
      <c r="W19" s="568">
        <f t="shared" si="20"/>
        <v>6.0786384298998852E-2</v>
      </c>
      <c r="X19" s="568">
        <f t="shared" si="21"/>
        <v>0.28375567382583156</v>
      </c>
    </row>
    <row r="20" spans="1:29" ht="13" customHeight="1">
      <c r="B20" s="94" t="str">
        <f>IF('Summary | Sumário'!D$6=Names!B$3,Names!AV21,Names!AW21)</f>
        <v>Net result from services and commissions</v>
      </c>
      <c r="C20" s="274">
        <f t="shared" si="26"/>
        <v>73829.660999999993</v>
      </c>
      <c r="D20" s="274">
        <f t="shared" si="26"/>
        <v>185534</v>
      </c>
      <c r="E20" s="274">
        <f t="shared" si="26"/>
        <v>442272</v>
      </c>
      <c r="F20" s="274">
        <f t="shared" si="26"/>
        <v>838806</v>
      </c>
      <c r="G20" s="274">
        <f t="shared" ref="G20" si="30">G11</f>
        <v>1168800</v>
      </c>
      <c r="H20" s="274">
        <f t="shared" si="26"/>
        <v>77686</v>
      </c>
      <c r="I20" s="274">
        <f t="shared" si="26"/>
        <v>89070</v>
      </c>
      <c r="J20" s="274">
        <f t="shared" si="26"/>
        <v>122853</v>
      </c>
      <c r="K20" s="274">
        <f t="shared" si="26"/>
        <v>152663</v>
      </c>
      <c r="L20" s="274">
        <f t="shared" si="26"/>
        <v>177703</v>
      </c>
      <c r="M20" s="274">
        <f t="shared" si="26"/>
        <v>204561</v>
      </c>
      <c r="N20" s="274">
        <f t="shared" si="26"/>
        <v>217029</v>
      </c>
      <c r="O20" s="274">
        <f t="shared" si="26"/>
        <v>239513</v>
      </c>
      <c r="P20" s="274">
        <f t="shared" si="26"/>
        <v>246675</v>
      </c>
      <c r="Q20" s="274">
        <f t="shared" si="26"/>
        <v>266801</v>
      </c>
      <c r="R20" s="274">
        <f t="shared" ref="R20:S20" si="31">R11</f>
        <v>315509</v>
      </c>
      <c r="S20" s="274">
        <f t="shared" si="31"/>
        <v>339815.6</v>
      </c>
      <c r="T20" s="274">
        <f t="shared" ref="T20:U20" si="32">T11</f>
        <v>340317.39485153224</v>
      </c>
      <c r="U20" s="274">
        <f t="shared" si="32"/>
        <v>364203</v>
      </c>
      <c r="V20" s="274"/>
      <c r="W20" s="539">
        <f t="shared" si="20"/>
        <v>7.0186259973247012E-2</v>
      </c>
      <c r="X20" s="539">
        <f t="shared" si="21"/>
        <v>0.36507359417693341</v>
      </c>
    </row>
    <row r="21" spans="1:29" ht="13" customHeight="1">
      <c r="B21" s="179" t="str">
        <f>IF('Summary | Sumário'!D$6=Names!B$3,Names!AV23,Names!AW23)</f>
        <v>Other revenues</v>
      </c>
      <c r="C21" s="282">
        <f t="shared" si="26"/>
        <v>52843</v>
      </c>
      <c r="D21" s="282">
        <f t="shared" si="26"/>
        <v>109882</v>
      </c>
      <c r="E21" s="282">
        <f t="shared" si="26"/>
        <v>190082</v>
      </c>
      <c r="F21" s="282">
        <f t="shared" si="26"/>
        <v>388462</v>
      </c>
      <c r="G21" s="282">
        <f t="shared" ref="G21" si="33">G12</f>
        <v>375688</v>
      </c>
      <c r="H21" s="282">
        <f t="shared" si="26"/>
        <v>47499</v>
      </c>
      <c r="I21" s="282">
        <f t="shared" si="26"/>
        <v>76048</v>
      </c>
      <c r="J21" s="282">
        <f t="shared" si="26"/>
        <v>36287</v>
      </c>
      <c r="K21" s="282">
        <f t="shared" si="26"/>
        <v>30248</v>
      </c>
      <c r="L21" s="282">
        <f t="shared" si="26"/>
        <v>112407</v>
      </c>
      <c r="M21" s="282">
        <f t="shared" si="26"/>
        <v>111372</v>
      </c>
      <c r="N21" s="282">
        <f t="shared" si="26"/>
        <v>77687</v>
      </c>
      <c r="O21" s="282">
        <f t="shared" si="26"/>
        <v>86996</v>
      </c>
      <c r="P21" s="282">
        <f t="shared" si="26"/>
        <v>65877</v>
      </c>
      <c r="Q21" s="282">
        <f t="shared" si="26"/>
        <v>81158</v>
      </c>
      <c r="R21" s="282">
        <f t="shared" ref="R21:S21" si="34">R12</f>
        <v>131429.50028000001</v>
      </c>
      <c r="S21" s="282">
        <f t="shared" si="34"/>
        <v>97223.499719999993</v>
      </c>
      <c r="T21" s="282">
        <f t="shared" ref="T21:U21" si="35">T12</f>
        <v>89957</v>
      </c>
      <c r="U21" s="282">
        <f t="shared" si="35"/>
        <v>84728</v>
      </c>
      <c r="V21" s="274"/>
      <c r="W21" s="568">
        <f t="shared" si="20"/>
        <v>-5.8127772157808733E-2</v>
      </c>
      <c r="X21" s="568">
        <f t="shared" si="21"/>
        <v>4.3988269794721369E-2</v>
      </c>
    </row>
    <row r="22" spans="1:29" ht="13" customHeight="1">
      <c r="B22" s="94" t="str">
        <f>IF('Summary | Sumário'!D$6=Names!B$3,Names!AV24,Names!AW24)</f>
        <v>Tax expenses</v>
      </c>
      <c r="C22" s="274">
        <f t="shared" si="26"/>
        <v>0</v>
      </c>
      <c r="D22" s="274">
        <f t="shared" si="26"/>
        <v>0</v>
      </c>
      <c r="E22" s="274">
        <f t="shared" si="26"/>
        <v>-146721.22500000001</v>
      </c>
      <c r="F22" s="274">
        <f t="shared" si="26"/>
        <v>-248588</v>
      </c>
      <c r="G22" s="274">
        <f t="shared" ref="G22" si="36">G13</f>
        <v>-326584</v>
      </c>
      <c r="H22" s="274">
        <f t="shared" si="26"/>
        <v>-27534.687000000002</v>
      </c>
      <c r="I22" s="274">
        <f t="shared" si="26"/>
        <v>-30373</v>
      </c>
      <c r="J22" s="274">
        <f t="shared" si="26"/>
        <v>-40645.811999999998</v>
      </c>
      <c r="K22" s="274">
        <f t="shared" si="26"/>
        <v>-48167.726000000002</v>
      </c>
      <c r="L22" s="274">
        <f t="shared" si="26"/>
        <v>-56693</v>
      </c>
      <c r="M22" s="274">
        <f t="shared" si="26"/>
        <v>-61600</v>
      </c>
      <c r="N22" s="274">
        <f t="shared" si="26"/>
        <v>-61544</v>
      </c>
      <c r="O22" s="274">
        <f t="shared" si="26"/>
        <v>-68751</v>
      </c>
      <c r="P22" s="274">
        <f t="shared" si="26"/>
        <v>-68871</v>
      </c>
      <c r="Q22" s="274">
        <f t="shared" si="26"/>
        <v>-72463</v>
      </c>
      <c r="R22" s="274">
        <f t="shared" ref="R22:S22" si="37">R13</f>
        <v>-94072</v>
      </c>
      <c r="S22" s="274">
        <f t="shared" si="37"/>
        <v>-91178</v>
      </c>
      <c r="T22" s="274">
        <f t="shared" ref="T22:U22" si="38">T13</f>
        <v>-86331</v>
      </c>
      <c r="U22" s="274">
        <f t="shared" si="38"/>
        <v>-99418</v>
      </c>
      <c r="V22" s="274"/>
      <c r="W22" s="539">
        <f t="shared" si="20"/>
        <v>0.1515909696401061</v>
      </c>
      <c r="X22" s="539">
        <f t="shared" si="21"/>
        <v>0.3719829430191961</v>
      </c>
    </row>
    <row r="23" spans="1:29" ht="13" customHeight="1">
      <c r="B23" s="448" t="str">
        <f>IF('Summary | Sumário'!D$6=Names!B$3,Names!AV25,Names!AW25)</f>
        <v> (=) Personnel efficiency ratio (%)</v>
      </c>
      <c r="C23" s="449">
        <f t="shared" ref="C23:P23" si="39">C17/C18</f>
        <v>0.23756301463284299</v>
      </c>
      <c r="D23" s="449">
        <f t="shared" si="39"/>
        <v>0.22651847007270867</v>
      </c>
      <c r="E23" s="449">
        <f t="shared" si="39"/>
        <v>0.21364154413302461</v>
      </c>
      <c r="F23" s="449">
        <f t="shared" si="39"/>
        <v>0.22135813331686832</v>
      </c>
      <c r="G23" s="449">
        <f t="shared" ref="G23" si="40">G17/G18</f>
        <v>0.17865802739815165</v>
      </c>
      <c r="H23" s="449">
        <f t="shared" si="39"/>
        <v>0.21031456343916149</v>
      </c>
      <c r="I23" s="449">
        <f t="shared" si="39"/>
        <v>0.21290005517128538</v>
      </c>
      <c r="J23" s="449">
        <f t="shared" si="39"/>
        <v>0.21427407544809862</v>
      </c>
      <c r="K23" s="449">
        <f t="shared" si="39"/>
        <v>0.215488363111528</v>
      </c>
      <c r="L23" s="449">
        <f t="shared" si="39"/>
        <v>0.18681106853315435</v>
      </c>
      <c r="M23" s="449">
        <f t="shared" si="39"/>
        <v>0.21150556188339389</v>
      </c>
      <c r="N23" s="449">
        <f t="shared" si="39"/>
        <v>0.22342925617737958</v>
      </c>
      <c r="O23" s="449">
        <f t="shared" si="39"/>
        <v>0.25697858959293329</v>
      </c>
      <c r="P23" s="449">
        <f t="shared" si="39"/>
        <v>0.18049023350839688</v>
      </c>
      <c r="Q23" s="449">
        <f>Q17/Q18</f>
        <v>0.17284151113940521</v>
      </c>
      <c r="R23" s="449">
        <f>R17/R18</f>
        <v>0.17983332585630843</v>
      </c>
      <c r="S23" s="449">
        <f>S17/S18</f>
        <v>0.18122846677862575</v>
      </c>
      <c r="T23" s="449">
        <f>T17/T18</f>
        <v>0.14488191681444726</v>
      </c>
      <c r="U23" s="449">
        <f>U17/U18</f>
        <v>0.14806392404648952</v>
      </c>
      <c r="V23" s="502"/>
      <c r="W23" s="574">
        <f t="shared" ref="W23" si="41">(U23-T23)*100</f>
        <v>0.3182007232042261</v>
      </c>
      <c r="X23" s="574">
        <f t="shared" ref="X23" si="42">(U23-Q23)*100</f>
        <v>-2.4777587092915692</v>
      </c>
    </row>
    <row r="24" spans="1:29" ht="13" customHeight="1">
      <c r="B24" s="101"/>
      <c r="C24" s="201"/>
      <c r="D24" s="201"/>
      <c r="E24" s="201"/>
      <c r="F24" s="201"/>
      <c r="G24" s="201"/>
      <c r="H24" s="201"/>
      <c r="I24" s="201"/>
      <c r="J24" s="201"/>
      <c r="K24" s="201"/>
      <c r="L24" s="201"/>
      <c r="M24" s="201"/>
      <c r="N24" s="201"/>
      <c r="O24" s="201"/>
      <c r="P24" s="201"/>
      <c r="Q24" s="201"/>
      <c r="R24" s="201"/>
      <c r="S24" s="201"/>
      <c r="T24" s="201"/>
      <c r="U24" s="201"/>
      <c r="V24" s="201"/>
      <c r="W24" s="201"/>
      <c r="X24" s="201"/>
    </row>
    <row r="25" spans="1:29" ht="13" customHeight="1">
      <c r="B25" s="445" t="str">
        <f>IF('Summary | Sumário'!D$6=Names!B$3,Names!AV27,Names!AW27)</f>
        <v>Administrative efficiency ratio </v>
      </c>
      <c r="C25" s="381"/>
      <c r="D25" s="381"/>
      <c r="E25" s="381"/>
      <c r="F25" s="381"/>
      <c r="G25" s="381"/>
      <c r="H25" s="381"/>
      <c r="I25" s="381"/>
      <c r="J25" s="381"/>
      <c r="K25" s="381"/>
      <c r="L25" s="381"/>
      <c r="M25" s="381"/>
      <c r="N25" s="381"/>
      <c r="O25" s="381"/>
      <c r="P25" s="381"/>
      <c r="Q25" s="381"/>
      <c r="R25" s="381"/>
      <c r="S25" s="381"/>
      <c r="T25" s="381"/>
      <c r="U25" s="381"/>
      <c r="V25" s="277"/>
      <c r="W25" s="381"/>
      <c r="X25" s="381"/>
    </row>
    <row r="26" spans="1:29" ht="13" customHeight="1">
      <c r="B26" s="450" t="str">
        <f>IF('Summary | Sumário'!D$6=Names!B$3,Names!AV37,Names!AW37)</f>
        <v>Administrative expenses + D&amp;A</v>
      </c>
      <c r="C26" s="426">
        <f t="shared" ref="C26:Q26" si="43">SUM(C27:C28)</f>
        <v>403772</v>
      </c>
      <c r="D26" s="426">
        <f t="shared" si="43"/>
        <v>684986</v>
      </c>
      <c r="E26" s="426">
        <f t="shared" si="43"/>
        <v>1258490.2949999999</v>
      </c>
      <c r="F26" s="426">
        <f t="shared" si="43"/>
        <v>1658456</v>
      </c>
      <c r="G26" s="426">
        <f t="shared" ref="G26" si="44">SUM(G27:G28)</f>
        <v>1621788</v>
      </c>
      <c r="H26" s="426">
        <f t="shared" si="43"/>
        <v>238261.31299999999</v>
      </c>
      <c r="I26" s="426">
        <f t="shared" si="43"/>
        <v>298099</v>
      </c>
      <c r="J26" s="426">
        <f t="shared" si="43"/>
        <v>266238.18799999997</v>
      </c>
      <c r="K26" s="426">
        <f t="shared" si="43"/>
        <v>455891.79399999999</v>
      </c>
      <c r="L26" s="426">
        <f t="shared" si="43"/>
        <v>413284</v>
      </c>
      <c r="M26" s="426">
        <f t="shared" si="43"/>
        <v>384129</v>
      </c>
      <c r="N26" s="426">
        <f t="shared" si="43"/>
        <v>415566</v>
      </c>
      <c r="O26" s="426">
        <f t="shared" si="43"/>
        <v>445477</v>
      </c>
      <c r="P26" s="426">
        <f t="shared" si="43"/>
        <v>423192</v>
      </c>
      <c r="Q26" s="426">
        <f t="shared" si="43"/>
        <v>388998</v>
      </c>
      <c r="R26" s="426">
        <f t="shared" ref="R26:S26" si="45">SUM(R27:R28)</f>
        <v>403468</v>
      </c>
      <c r="S26" s="426">
        <f t="shared" si="45"/>
        <v>406130</v>
      </c>
      <c r="T26" s="426">
        <f t="shared" ref="T26:U26" si="46">SUM(T27:T28)</f>
        <v>437144</v>
      </c>
      <c r="U26" s="426">
        <f t="shared" si="46"/>
        <v>455862</v>
      </c>
      <c r="V26" s="274"/>
      <c r="W26" s="542">
        <f t="shared" ref="W26:W33" si="47">U26/T26-1</f>
        <v>4.281884230368016E-2</v>
      </c>
      <c r="X26" s="542">
        <f t="shared" ref="X26:X33" si="48">U26/Q26-1</f>
        <v>0.17188777320191884</v>
      </c>
    </row>
    <row r="27" spans="1:29" ht="13" customHeight="1">
      <c r="B27" s="189" t="str">
        <f>IF('Summary | Sumário'!D$6=Names!B$3,Names!AV28,Names!AW28)</f>
        <v>Administrative expenses</v>
      </c>
      <c r="C27" s="284">
        <f t="shared" ref="C27:Q27" si="49">C7</f>
        <v>386309</v>
      </c>
      <c r="D27" s="284">
        <f t="shared" si="49"/>
        <v>641327</v>
      </c>
      <c r="E27" s="284">
        <f t="shared" si="49"/>
        <v>1164239.7749999999</v>
      </c>
      <c r="F27" s="284">
        <f t="shared" si="49"/>
        <v>1494484</v>
      </c>
      <c r="G27" s="284">
        <f t="shared" ref="G27" si="50">G7</f>
        <v>1461348</v>
      </c>
      <c r="H27" s="284">
        <f t="shared" si="49"/>
        <v>219095.31299999999</v>
      </c>
      <c r="I27" s="284">
        <f t="shared" si="49"/>
        <v>272761</v>
      </c>
      <c r="J27" s="284">
        <f t="shared" si="49"/>
        <v>235355.18799999999</v>
      </c>
      <c r="K27" s="284">
        <f t="shared" si="49"/>
        <v>437028.27399999998</v>
      </c>
      <c r="L27" s="284">
        <f t="shared" si="49"/>
        <v>376806</v>
      </c>
      <c r="M27" s="284">
        <f t="shared" si="49"/>
        <v>348618</v>
      </c>
      <c r="N27" s="284">
        <f t="shared" si="49"/>
        <v>379946</v>
      </c>
      <c r="O27" s="284">
        <f t="shared" si="49"/>
        <v>389114</v>
      </c>
      <c r="P27" s="284">
        <f t="shared" si="49"/>
        <v>385615</v>
      </c>
      <c r="Q27" s="284">
        <f t="shared" si="49"/>
        <v>347868</v>
      </c>
      <c r="R27" s="284">
        <f t="shared" ref="R27:S27" si="51">R7</f>
        <v>362877</v>
      </c>
      <c r="S27" s="284">
        <f t="shared" si="51"/>
        <v>364988</v>
      </c>
      <c r="T27" s="284">
        <f t="shared" ref="T27:U27" si="52">T7</f>
        <v>395244</v>
      </c>
      <c r="U27" s="284">
        <f t="shared" si="52"/>
        <v>402827</v>
      </c>
      <c r="V27" s="283"/>
      <c r="W27" s="572">
        <f t="shared" si="47"/>
        <v>1.9185616985962994E-2</v>
      </c>
      <c r="X27" s="572">
        <f t="shared" si="48"/>
        <v>0.157988087435464</v>
      </c>
    </row>
    <row r="28" spans="1:29" ht="13" customHeight="1">
      <c r="B28" s="94" t="str">
        <f>IF('Summary | Sumário'!D$6=Names!B$3,Names!AV7,Names!AW7)</f>
        <v>Depreciation and amortization</v>
      </c>
      <c r="C28" s="285">
        <f t="shared" ref="C28:Q28" si="53">C8</f>
        <v>17463</v>
      </c>
      <c r="D28" s="285">
        <f t="shared" si="53"/>
        <v>43659</v>
      </c>
      <c r="E28" s="285">
        <f t="shared" si="53"/>
        <v>94250.52</v>
      </c>
      <c r="F28" s="285">
        <f t="shared" si="53"/>
        <v>163972</v>
      </c>
      <c r="G28" s="285">
        <f t="shared" ref="G28" si="54">G8</f>
        <v>160440</v>
      </c>
      <c r="H28" s="285">
        <f t="shared" si="53"/>
        <v>19166</v>
      </c>
      <c r="I28" s="285">
        <f t="shared" si="53"/>
        <v>25338</v>
      </c>
      <c r="J28" s="285">
        <f t="shared" si="53"/>
        <v>30883</v>
      </c>
      <c r="K28" s="285">
        <f t="shared" si="53"/>
        <v>18863.520000000004</v>
      </c>
      <c r="L28" s="285">
        <f t="shared" si="53"/>
        <v>36478</v>
      </c>
      <c r="M28" s="285">
        <f t="shared" si="53"/>
        <v>35511</v>
      </c>
      <c r="N28" s="285">
        <f t="shared" si="53"/>
        <v>35620</v>
      </c>
      <c r="O28" s="285">
        <f t="shared" si="53"/>
        <v>56363</v>
      </c>
      <c r="P28" s="285">
        <f t="shared" si="53"/>
        <v>37577</v>
      </c>
      <c r="Q28" s="285">
        <f t="shared" si="53"/>
        <v>41130</v>
      </c>
      <c r="R28" s="285">
        <f t="shared" ref="R28:S28" si="55">R8</f>
        <v>40591</v>
      </c>
      <c r="S28" s="285">
        <f t="shared" si="55"/>
        <v>41142</v>
      </c>
      <c r="T28" s="285">
        <f t="shared" ref="T28:U28" si="56">T8</f>
        <v>41900</v>
      </c>
      <c r="U28" s="285">
        <f t="shared" si="56"/>
        <v>53035</v>
      </c>
      <c r="V28" s="285"/>
      <c r="W28" s="280">
        <f t="shared" si="47"/>
        <v>0.26575178997613369</v>
      </c>
      <c r="X28" s="280">
        <f t="shared" si="48"/>
        <v>0.28944809141745687</v>
      </c>
    </row>
    <row r="29" spans="1:29" ht="13" customHeight="1">
      <c r="B29" s="178" t="str">
        <f>IF('Summary | Sumário'!D$6=Names!B$3,Names!AV29,Names!AW29)</f>
        <v>(÷) Total net revenues excluding tax expenses</v>
      </c>
      <c r="C29" s="286">
        <f>C9</f>
        <v>712223.66099999996</v>
      </c>
      <c r="D29" s="286">
        <f t="shared" ref="D29:Q29" si="57">D9</f>
        <v>1011378.89518</v>
      </c>
      <c r="E29" s="286">
        <f t="shared" si="57"/>
        <v>2075102.0209999997</v>
      </c>
      <c r="F29" s="286">
        <f t="shared" si="57"/>
        <v>3314109.0819999995</v>
      </c>
      <c r="G29" s="286">
        <f t="shared" ref="G29" si="58">G9</f>
        <v>4425992</v>
      </c>
      <c r="H29" s="286">
        <f t="shared" si="57"/>
        <v>389231.24800000002</v>
      </c>
      <c r="I29" s="286">
        <f t="shared" si="57"/>
        <v>437040.75100000005</v>
      </c>
      <c r="J29" s="286">
        <f t="shared" si="57"/>
        <v>565864.06799999997</v>
      </c>
      <c r="K29" s="286">
        <f t="shared" si="57"/>
        <v>682964.95399999991</v>
      </c>
      <c r="L29" s="286">
        <f t="shared" si="57"/>
        <v>776827.63199999998</v>
      </c>
      <c r="M29" s="286">
        <f t="shared" si="57"/>
        <v>815420.6370000001</v>
      </c>
      <c r="N29" s="286">
        <f t="shared" si="57"/>
        <v>788759.73100000003</v>
      </c>
      <c r="O29" s="286">
        <f t="shared" si="57"/>
        <v>933101.08199999994</v>
      </c>
      <c r="P29" s="286">
        <f t="shared" si="57"/>
        <v>955242.82200000004</v>
      </c>
      <c r="Q29" s="286">
        <f t="shared" si="57"/>
        <v>1077571</v>
      </c>
      <c r="R29" s="286">
        <f t="shared" ref="R29:S29" si="59">R9</f>
        <v>1171423.5890200001</v>
      </c>
      <c r="S29" s="286">
        <f t="shared" si="59"/>
        <v>1221756.18398</v>
      </c>
      <c r="T29" s="286">
        <f t="shared" ref="T29:U29" si="60">T9</f>
        <v>1314608.5045515322</v>
      </c>
      <c r="U29" s="286">
        <f t="shared" si="60"/>
        <v>1379181.3320838539</v>
      </c>
      <c r="V29" s="285"/>
      <c r="W29" s="573">
        <f t="shared" si="47"/>
        <v>4.9119435412712686E-2</v>
      </c>
      <c r="X29" s="573">
        <f t="shared" si="48"/>
        <v>0.27989833809916376</v>
      </c>
    </row>
    <row r="30" spans="1:29" ht="13" customHeight="1">
      <c r="B30" s="94" t="str">
        <f>IF('Summary | Sumário'!D$6=Names!B$3,Names!AV30,Names!AW30)</f>
        <v>Net interest income</v>
      </c>
      <c r="C30" s="285">
        <f>C10</f>
        <v>585551</v>
      </c>
      <c r="D30" s="285">
        <f t="shared" ref="D30:Q30" si="61">D10</f>
        <v>715962.89517999999</v>
      </c>
      <c r="E30" s="285">
        <f t="shared" si="61"/>
        <v>1589469.2459999998</v>
      </c>
      <c r="F30" s="285">
        <f t="shared" si="61"/>
        <v>2335429.0819999995</v>
      </c>
      <c r="G30" s="285">
        <f t="shared" ref="G30" si="62">G10</f>
        <v>3208088</v>
      </c>
      <c r="H30" s="285">
        <f t="shared" si="61"/>
        <v>291580.935</v>
      </c>
      <c r="I30" s="285">
        <f t="shared" si="61"/>
        <v>302295.75100000005</v>
      </c>
      <c r="J30" s="285">
        <f t="shared" si="61"/>
        <v>447369.88</v>
      </c>
      <c r="K30" s="285">
        <f t="shared" si="61"/>
        <v>548221.67999999993</v>
      </c>
      <c r="L30" s="285">
        <f t="shared" si="61"/>
        <v>543410.63199999998</v>
      </c>
      <c r="M30" s="285">
        <f t="shared" si="61"/>
        <v>561087.6370000001</v>
      </c>
      <c r="N30" s="285">
        <f t="shared" si="61"/>
        <v>555587.73100000003</v>
      </c>
      <c r="O30" s="285">
        <f t="shared" si="61"/>
        <v>675343.08199999994</v>
      </c>
      <c r="P30" s="285">
        <f t="shared" si="61"/>
        <v>711561.82200000004</v>
      </c>
      <c r="Q30" s="285">
        <f t="shared" si="61"/>
        <v>802075</v>
      </c>
      <c r="R30" s="285">
        <f t="shared" ref="R30:S30" si="63">R10</f>
        <v>818557.08874000004</v>
      </c>
      <c r="S30" s="285">
        <f t="shared" si="63"/>
        <v>875895.08425999992</v>
      </c>
      <c r="T30" s="285">
        <f t="shared" ref="T30:U30" si="64">T10</f>
        <v>970665.10969999991</v>
      </c>
      <c r="U30" s="285">
        <f t="shared" si="64"/>
        <v>1029668.3320838539</v>
      </c>
      <c r="V30" s="285"/>
      <c r="W30" s="280">
        <f t="shared" si="47"/>
        <v>6.0786384298998852E-2</v>
      </c>
      <c r="X30" s="280">
        <f t="shared" si="48"/>
        <v>0.28375567382583156</v>
      </c>
    </row>
    <row r="31" spans="1:29" ht="13" customHeight="1">
      <c r="B31" s="179" t="str">
        <f>IF('Summary | Sumário'!D$6=Names!B$3,Names!AV31,Names!AW31)</f>
        <v>Net result from services and commissions</v>
      </c>
      <c r="C31" s="286">
        <f>C11</f>
        <v>73829.660999999993</v>
      </c>
      <c r="D31" s="286">
        <f t="shared" ref="D31:Q31" si="65">D11</f>
        <v>185534</v>
      </c>
      <c r="E31" s="286">
        <f t="shared" si="65"/>
        <v>442272</v>
      </c>
      <c r="F31" s="286">
        <f t="shared" si="65"/>
        <v>838806</v>
      </c>
      <c r="G31" s="286">
        <f t="shared" ref="G31" si="66">G11</f>
        <v>1168800</v>
      </c>
      <c r="H31" s="286">
        <f t="shared" si="65"/>
        <v>77686</v>
      </c>
      <c r="I31" s="286">
        <f t="shared" si="65"/>
        <v>89070</v>
      </c>
      <c r="J31" s="286">
        <f t="shared" si="65"/>
        <v>122853</v>
      </c>
      <c r="K31" s="286">
        <f t="shared" si="65"/>
        <v>152663</v>
      </c>
      <c r="L31" s="286">
        <f t="shared" si="65"/>
        <v>177703</v>
      </c>
      <c r="M31" s="286">
        <f t="shared" si="65"/>
        <v>204561</v>
      </c>
      <c r="N31" s="286">
        <f t="shared" si="65"/>
        <v>217029</v>
      </c>
      <c r="O31" s="286">
        <f t="shared" si="65"/>
        <v>239513</v>
      </c>
      <c r="P31" s="286">
        <f t="shared" si="65"/>
        <v>246675</v>
      </c>
      <c r="Q31" s="286">
        <f t="shared" si="65"/>
        <v>266801</v>
      </c>
      <c r="R31" s="286">
        <f t="shared" ref="R31:S31" si="67">R11</f>
        <v>315509</v>
      </c>
      <c r="S31" s="286">
        <f t="shared" si="67"/>
        <v>339815.6</v>
      </c>
      <c r="T31" s="286">
        <f t="shared" ref="T31:U31" si="68">T11</f>
        <v>340317.39485153224</v>
      </c>
      <c r="U31" s="286">
        <f t="shared" si="68"/>
        <v>364203</v>
      </c>
      <c r="V31" s="285"/>
      <c r="W31" s="573">
        <f t="shared" si="47"/>
        <v>7.0186259973247012E-2</v>
      </c>
      <c r="X31" s="573">
        <f t="shared" si="48"/>
        <v>0.36507359417693341</v>
      </c>
    </row>
    <row r="32" spans="1:29" s="202" customFormat="1" ht="13" customHeight="1">
      <c r="A32" s="201"/>
      <c r="B32" s="94" t="str">
        <f>IF('Summary | Sumário'!D$6=Names!B$3,Names!AV33,Names!AW33)</f>
        <v>Other revenues</v>
      </c>
      <c r="C32" s="285">
        <f>C12</f>
        <v>52843</v>
      </c>
      <c r="D32" s="285">
        <f t="shared" ref="D32:Q32" si="69">D12</f>
        <v>109882</v>
      </c>
      <c r="E32" s="285">
        <f t="shared" si="69"/>
        <v>190082</v>
      </c>
      <c r="F32" s="285">
        <f t="shared" si="69"/>
        <v>388462</v>
      </c>
      <c r="G32" s="285">
        <f t="shared" ref="G32" si="70">G12</f>
        <v>375688</v>
      </c>
      <c r="H32" s="285">
        <f t="shared" si="69"/>
        <v>47499</v>
      </c>
      <c r="I32" s="285">
        <f t="shared" si="69"/>
        <v>76048</v>
      </c>
      <c r="J32" s="285">
        <f t="shared" si="69"/>
        <v>36287</v>
      </c>
      <c r="K32" s="285">
        <f t="shared" si="69"/>
        <v>30248</v>
      </c>
      <c r="L32" s="285">
        <f t="shared" si="69"/>
        <v>112407</v>
      </c>
      <c r="M32" s="285">
        <f t="shared" si="69"/>
        <v>111372</v>
      </c>
      <c r="N32" s="285">
        <f t="shared" si="69"/>
        <v>77687</v>
      </c>
      <c r="O32" s="285">
        <f t="shared" si="69"/>
        <v>86996</v>
      </c>
      <c r="P32" s="285">
        <f t="shared" si="69"/>
        <v>65877</v>
      </c>
      <c r="Q32" s="285">
        <f t="shared" si="69"/>
        <v>81158</v>
      </c>
      <c r="R32" s="285">
        <f t="shared" ref="R32:S32" si="71">R12</f>
        <v>131429.50028000001</v>
      </c>
      <c r="S32" s="285">
        <f t="shared" si="71"/>
        <v>97223.499719999993</v>
      </c>
      <c r="T32" s="285">
        <f t="shared" ref="T32:U32" si="72">T12</f>
        <v>89957</v>
      </c>
      <c r="U32" s="285">
        <f t="shared" si="72"/>
        <v>84728</v>
      </c>
      <c r="V32" s="285"/>
      <c r="W32" s="280">
        <f t="shared" si="47"/>
        <v>-5.8127772157808733E-2</v>
      </c>
      <c r="X32" s="280">
        <f t="shared" si="48"/>
        <v>4.3988269794721369E-2</v>
      </c>
      <c r="Y32" s="201"/>
      <c r="Z32" s="201"/>
      <c r="AA32" s="201"/>
      <c r="AB32" s="201"/>
      <c r="AC32" s="201"/>
    </row>
    <row r="33" spans="2:24" ht="13" customHeight="1">
      <c r="B33" s="179" t="str">
        <f>IF('Summary | Sumário'!D$6=Names!B$3,Names!AV34,Names!AW34)</f>
        <v>Tax expenses</v>
      </c>
      <c r="C33" s="286">
        <f>C13</f>
        <v>0</v>
      </c>
      <c r="D33" s="286">
        <f t="shared" ref="D33:Q33" si="73">D13</f>
        <v>0</v>
      </c>
      <c r="E33" s="286">
        <f t="shared" si="73"/>
        <v>-146721.22500000001</v>
      </c>
      <c r="F33" s="286">
        <f t="shared" si="73"/>
        <v>-248588</v>
      </c>
      <c r="G33" s="286">
        <f t="shared" ref="G33" si="74">G13</f>
        <v>-326584</v>
      </c>
      <c r="H33" s="286">
        <f t="shared" si="73"/>
        <v>-27534.687000000002</v>
      </c>
      <c r="I33" s="286">
        <f t="shared" si="73"/>
        <v>-30373</v>
      </c>
      <c r="J33" s="286">
        <f t="shared" si="73"/>
        <v>-40645.811999999998</v>
      </c>
      <c r="K33" s="286">
        <f t="shared" si="73"/>
        <v>-48167.726000000002</v>
      </c>
      <c r="L33" s="286">
        <f t="shared" si="73"/>
        <v>-56693</v>
      </c>
      <c r="M33" s="286">
        <f t="shared" si="73"/>
        <v>-61600</v>
      </c>
      <c r="N33" s="286">
        <f t="shared" si="73"/>
        <v>-61544</v>
      </c>
      <c r="O33" s="286">
        <f t="shared" si="73"/>
        <v>-68751</v>
      </c>
      <c r="P33" s="286">
        <f t="shared" si="73"/>
        <v>-68871</v>
      </c>
      <c r="Q33" s="286">
        <f t="shared" si="73"/>
        <v>-72463</v>
      </c>
      <c r="R33" s="286">
        <f t="shared" ref="R33:S33" si="75">R13</f>
        <v>-94072</v>
      </c>
      <c r="S33" s="286">
        <f t="shared" si="75"/>
        <v>-91178</v>
      </c>
      <c r="T33" s="286">
        <f t="shared" ref="T33:U33" si="76">T13</f>
        <v>-86331</v>
      </c>
      <c r="U33" s="286">
        <f t="shared" si="76"/>
        <v>-99418</v>
      </c>
      <c r="V33" s="285"/>
      <c r="W33" s="573">
        <f t="shared" si="47"/>
        <v>0.1515909696401061</v>
      </c>
      <c r="X33" s="573">
        <f t="shared" si="48"/>
        <v>0.3719829430191961</v>
      </c>
    </row>
    <row r="34" spans="2:24" ht="13" customHeight="1">
      <c r="B34" s="420" t="str">
        <f>IF('Summary | Sumário'!D$6=Names!B$3,Names!AV35,Names!AW35)</f>
        <v> (=) Administrative efficiency ratio (%)</v>
      </c>
      <c r="C34" s="444">
        <f t="shared" ref="C34:Q34" si="77">C26/C29</f>
        <v>0.56691741949864827</v>
      </c>
      <c r="D34" s="444">
        <f t="shared" si="77"/>
        <v>0.67727930972703332</v>
      </c>
      <c r="E34" s="444">
        <f t="shared" si="77"/>
        <v>0.60647152875574217</v>
      </c>
      <c r="F34" s="444">
        <f t="shared" si="77"/>
        <v>0.50042287654549822</v>
      </c>
      <c r="G34" s="444">
        <f t="shared" ref="G34" si="78">G26/G29</f>
        <v>0.36642361757544978</v>
      </c>
      <c r="H34" s="444">
        <f t="shared" si="77"/>
        <v>0.6121330551549139</v>
      </c>
      <c r="I34" s="444">
        <f t="shared" si="77"/>
        <v>0.68208513580922336</v>
      </c>
      <c r="J34" s="444">
        <f t="shared" si="77"/>
        <v>0.47049848727981075</v>
      </c>
      <c r="K34" s="444">
        <f t="shared" si="77"/>
        <v>0.66751857665598469</v>
      </c>
      <c r="L34" s="444">
        <f t="shared" si="77"/>
        <v>0.53201506096786222</v>
      </c>
      <c r="M34" s="444">
        <f t="shared" si="77"/>
        <v>0.47108079262408947</v>
      </c>
      <c r="N34" s="444">
        <f t="shared" si="77"/>
        <v>0.52686006101394134</v>
      </c>
      <c r="O34" s="444">
        <f t="shared" si="77"/>
        <v>0.47741558614975438</v>
      </c>
      <c r="P34" s="444">
        <f t="shared" si="77"/>
        <v>0.44302034022507419</v>
      </c>
      <c r="Q34" s="444">
        <f t="shared" si="77"/>
        <v>0.36099523836480379</v>
      </c>
      <c r="R34" s="444">
        <f t="shared" ref="R34:S34" si="79">R26/R29</f>
        <v>0.34442536737503882</v>
      </c>
      <c r="S34" s="444">
        <f t="shared" si="79"/>
        <v>0.33241493296722147</v>
      </c>
      <c r="T34" s="444">
        <f t="shared" ref="T34:U34" si="80">T26/T29</f>
        <v>0.33252789593745102</v>
      </c>
      <c r="U34" s="444">
        <f t="shared" si="80"/>
        <v>0.33053086595308101</v>
      </c>
      <c r="V34" s="502"/>
      <c r="W34" s="569">
        <f t="shared" ref="W34" si="81">(U34-T34)*100</f>
        <v>-0.19970299843700134</v>
      </c>
      <c r="X34" s="569">
        <f t="shared" ref="X34" si="82">(U34-Q34)*100</f>
        <v>-3.0464372411722787</v>
      </c>
    </row>
    <row r="35" spans="2:24" ht="13" customHeight="1">
      <c r="B35" s="101"/>
    </row>
    <row r="36" spans="2:24" ht="13" customHeight="1">
      <c r="B36" s="26"/>
    </row>
    <row r="37" spans="2:24" ht="13" customHeight="1">
      <c r="G37" s="470"/>
    </row>
    <row r="38" spans="2:24" ht="13" customHeight="1">
      <c r="B38" s="26"/>
      <c r="G38" s="469"/>
    </row>
    <row r="39" spans="2:24" ht="13" customHeight="1">
      <c r="D39" s="287"/>
    </row>
    <row r="40" spans="2:24" ht="13" customHeight="1">
      <c r="U40" s="468"/>
      <c r="V40" s="468"/>
      <c r="W40" s="468"/>
      <c r="X40" s="468"/>
    </row>
  </sheetData>
  <sheetProtection algorithmName="SHA-512" hashValue="ZRmhTi4qVRZsKK0sJFo3SWJwzdpeKeiNzYRb/Tbs2YK+JwYzlZHpAOgsM0dbfmEUXkvpwdsxYsB9p6IWaY76iA==" saltValue="YSHet13US8dicUl3BRmSs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4061-A401-1843-A502-21FD0465969E}">
  <sheetPr>
    <tabColor theme="5" tint="0.59999389629810485"/>
  </sheetPr>
  <dimension ref="A1:AC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6" width="10.83203125" style="202" customWidth="1"/>
    <col min="7" max="7" width="10.83203125" style="201"/>
    <col min="8" max="16" width="10.83203125" style="202" customWidth="1"/>
    <col min="17" max="20" width="10.83203125" style="202"/>
    <col min="21" max="21" width="10.83203125" style="201"/>
    <col min="22" max="22" width="5.83203125" style="201" customWidth="1"/>
    <col min="23" max="16384" width="10.83203125" style="201"/>
  </cols>
  <sheetData>
    <row r="1" spans="2:28" ht="13" customHeight="1">
      <c r="G1" s="202"/>
      <c r="U1" s="202"/>
      <c r="V1" s="202"/>
      <c r="W1" s="202"/>
      <c r="X1" s="202"/>
      <c r="Y1" s="202"/>
    </row>
    <row r="2" spans="2:28" s="10" customFormat="1" ht="13" customHeight="1">
      <c r="B2" s="384" t="str">
        <f>IF('Summary | Sumário'!D$6=Names!B$3,Names!AF1,Names!AG1)</f>
        <v>Monthly Cost-to-serve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12">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5"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2:28" ht="13" customHeight="1">
      <c r="B3" s="76"/>
      <c r="C3" s="241"/>
      <c r="D3" s="241"/>
      <c r="E3" s="241"/>
      <c r="F3" s="241"/>
      <c r="G3" s="213"/>
      <c r="H3" s="241"/>
      <c r="I3" s="241"/>
      <c r="J3" s="241"/>
      <c r="K3" s="241"/>
      <c r="L3" s="241"/>
      <c r="M3" s="241"/>
      <c r="N3" s="241"/>
      <c r="O3" s="241"/>
      <c r="P3" s="241"/>
      <c r="Q3" s="241"/>
      <c r="R3" s="241"/>
      <c r="S3" s="241"/>
      <c r="T3" s="241"/>
      <c r="U3" s="213"/>
      <c r="V3" s="213"/>
      <c r="W3" s="213"/>
      <c r="X3" s="213"/>
      <c r="Y3" s="213"/>
    </row>
    <row r="4" spans="2:28" ht="13" customHeight="1">
      <c r="B4" s="3" t="str">
        <f>IF('Summary | Sumário'!D$6=Names!B$3,Names!AF3,Names!AG3)</f>
        <v>Cost-to-serve</v>
      </c>
      <c r="C4" s="277"/>
      <c r="D4" s="277"/>
      <c r="E4" s="277"/>
      <c r="F4" s="277"/>
      <c r="G4" s="277"/>
      <c r="H4" s="277"/>
      <c r="I4" s="277"/>
      <c r="J4" s="277"/>
      <c r="K4" s="277"/>
      <c r="L4" s="277"/>
      <c r="M4" s="277"/>
      <c r="N4" s="277"/>
      <c r="O4" s="277"/>
      <c r="P4" s="277"/>
      <c r="Q4" s="277"/>
      <c r="R4" s="277"/>
      <c r="S4" s="277"/>
      <c r="T4" s="277"/>
      <c r="U4" s="277"/>
      <c r="V4" s="277"/>
      <c r="W4" s="277"/>
      <c r="X4" s="277"/>
    </row>
    <row r="5" spans="2:28" ht="13" customHeight="1">
      <c r="B5" s="422" t="str">
        <f>IF('Summary | Sumário'!D$6=Names!B$3,Names!AF4,Names!AG4)</f>
        <v>Monthly average of cost-to-serve</v>
      </c>
      <c r="C5" s="423">
        <f>C6/12</f>
        <v>42794.025094127275</v>
      </c>
      <c r="D5" s="423">
        <f t="shared" ref="D5:G5" si="0">D6/12</f>
        <v>67177.754286566269</v>
      </c>
      <c r="E5" s="423">
        <f t="shared" si="0"/>
        <v>122553.85398560927</v>
      </c>
      <c r="F5" s="423">
        <f t="shared" si="0"/>
        <v>177431.74372495562</v>
      </c>
      <c r="G5" s="423">
        <f t="shared" si="0"/>
        <v>186292.69927320103</v>
      </c>
      <c r="H5" s="423">
        <f>H6/3</f>
        <v>90358.620573333334</v>
      </c>
      <c r="I5" s="423">
        <f t="shared" ref="I5:U5" si="1">I6/3</f>
        <v>113372.35140666667</v>
      </c>
      <c r="J5" s="423">
        <f t="shared" si="1"/>
        <v>108504.75255999999</v>
      </c>
      <c r="K5" s="423">
        <f t="shared" si="1"/>
        <v>177979.69140243714</v>
      </c>
      <c r="L5" s="423">
        <f t="shared" si="1"/>
        <v>163822.55539315593</v>
      </c>
      <c r="M5" s="423">
        <f t="shared" si="1"/>
        <v>161347.50881999999</v>
      </c>
      <c r="N5" s="423">
        <f t="shared" si="1"/>
        <v>176821.34316666666</v>
      </c>
      <c r="O5" s="423">
        <f t="shared" si="1"/>
        <v>207735.56752000001</v>
      </c>
      <c r="P5" s="423">
        <f t="shared" si="1"/>
        <v>180808.90153333335</v>
      </c>
      <c r="Q5" s="423">
        <f t="shared" si="1"/>
        <v>175584.57369999998</v>
      </c>
      <c r="R5" s="423">
        <f t="shared" si="1"/>
        <v>189620.87386666666</v>
      </c>
      <c r="S5" s="423">
        <f t="shared" si="1"/>
        <v>199156.44799280408</v>
      </c>
      <c r="T5" s="423">
        <f t="shared" si="1"/>
        <v>197441.74533333335</v>
      </c>
      <c r="U5" s="423">
        <f t="shared" si="1"/>
        <v>199246.06375</v>
      </c>
      <c r="V5" s="274"/>
      <c r="W5" s="538">
        <f t="shared" ref="W5:W14" si="2">U5/T5-1</f>
        <v>9.1384849420799164E-3</v>
      </c>
      <c r="X5" s="538">
        <f t="shared" ref="X5:X14" si="3">U5/Q5-1</f>
        <v>0.13475836488020598</v>
      </c>
    </row>
    <row r="6" spans="2:28" ht="13" customHeight="1">
      <c r="B6" s="83" t="str">
        <f>IF('Summary | Sumário'!D$6=Names!B$3,Names!AF5,Names!AG5)</f>
        <v>Total cost-to-serve</v>
      </c>
      <c r="C6" s="274">
        <f>SUM(C7:C10)</f>
        <v>513528.30112952727</v>
      </c>
      <c r="D6" s="274">
        <f t="shared" ref="D6:P6" si="4">SUM(D7:D10)</f>
        <v>806133.05143879517</v>
      </c>
      <c r="E6" s="274">
        <f t="shared" si="4"/>
        <v>1470646.2478273113</v>
      </c>
      <c r="F6" s="274">
        <f t="shared" si="4"/>
        <v>2129180.9246994676</v>
      </c>
      <c r="G6" s="274">
        <f t="shared" ref="G6" si="5">SUM(G7:G10)</f>
        <v>2235512.3912784122</v>
      </c>
      <c r="H6" s="274">
        <f t="shared" si="4"/>
        <v>271075.86171999999</v>
      </c>
      <c r="I6" s="274">
        <f t="shared" si="4"/>
        <v>340117.05421999999</v>
      </c>
      <c r="J6" s="274">
        <f t="shared" si="4"/>
        <v>325514.25767999998</v>
      </c>
      <c r="K6" s="274">
        <f t="shared" si="4"/>
        <v>533939.07420731138</v>
      </c>
      <c r="L6" s="274">
        <f t="shared" si="4"/>
        <v>491467.66617946781</v>
      </c>
      <c r="M6" s="274">
        <f t="shared" si="4"/>
        <v>484042.52645999996</v>
      </c>
      <c r="N6" s="274">
        <f t="shared" si="4"/>
        <v>530464.02949999995</v>
      </c>
      <c r="O6" s="274">
        <f t="shared" si="4"/>
        <v>623206.70256000001</v>
      </c>
      <c r="P6" s="274">
        <f t="shared" si="4"/>
        <v>542426.70460000006</v>
      </c>
      <c r="Q6" s="274">
        <f t="shared" ref="Q6:R6" si="6">SUM(Q7:Q10)</f>
        <v>526753.72109999997</v>
      </c>
      <c r="R6" s="274">
        <f t="shared" si="6"/>
        <v>568862.62159999995</v>
      </c>
      <c r="S6" s="274">
        <f t="shared" ref="S6:T6" si="7">SUM(S7:S10)</f>
        <v>597469.34397841222</v>
      </c>
      <c r="T6" s="274">
        <f t="shared" si="7"/>
        <v>592325.23600000003</v>
      </c>
      <c r="U6" s="274">
        <f t="shared" ref="U6" si="8">SUM(U7:U10)</f>
        <v>597738.19125000003</v>
      </c>
      <c r="V6" s="274"/>
      <c r="W6" s="539">
        <f t="shared" si="2"/>
        <v>9.1384849420801384E-3</v>
      </c>
      <c r="X6" s="539">
        <f t="shared" si="3"/>
        <v>0.13475836488020598</v>
      </c>
    </row>
    <row r="7" spans="2:28" ht="13" customHeight="1">
      <c r="B7" s="97" t="str">
        <f>IF('Summary | Sumário'!D$6=Names!B$3,Names!AF6,Names!AG6)</f>
        <v>Personnel expenses</v>
      </c>
      <c r="C7" s="269">
        <v>169198</v>
      </c>
      <c r="D7" s="269">
        <v>229096</v>
      </c>
      <c r="E7" s="269">
        <v>443328</v>
      </c>
      <c r="F7" s="269">
        <v>733605</v>
      </c>
      <c r="G7" s="269">
        <v>790739</v>
      </c>
      <c r="H7" s="269">
        <v>81861</v>
      </c>
      <c r="I7" s="269">
        <v>93046</v>
      </c>
      <c r="J7" s="269">
        <v>121250</v>
      </c>
      <c r="K7" s="269">
        <v>147171</v>
      </c>
      <c r="L7" s="269">
        <v>145120</v>
      </c>
      <c r="M7" s="269">
        <v>172466</v>
      </c>
      <c r="N7" s="269">
        <v>176232</v>
      </c>
      <c r="O7" s="269">
        <v>239787</v>
      </c>
      <c r="P7" s="269">
        <v>172412</v>
      </c>
      <c r="Q7" s="269">
        <v>186249</v>
      </c>
      <c r="R7" s="269">
        <v>210661</v>
      </c>
      <c r="S7" s="269">
        <v>221417</v>
      </c>
      <c r="T7" s="269">
        <v>190463</v>
      </c>
      <c r="U7" s="269">
        <v>204207</v>
      </c>
      <c r="V7" s="274"/>
      <c r="W7" s="540">
        <f t="shared" si="2"/>
        <v>7.2160997149052664E-2</v>
      </c>
      <c r="X7" s="540">
        <f t="shared" si="3"/>
        <v>9.6419309633877237E-2</v>
      </c>
    </row>
    <row r="8" spans="2:28" ht="13" customHeight="1">
      <c r="B8" s="92" t="str">
        <f>IF('Summary | Sumário'!D$6=Names!B$3,Names!AF7,Names!AG7)</f>
        <v>Administrative expenses</v>
      </c>
      <c r="C8" s="274">
        <v>386309</v>
      </c>
      <c r="D8" s="274">
        <v>641327</v>
      </c>
      <c r="E8" s="274">
        <v>1164239.7749999999</v>
      </c>
      <c r="F8" s="274">
        <v>1494484</v>
      </c>
      <c r="G8" s="274">
        <v>1461348</v>
      </c>
      <c r="H8" s="274">
        <v>219095.31299999999</v>
      </c>
      <c r="I8" s="274">
        <v>272761</v>
      </c>
      <c r="J8" s="274">
        <v>235355.18799999999</v>
      </c>
      <c r="K8" s="274">
        <v>437028.27399999998</v>
      </c>
      <c r="L8" s="274">
        <v>376806</v>
      </c>
      <c r="M8" s="274">
        <v>348618</v>
      </c>
      <c r="N8" s="274">
        <v>379946</v>
      </c>
      <c r="O8" s="274">
        <v>389114</v>
      </c>
      <c r="P8" s="274">
        <v>385615</v>
      </c>
      <c r="Q8" s="274">
        <v>347868</v>
      </c>
      <c r="R8" s="274">
        <v>362877</v>
      </c>
      <c r="S8" s="274">
        <v>364988</v>
      </c>
      <c r="T8" s="274">
        <v>395244</v>
      </c>
      <c r="U8" s="274">
        <v>402827</v>
      </c>
      <c r="V8" s="274"/>
      <c r="W8" s="539">
        <f t="shared" si="2"/>
        <v>1.9185616985962994E-2</v>
      </c>
      <c r="X8" s="539">
        <f t="shared" si="3"/>
        <v>0.157988087435464</v>
      </c>
    </row>
    <row r="9" spans="2:28" ht="13" customHeight="1">
      <c r="B9" s="97" t="str">
        <f>IF('Summary | Sumário'!D$6=Names!B$3,Names!AF8,Names!AG8)</f>
        <v>Depreciation and amortization</v>
      </c>
      <c r="C9" s="269">
        <v>17463</v>
      </c>
      <c r="D9" s="269">
        <v>43659</v>
      </c>
      <c r="E9" s="269">
        <v>94250.52</v>
      </c>
      <c r="F9" s="269">
        <v>163972</v>
      </c>
      <c r="G9" s="269">
        <v>160440</v>
      </c>
      <c r="H9" s="269">
        <v>19166</v>
      </c>
      <c r="I9" s="269">
        <v>25338</v>
      </c>
      <c r="J9" s="269">
        <v>30883</v>
      </c>
      <c r="K9" s="269">
        <v>18863.520000000004</v>
      </c>
      <c r="L9" s="269">
        <v>36478</v>
      </c>
      <c r="M9" s="269">
        <v>35511</v>
      </c>
      <c r="N9" s="269">
        <v>35620</v>
      </c>
      <c r="O9" s="269">
        <v>56363</v>
      </c>
      <c r="P9" s="269">
        <v>37577</v>
      </c>
      <c r="Q9" s="269">
        <v>41130</v>
      </c>
      <c r="R9" s="269">
        <v>40591</v>
      </c>
      <c r="S9" s="269">
        <v>41142</v>
      </c>
      <c r="T9" s="269">
        <v>41900</v>
      </c>
      <c r="U9" s="269">
        <v>53035</v>
      </c>
      <c r="V9" s="274"/>
      <c r="W9" s="540">
        <f t="shared" si="2"/>
        <v>0.26575178997613369</v>
      </c>
      <c r="X9" s="540">
        <f t="shared" si="3"/>
        <v>0.28944809141745687</v>
      </c>
    </row>
    <row r="10" spans="2:28" ht="13" customHeight="1">
      <c r="B10" s="92" t="str">
        <f>IF('Summary | Sumário'!D$6=Names!B$3,Names!AF9,Names!AG9)</f>
        <v>CAC expenses</v>
      </c>
      <c r="C10" s="274">
        <v>-59441.698870472712</v>
      </c>
      <c r="D10" s="274">
        <v>-107948.94856120487</v>
      </c>
      <c r="E10" s="274">
        <v>-231172.04717268862</v>
      </c>
      <c r="F10" s="274">
        <v>-262880.07530053222</v>
      </c>
      <c r="G10" s="274">
        <f>SUM(P10:S10)</f>
        <v>-177014.60872158778</v>
      </c>
      <c r="H10" s="274">
        <v>-49046.451279999994</v>
      </c>
      <c r="I10" s="274">
        <v>-51027.945780000002</v>
      </c>
      <c r="J10" s="274">
        <v>-61973.930319999999</v>
      </c>
      <c r="K10" s="274">
        <v>-69123.719792688615</v>
      </c>
      <c r="L10" s="274">
        <v>-66936.333820532222</v>
      </c>
      <c r="M10" s="274">
        <v>-72552.473540000006</v>
      </c>
      <c r="N10" s="274">
        <v>-61333.970500000003</v>
      </c>
      <c r="O10" s="274">
        <v>-62057.297440000002</v>
      </c>
      <c r="P10" s="274">
        <v>-53177.295399999995</v>
      </c>
      <c r="Q10" s="274">
        <v>-48493.278899999998</v>
      </c>
      <c r="R10" s="274">
        <v>-45266.378400000001</v>
      </c>
      <c r="S10" s="274">
        <v>-30077.656021587791</v>
      </c>
      <c r="T10" s="274">
        <v>-35281.764000000003</v>
      </c>
      <c r="U10" s="274">
        <v>-62330.808749999989</v>
      </c>
      <c r="V10" s="274"/>
      <c r="W10" s="539">
        <f t="shared" si="2"/>
        <v>0.76665794686456112</v>
      </c>
      <c r="X10" s="539">
        <f t="shared" si="3"/>
        <v>0.2853494373629577</v>
      </c>
    </row>
    <row r="11" spans="2:28" ht="13" customHeight="1">
      <c r="B11" s="82" t="str">
        <f>IF('Summary | Sumário'!D$6=Names!B$3,Names!AF10,Names!AG10)</f>
        <v>(÷) Average active clients</v>
      </c>
      <c r="C11" s="269">
        <f>C12</f>
        <v>2282.6979999999999</v>
      </c>
      <c r="D11" s="269">
        <f>AVERAGE(C12:D12)</f>
        <v>3767.4889999999996</v>
      </c>
      <c r="E11" s="269">
        <f t="shared" ref="E11:G11" si="9">AVERAGE(D12:E12)</f>
        <v>7039.3045000000002</v>
      </c>
      <c r="F11" s="269">
        <f t="shared" si="9"/>
        <v>10705.3665</v>
      </c>
      <c r="G11" s="269">
        <f t="shared" si="9"/>
        <v>14494.899000000001</v>
      </c>
      <c r="H11" s="269">
        <f>AVERAGE(H12,D12)</f>
        <v>5692.4650000000001</v>
      </c>
      <c r="I11" s="269">
        <f>AVERAGE(H12:I12)</f>
        <v>6597.8119999999999</v>
      </c>
      <c r="J11" s="269">
        <f t="shared" ref="J11:U11" si="10">AVERAGE(I12:J12)</f>
        <v>7514.7129999999997</v>
      </c>
      <c r="K11" s="269">
        <f t="shared" si="10"/>
        <v>8396.3904999999995</v>
      </c>
      <c r="L11" s="269">
        <f t="shared" si="10"/>
        <v>9358.8734999999997</v>
      </c>
      <c r="M11" s="269">
        <f t="shared" si="10"/>
        <v>10303.8135</v>
      </c>
      <c r="N11" s="269">
        <f t="shared" si="10"/>
        <v>11182.7415</v>
      </c>
      <c r="O11" s="269">
        <f t="shared" si="10"/>
        <v>12116.839</v>
      </c>
      <c r="P11" s="269">
        <f t="shared" si="10"/>
        <v>13062.486000000001</v>
      </c>
      <c r="Q11" s="269">
        <f t="shared" si="10"/>
        <v>14017.737499999999</v>
      </c>
      <c r="R11" s="269">
        <f t="shared" si="10"/>
        <v>14984.0635</v>
      </c>
      <c r="S11" s="269">
        <f t="shared" si="10"/>
        <v>15939.307000000001</v>
      </c>
      <c r="T11" s="269">
        <f t="shared" si="10"/>
        <v>16909.548000000003</v>
      </c>
      <c r="U11" s="269">
        <f t="shared" si="10"/>
        <v>17907.845500000003</v>
      </c>
      <c r="V11" s="274"/>
      <c r="W11" s="540">
        <f t="shared" si="2"/>
        <v>5.9037503545334324E-2</v>
      </c>
      <c r="X11" s="540">
        <f t="shared" si="3"/>
        <v>0.27751325775646785</v>
      </c>
    </row>
    <row r="12" spans="2:28" ht="13" customHeight="1">
      <c r="B12" s="84" t="str">
        <f>IF('Summary | Sumário'!D$6=Names!B$3,Names!AF11,Names!AG11)</f>
        <v>Active clients</v>
      </c>
      <c r="C12" s="274">
        <v>2282.6979999999999</v>
      </c>
      <c r="D12" s="274">
        <v>5252.28</v>
      </c>
      <c r="E12" s="274">
        <v>8826.3289999999997</v>
      </c>
      <c r="F12" s="274">
        <v>12584.404</v>
      </c>
      <c r="G12" s="274">
        <f>S12</f>
        <v>16405.394</v>
      </c>
      <c r="H12" s="274">
        <v>6132.65</v>
      </c>
      <c r="I12" s="274">
        <v>7062.9740000000002</v>
      </c>
      <c r="J12" s="274">
        <v>7966.4520000000002</v>
      </c>
      <c r="K12" s="274">
        <v>8826.3289999999997</v>
      </c>
      <c r="L12" s="274">
        <v>9891.4179999999997</v>
      </c>
      <c r="M12" s="274">
        <v>10716.209000000001</v>
      </c>
      <c r="N12" s="274">
        <v>11649.273999999999</v>
      </c>
      <c r="O12" s="274">
        <v>12584.404</v>
      </c>
      <c r="P12" s="274">
        <v>13540.567999999999</v>
      </c>
      <c r="Q12" s="274">
        <v>14494.906999999999</v>
      </c>
      <c r="R12" s="274">
        <v>15473.22</v>
      </c>
      <c r="S12" s="274">
        <v>16405.394</v>
      </c>
      <c r="T12" s="274">
        <v>17413.702000000001</v>
      </c>
      <c r="U12" s="274">
        <v>18401.989000000001</v>
      </c>
      <c r="V12" s="274"/>
      <c r="W12" s="539">
        <f t="shared" si="2"/>
        <v>5.6753411767354267E-2</v>
      </c>
      <c r="X12" s="539">
        <f t="shared" si="3"/>
        <v>0.26954860765922839</v>
      </c>
    </row>
    <row r="13" spans="2:28" ht="13" customHeight="1">
      <c r="B13" s="112" t="str">
        <f>IF('Summary | Sumário'!D$6=Names!B$3,Names!AF12,Names!AG12)</f>
        <v>Active clients in the previous period</v>
      </c>
      <c r="C13" s="269">
        <f>C12</f>
        <v>2282.6979999999999</v>
      </c>
      <c r="D13" s="269">
        <f>C13</f>
        <v>2282.6979999999999</v>
      </c>
      <c r="E13" s="269">
        <f>D12</f>
        <v>5252.28</v>
      </c>
      <c r="F13" s="269">
        <f t="shared" ref="F13:U13" si="11">E12</f>
        <v>8826.3289999999997</v>
      </c>
      <c r="G13" s="269">
        <f t="shared" si="11"/>
        <v>12584.404</v>
      </c>
      <c r="H13" s="269">
        <f>D12</f>
        <v>5252.28</v>
      </c>
      <c r="I13" s="269">
        <f t="shared" si="11"/>
        <v>6132.65</v>
      </c>
      <c r="J13" s="269">
        <f t="shared" si="11"/>
        <v>7062.9740000000002</v>
      </c>
      <c r="K13" s="269">
        <f t="shared" si="11"/>
        <v>7966.4520000000002</v>
      </c>
      <c r="L13" s="269">
        <f t="shared" si="11"/>
        <v>8826.3289999999997</v>
      </c>
      <c r="M13" s="269">
        <f t="shared" si="11"/>
        <v>9891.4179999999997</v>
      </c>
      <c r="N13" s="269">
        <f t="shared" si="11"/>
        <v>10716.209000000001</v>
      </c>
      <c r="O13" s="269">
        <f t="shared" si="11"/>
        <v>11649.273999999999</v>
      </c>
      <c r="P13" s="269">
        <f t="shared" si="11"/>
        <v>12584.404</v>
      </c>
      <c r="Q13" s="269">
        <f t="shared" si="11"/>
        <v>13540.567999999999</v>
      </c>
      <c r="R13" s="269">
        <f t="shared" si="11"/>
        <v>14494.906999999999</v>
      </c>
      <c r="S13" s="269">
        <f t="shared" si="11"/>
        <v>15473.22</v>
      </c>
      <c r="T13" s="269">
        <f t="shared" si="11"/>
        <v>16405.394</v>
      </c>
      <c r="U13" s="269">
        <f t="shared" si="11"/>
        <v>17413.702000000001</v>
      </c>
      <c r="V13" s="274"/>
      <c r="W13" s="540">
        <f t="shared" si="2"/>
        <v>6.1461980126780391E-2</v>
      </c>
      <c r="X13" s="540">
        <f t="shared" si="3"/>
        <v>0.28603925625571991</v>
      </c>
    </row>
    <row r="14" spans="2:28" ht="13" customHeight="1">
      <c r="B14" s="420" t="str">
        <f>IF('Summary | Sumário'!D$6=Names!B$3,Names!AF13,Names!AG13)</f>
        <v>(=) Cost-to-serve (R$)</v>
      </c>
      <c r="C14" s="451">
        <f>C5/C11</f>
        <v>18.74712515371165</v>
      </c>
      <c r="D14" s="451">
        <f t="shared" ref="D14:P14" si="12">D5/D11</f>
        <v>17.830909204132055</v>
      </c>
      <c r="E14" s="451">
        <f t="shared" si="12"/>
        <v>17.409937868948454</v>
      </c>
      <c r="F14" s="451">
        <f t="shared" si="12"/>
        <v>16.574093350746622</v>
      </c>
      <c r="G14" s="451">
        <f t="shared" ref="G14" si="13">G5/G11</f>
        <v>12.852293711960394</v>
      </c>
      <c r="H14" s="451">
        <f t="shared" si="12"/>
        <v>15.873373059532792</v>
      </c>
      <c r="I14" s="451">
        <f t="shared" si="12"/>
        <v>17.183325533777968</v>
      </c>
      <c r="J14" s="451">
        <f t="shared" si="12"/>
        <v>14.438974922927862</v>
      </c>
      <c r="K14" s="451">
        <f t="shared" si="12"/>
        <v>21.197166973408056</v>
      </c>
      <c r="L14" s="451">
        <f t="shared" si="12"/>
        <v>17.504516477667522</v>
      </c>
      <c r="M14" s="451">
        <f t="shared" si="12"/>
        <v>15.659009047475479</v>
      </c>
      <c r="N14" s="451">
        <f t="shared" si="12"/>
        <v>15.811985206549455</v>
      </c>
      <c r="O14" s="451">
        <f t="shared" si="12"/>
        <v>17.144369708964526</v>
      </c>
      <c r="P14" s="451">
        <f t="shared" si="12"/>
        <v>13.841844617734584</v>
      </c>
      <c r="Q14" s="451">
        <f t="shared" ref="Q14:R14" si="14">Q5/Q11</f>
        <v>12.525885414818189</v>
      </c>
      <c r="R14" s="451">
        <f t="shared" si="14"/>
        <v>12.654836511248545</v>
      </c>
      <c r="S14" s="451">
        <f t="shared" ref="S14:T14" si="15">S5/S11</f>
        <v>12.494674203389399</v>
      </c>
      <c r="T14" s="451">
        <f t="shared" si="15"/>
        <v>11.676346720405142</v>
      </c>
      <c r="U14" s="451">
        <f t="shared" ref="U14" si="16">U5/U11</f>
        <v>11.126188449079482</v>
      </c>
      <c r="V14" s="503"/>
      <c r="W14" s="444">
        <f t="shared" si="2"/>
        <v>-4.7117329118381179E-2</v>
      </c>
      <c r="X14" s="444">
        <f t="shared" si="3"/>
        <v>-0.11174435334390476</v>
      </c>
    </row>
    <row r="15" spans="2:28" ht="13" customHeight="1">
      <c r="B15" s="93"/>
    </row>
    <row r="16" spans="2:28" ht="13" customHeight="1">
      <c r="B16" s="101"/>
      <c r="C16" s="277"/>
      <c r="D16" s="277"/>
      <c r="E16" s="277"/>
      <c r="F16" s="277"/>
      <c r="H16" s="277"/>
      <c r="I16" s="277"/>
      <c r="J16" s="277"/>
      <c r="K16" s="277"/>
      <c r="L16" s="277"/>
      <c r="M16" s="277"/>
      <c r="N16" s="277"/>
      <c r="O16" s="277"/>
      <c r="P16" s="277"/>
      <c r="Q16" s="277"/>
      <c r="R16" s="277"/>
      <c r="S16" s="277"/>
      <c r="T16" s="277"/>
    </row>
    <row r="17" spans="1:29" ht="13" customHeight="1">
      <c r="B17" s="102"/>
      <c r="C17" s="278"/>
      <c r="D17" s="278"/>
      <c r="E17" s="278"/>
      <c r="F17" s="278"/>
      <c r="H17" s="278"/>
      <c r="I17" s="278"/>
      <c r="J17" s="278"/>
      <c r="K17" s="278"/>
      <c r="L17" s="278"/>
      <c r="M17" s="278"/>
      <c r="N17" s="278"/>
      <c r="O17" s="278"/>
      <c r="P17" s="278"/>
      <c r="Q17" s="278"/>
      <c r="R17" s="278"/>
      <c r="S17" s="278"/>
      <c r="T17" s="278"/>
    </row>
    <row r="18" spans="1:29" ht="13" customHeight="1">
      <c r="B18" s="103"/>
      <c r="C18" s="274"/>
      <c r="D18" s="274"/>
      <c r="E18" s="274"/>
      <c r="F18" s="274"/>
      <c r="H18" s="274"/>
      <c r="I18" s="274"/>
      <c r="J18" s="274"/>
      <c r="K18" s="274"/>
      <c r="L18" s="274"/>
      <c r="M18" s="274"/>
      <c r="N18" s="274"/>
      <c r="O18" s="274"/>
      <c r="P18" s="274"/>
      <c r="Q18" s="274"/>
      <c r="R18" s="274"/>
      <c r="S18" s="274"/>
      <c r="T18" s="274"/>
    </row>
    <row r="19" spans="1:29" ht="13" customHeight="1">
      <c r="B19" s="92"/>
      <c r="C19" s="270"/>
      <c r="D19" s="270"/>
      <c r="E19" s="270"/>
      <c r="F19" s="270"/>
      <c r="H19" s="270"/>
      <c r="I19" s="270"/>
      <c r="J19" s="270"/>
      <c r="K19" s="270"/>
      <c r="L19" s="270"/>
      <c r="M19" s="270"/>
      <c r="N19" s="270"/>
      <c r="O19" s="270"/>
      <c r="P19" s="270"/>
      <c r="Q19" s="270"/>
      <c r="R19" s="270"/>
      <c r="S19" s="270"/>
      <c r="T19" s="270"/>
    </row>
    <row r="20" spans="1:29" ht="13" customHeight="1">
      <c r="B20" s="92"/>
      <c r="C20" s="270"/>
      <c r="D20" s="270"/>
      <c r="E20" s="270"/>
      <c r="F20" s="270"/>
      <c r="H20" s="270"/>
      <c r="I20" s="270"/>
      <c r="J20" s="270"/>
      <c r="K20" s="270"/>
      <c r="L20" s="270"/>
      <c r="M20" s="270"/>
      <c r="N20" s="270"/>
      <c r="O20" s="270"/>
      <c r="P20" s="270"/>
      <c r="Q20" s="270"/>
      <c r="R20" s="270"/>
      <c r="S20" s="270"/>
      <c r="T20" s="270"/>
    </row>
    <row r="21" spans="1:29" ht="13" customHeight="1">
      <c r="B21" s="92"/>
      <c r="C21" s="270"/>
      <c r="D21" s="270"/>
      <c r="E21" s="270"/>
      <c r="F21" s="270"/>
      <c r="H21" s="270"/>
      <c r="I21" s="270"/>
      <c r="J21" s="270"/>
      <c r="K21" s="270"/>
      <c r="L21" s="270"/>
      <c r="M21" s="270"/>
      <c r="N21" s="270"/>
      <c r="O21" s="270"/>
      <c r="P21" s="270"/>
      <c r="Q21" s="270"/>
      <c r="R21" s="270"/>
      <c r="S21" s="270"/>
      <c r="T21" s="270"/>
    </row>
    <row r="22" spans="1:29" ht="13" customHeight="1">
      <c r="B22" s="104"/>
      <c r="C22" s="279"/>
      <c r="D22" s="279"/>
      <c r="E22" s="279"/>
      <c r="F22" s="279"/>
      <c r="H22" s="279"/>
      <c r="I22" s="279"/>
      <c r="J22" s="279"/>
      <c r="K22" s="279"/>
      <c r="L22" s="279"/>
      <c r="M22" s="279"/>
      <c r="N22" s="279"/>
      <c r="O22" s="279"/>
      <c r="P22" s="279"/>
      <c r="Q22" s="279"/>
      <c r="R22" s="279"/>
      <c r="S22" s="279"/>
      <c r="T22" s="279"/>
    </row>
    <row r="23" spans="1:29" ht="13" customHeight="1">
      <c r="B23" s="94"/>
      <c r="C23" s="270"/>
      <c r="D23" s="270"/>
      <c r="E23" s="270"/>
      <c r="F23" s="270"/>
      <c r="H23" s="270"/>
      <c r="I23" s="270"/>
      <c r="J23" s="270"/>
      <c r="K23" s="270"/>
      <c r="L23" s="270"/>
      <c r="M23" s="270"/>
      <c r="N23" s="270"/>
      <c r="O23" s="270"/>
      <c r="P23" s="270"/>
      <c r="Q23" s="270"/>
      <c r="R23" s="270"/>
      <c r="S23" s="270"/>
      <c r="T23" s="270"/>
    </row>
    <row r="24" spans="1:29" ht="13" customHeight="1">
      <c r="B24" s="92"/>
      <c r="C24" s="270"/>
      <c r="D24" s="270"/>
      <c r="E24" s="270"/>
      <c r="F24" s="270"/>
      <c r="H24" s="270"/>
      <c r="I24" s="270"/>
      <c r="J24" s="270"/>
      <c r="K24" s="270"/>
      <c r="L24" s="270"/>
      <c r="M24" s="270"/>
      <c r="N24" s="270"/>
      <c r="O24" s="270"/>
      <c r="P24" s="270"/>
      <c r="Q24" s="270"/>
      <c r="R24" s="270"/>
      <c r="S24" s="270"/>
      <c r="T24" s="270"/>
    </row>
    <row r="25" spans="1:29" ht="13" customHeight="1">
      <c r="B25" s="92"/>
      <c r="C25" s="270"/>
      <c r="D25" s="270"/>
      <c r="E25" s="270"/>
      <c r="F25" s="270"/>
      <c r="H25" s="270"/>
      <c r="I25" s="270"/>
      <c r="J25" s="270"/>
      <c r="K25" s="270"/>
      <c r="L25" s="270"/>
      <c r="M25" s="270"/>
      <c r="N25" s="270"/>
      <c r="O25" s="270"/>
      <c r="P25" s="270"/>
      <c r="Q25" s="270"/>
      <c r="R25" s="270"/>
      <c r="S25" s="270"/>
      <c r="T25" s="270"/>
    </row>
    <row r="26" spans="1:29" ht="13" customHeight="1">
      <c r="B26" s="95"/>
      <c r="C26" s="270"/>
      <c r="D26" s="270"/>
      <c r="E26" s="270"/>
      <c r="F26" s="270"/>
      <c r="H26" s="270"/>
      <c r="I26" s="270"/>
      <c r="J26" s="270"/>
      <c r="K26" s="270"/>
      <c r="L26" s="270"/>
      <c r="M26" s="270"/>
      <c r="N26" s="270"/>
      <c r="O26" s="270"/>
      <c r="P26" s="270"/>
      <c r="Q26" s="270"/>
      <c r="R26" s="270"/>
      <c r="S26" s="270"/>
      <c r="T26" s="270"/>
    </row>
    <row r="27" spans="1:29" ht="13" customHeight="1">
      <c r="B27" s="96"/>
      <c r="C27" s="270"/>
      <c r="D27" s="270"/>
      <c r="E27" s="270"/>
      <c r="F27" s="270"/>
      <c r="H27" s="270"/>
      <c r="I27" s="270"/>
      <c r="J27" s="270"/>
      <c r="K27" s="270"/>
      <c r="L27" s="270"/>
      <c r="M27" s="270"/>
      <c r="N27" s="270"/>
      <c r="O27" s="270"/>
      <c r="P27" s="270"/>
      <c r="Q27" s="270"/>
      <c r="R27" s="270"/>
      <c r="S27" s="270"/>
      <c r="T27" s="270"/>
    </row>
    <row r="28" spans="1:29" ht="13" customHeight="1">
      <c r="B28" s="96"/>
      <c r="C28" s="270"/>
      <c r="D28" s="270"/>
      <c r="E28" s="270"/>
      <c r="F28" s="270"/>
      <c r="H28" s="270"/>
      <c r="I28" s="270"/>
      <c r="J28" s="270"/>
      <c r="K28" s="270"/>
      <c r="L28" s="270"/>
      <c r="M28" s="270"/>
      <c r="N28" s="270"/>
      <c r="O28" s="270"/>
      <c r="P28" s="270"/>
      <c r="Q28" s="270"/>
      <c r="R28" s="270"/>
      <c r="S28" s="270"/>
      <c r="T28" s="270"/>
    </row>
    <row r="29" spans="1:29" ht="13" customHeight="1">
      <c r="B29" s="94"/>
      <c r="C29" s="270"/>
      <c r="D29" s="270"/>
      <c r="E29" s="270"/>
      <c r="F29" s="270"/>
      <c r="H29" s="270"/>
      <c r="I29" s="270"/>
      <c r="J29" s="270"/>
      <c r="K29" s="270"/>
      <c r="L29" s="270"/>
      <c r="M29" s="270"/>
      <c r="N29" s="270"/>
      <c r="O29" s="270"/>
      <c r="P29" s="270"/>
      <c r="Q29" s="270"/>
      <c r="R29" s="270"/>
      <c r="S29" s="270"/>
      <c r="T29" s="270"/>
    </row>
    <row r="30" spans="1:29" ht="13" customHeight="1">
      <c r="B30" s="15"/>
    </row>
    <row r="32" spans="1:29" s="202" customFormat="1" ht="13" customHeight="1">
      <c r="A32" s="201"/>
      <c r="B32" s="4"/>
      <c r="G32" s="201"/>
      <c r="U32" s="201"/>
      <c r="V32" s="201"/>
      <c r="W32" s="201"/>
      <c r="X32" s="201"/>
      <c r="Y32" s="201"/>
      <c r="Z32" s="201"/>
      <c r="AA32" s="201"/>
      <c r="AB32" s="201"/>
      <c r="AC32" s="201"/>
    </row>
  </sheetData>
  <sheetProtection algorithmName="SHA-512" hashValue="uHTeNBeBy/TZPMqXvMF8NJAuwtxFP87fmCW7g7DjCxgFYJ0I3qRSi+mISrrHxSH3510SysBeO9qL/CgvP31oHQ==" saltValue="qZiFXWtTZeMm7kW5noDHw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H11:P11 H13 C11: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B5F-B07D-9545-B96E-2FDDC6A4331C}">
  <sheetPr>
    <tabColor theme="5" tint="0.59999389629810485"/>
  </sheetPr>
  <dimension ref="A1:AC3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5" customWidth="1"/>
    <col min="3" max="21" width="10.83203125" style="202" customWidth="1"/>
    <col min="22" max="22" width="5.83203125" style="202" customWidth="1"/>
    <col min="23" max="24" width="10.83203125" style="202" customWidth="1"/>
    <col min="25" max="16384" width="10.83203125" style="201"/>
  </cols>
  <sheetData>
    <row r="1" spans="2:28" ht="13" customHeight="1">
      <c r="Y1" s="202"/>
    </row>
    <row r="2" spans="2:28" s="10" customFormat="1" ht="13" customHeight="1">
      <c r="B2" s="384" t="str">
        <f>IF('Summary | Sumário'!D$6=Names!B$3,Names!AH1,Names!AI1)</f>
        <v>Monthly ARPAC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12">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5" t="str">
        <f>IF('Summary | Sumário'!D6=Names!B3,Names!C20,Names!D20)</f>
        <v>2Q24</v>
      </c>
      <c r="V2" s="496"/>
      <c r="W2" s="180" t="str">
        <f>IF('Summary | Sumário'!$D$6=Names!$B$3,Names!$I$24,Names!$J$24)</f>
        <v>QoQ Variation</v>
      </c>
      <c r="X2" s="180" t="str">
        <f>IF('Summary | Sumário'!$D$6=Names!$B$3,Names!$I$25,Names!$J$25)</f>
        <v>YoY Variation</v>
      </c>
      <c r="Y2" s="11"/>
      <c r="AA2" s="12"/>
      <c r="AB2" s="13"/>
    </row>
    <row r="3" spans="2:28" ht="13" customHeight="1">
      <c r="B3" s="76"/>
      <c r="C3" s="241"/>
      <c r="D3" s="241"/>
      <c r="E3" s="241"/>
      <c r="F3" s="241"/>
      <c r="G3" s="241"/>
      <c r="H3" s="241"/>
      <c r="I3" s="241"/>
      <c r="J3" s="241"/>
      <c r="K3" s="241"/>
      <c r="L3" s="241"/>
      <c r="M3" s="241"/>
      <c r="N3" s="241"/>
      <c r="O3" s="241"/>
      <c r="P3" s="241"/>
      <c r="Q3" s="241"/>
      <c r="R3" s="241"/>
      <c r="S3" s="241"/>
      <c r="T3" s="241"/>
      <c r="U3" s="241"/>
      <c r="V3" s="241"/>
      <c r="W3" s="241"/>
      <c r="X3" s="241"/>
      <c r="Y3" s="213"/>
    </row>
    <row r="4" spans="2:28" ht="13" customHeight="1">
      <c r="B4" s="5" t="str">
        <f>IF('Summary | Sumário'!D$6=Names!B$3,Names!AH3,Names!AI3)</f>
        <v>ARPAC (gross of cost of funding)</v>
      </c>
      <c r="C4" s="268"/>
      <c r="D4" s="268"/>
      <c r="E4" s="268"/>
      <c r="F4" s="268"/>
      <c r="G4" s="268"/>
      <c r="H4" s="268"/>
      <c r="I4" s="268"/>
      <c r="J4" s="268"/>
      <c r="K4" s="268"/>
      <c r="L4" s="268"/>
      <c r="M4" s="268"/>
      <c r="N4" s="268"/>
      <c r="O4" s="268"/>
      <c r="P4" s="268"/>
      <c r="Q4" s="268"/>
      <c r="R4" s="268"/>
      <c r="S4" s="268"/>
      <c r="T4" s="268"/>
      <c r="U4" s="268"/>
      <c r="V4" s="277"/>
      <c r="W4" s="268"/>
      <c r="X4" s="268"/>
    </row>
    <row r="5" spans="2:28" ht="13" customHeight="1">
      <c r="B5" s="105" t="str">
        <f>IF('Summary | Sumário'!D$6=Names!B$3,Names!AH4,Names!AI4)</f>
        <v>Monthly average of total gross revenues</v>
      </c>
      <c r="C5" s="269">
        <f>C6/12</f>
        <v>85464</v>
      </c>
      <c r="D5" s="269">
        <f t="shared" ref="D5:E5" si="0">D6/12</f>
        <v>110608.40793166666</v>
      </c>
      <c r="E5" s="269">
        <f t="shared" si="0"/>
        <v>259727.10383333333</v>
      </c>
      <c r="F5" s="269">
        <f>F6/12</f>
        <v>498851.50683333329</v>
      </c>
      <c r="G5" s="269">
        <f>G6/12</f>
        <v>667684.5</v>
      </c>
      <c r="H5" s="269">
        <f>H6/3</f>
        <v>181362.19833333333</v>
      </c>
      <c r="I5" s="269">
        <f t="shared" ref="I5:U5" si="1">I6/3</f>
        <v>211899.91700000002</v>
      </c>
      <c r="J5" s="269">
        <f t="shared" si="1"/>
        <v>279111.62666666665</v>
      </c>
      <c r="K5" s="269">
        <f t="shared" si="1"/>
        <v>366534.34</v>
      </c>
      <c r="L5" s="269">
        <f t="shared" si="1"/>
        <v>427116.54399999999</v>
      </c>
      <c r="M5" s="269">
        <f t="shared" si="1"/>
        <v>487088.5456666667</v>
      </c>
      <c r="N5" s="269">
        <f t="shared" si="1"/>
        <v>513268.57700000005</v>
      </c>
      <c r="O5" s="269">
        <f t="shared" si="1"/>
        <v>567932.36066666665</v>
      </c>
      <c r="P5" s="269">
        <f t="shared" si="1"/>
        <v>599943.60733333335</v>
      </c>
      <c r="Q5" s="269">
        <f t="shared" si="1"/>
        <v>646180.66666666663</v>
      </c>
      <c r="R5" s="269">
        <f t="shared" si="1"/>
        <v>714488.52967333328</v>
      </c>
      <c r="S5" s="269">
        <f t="shared" si="1"/>
        <v>732315.3963266667</v>
      </c>
      <c r="T5" s="269">
        <f t="shared" si="1"/>
        <v>763558.74630672485</v>
      </c>
      <c r="U5" s="269">
        <f t="shared" si="1"/>
        <v>801287.11069461796</v>
      </c>
      <c r="V5" s="274"/>
      <c r="W5" s="540">
        <f t="shared" ref="W5:W16" si="2">U5/T5-1</f>
        <v>4.9411213702131418E-2</v>
      </c>
      <c r="X5" s="540">
        <f t="shared" ref="X5:X16" si="3">U5/Q5-1</f>
        <v>0.24003572379853222</v>
      </c>
    </row>
    <row r="6" spans="2:28" ht="13" customHeight="1">
      <c r="B6" s="83" t="str">
        <f>IF('Summary | Sumário'!D$6=Names!B$3,Names!AH5,Names!AI5)</f>
        <v>Total gross revenues</v>
      </c>
      <c r="C6" s="274">
        <f t="shared" ref="C6:P6" si="4">SUM(C7:C11)</f>
        <v>1025568</v>
      </c>
      <c r="D6" s="274">
        <f t="shared" si="4"/>
        <v>1327300.89518</v>
      </c>
      <c r="E6" s="274">
        <f t="shared" si="4"/>
        <v>3116725.2459999998</v>
      </c>
      <c r="F6" s="274">
        <f t="shared" si="4"/>
        <v>5986218.0819999995</v>
      </c>
      <c r="G6" s="274">
        <f t="shared" ref="G6" si="5">SUM(G7:G11)</f>
        <v>8012214</v>
      </c>
      <c r="H6" s="274">
        <f t="shared" si="4"/>
        <v>544086.59499999997</v>
      </c>
      <c r="I6" s="274">
        <f t="shared" si="4"/>
        <v>635699.75100000005</v>
      </c>
      <c r="J6" s="274">
        <f t="shared" si="4"/>
        <v>837334.88</v>
      </c>
      <c r="K6" s="274">
        <f t="shared" si="4"/>
        <v>1099603.02</v>
      </c>
      <c r="L6" s="274">
        <f t="shared" si="4"/>
        <v>1281349.632</v>
      </c>
      <c r="M6" s="274">
        <f t="shared" si="4"/>
        <v>1461265.6370000001</v>
      </c>
      <c r="N6" s="274">
        <f t="shared" si="4"/>
        <v>1539805.7310000001</v>
      </c>
      <c r="O6" s="274">
        <f t="shared" si="4"/>
        <v>1703797.0819999999</v>
      </c>
      <c r="P6" s="274">
        <f t="shared" si="4"/>
        <v>1799830.8220000002</v>
      </c>
      <c r="Q6" s="274">
        <f>SUM(Q7:Q12)</f>
        <v>1938542</v>
      </c>
      <c r="R6" s="274">
        <f>SUM(R7:R12)</f>
        <v>2143465.5890199998</v>
      </c>
      <c r="S6" s="274">
        <f>SUM(S7:S12)</f>
        <v>2196946.1889800001</v>
      </c>
      <c r="T6" s="274">
        <f>SUM(T7:T12)</f>
        <v>2290676.2389201745</v>
      </c>
      <c r="U6" s="274">
        <f>SUM(U7:U12)</f>
        <v>2403861.3320838539</v>
      </c>
      <c r="V6" s="274"/>
      <c r="W6" s="539">
        <f t="shared" si="2"/>
        <v>4.9411213702131418E-2</v>
      </c>
      <c r="X6" s="539">
        <f t="shared" si="3"/>
        <v>0.240035723798532</v>
      </c>
    </row>
    <row r="7" spans="2:28" ht="13" customHeight="1">
      <c r="B7" s="97" t="str">
        <f>IF('Summary | Sumário'!D$6=Names!B$3,Names!AH6,Names!AI6)</f>
        <v>Interest income</v>
      </c>
      <c r="C7" s="269">
        <v>775515</v>
      </c>
      <c r="D7" s="269">
        <v>942655.89517999999</v>
      </c>
      <c r="E7" s="269">
        <v>1435428.2459999998</v>
      </c>
      <c r="F7" s="269">
        <v>2802658.0819999995</v>
      </c>
      <c r="G7" s="269">
        <v>4549827</v>
      </c>
      <c r="H7" s="269">
        <v>289003.935</v>
      </c>
      <c r="I7" s="269">
        <v>305659.75100000005</v>
      </c>
      <c r="J7" s="269">
        <v>367405.88</v>
      </c>
      <c r="K7" s="269">
        <v>473357.68</v>
      </c>
      <c r="L7" s="269">
        <v>521159.63199999993</v>
      </c>
      <c r="M7" s="269">
        <v>622312.6370000001</v>
      </c>
      <c r="N7" s="269">
        <v>788342.73100000003</v>
      </c>
      <c r="O7" s="269">
        <v>870843.08199999994</v>
      </c>
      <c r="P7" s="269">
        <v>1012926.822</v>
      </c>
      <c r="Q7" s="269">
        <v>1151105</v>
      </c>
      <c r="R7" s="269">
        <v>1106935.08874</v>
      </c>
      <c r="S7" s="269">
        <v>1278860.08926</v>
      </c>
      <c r="T7" s="269">
        <v>1217531</v>
      </c>
      <c r="U7" s="269">
        <v>1172415</v>
      </c>
      <c r="V7" s="274"/>
      <c r="W7" s="540">
        <f t="shared" si="2"/>
        <v>-3.7055319330678183E-2</v>
      </c>
      <c r="X7" s="540">
        <f t="shared" si="3"/>
        <v>1.8512646543972888E-2</v>
      </c>
    </row>
    <row r="8" spans="2:28" ht="13" customHeight="1">
      <c r="B8" s="92" t="str">
        <f>IF('Summary | Sumário'!D$6=Names!B$3,Names!AH7,Names!AI7)</f>
        <v>Income from securities and derivatives</v>
      </c>
      <c r="C8" s="270">
        <v>66753</v>
      </c>
      <c r="D8" s="270">
        <v>-42358</v>
      </c>
      <c r="E8" s="270">
        <v>697283</v>
      </c>
      <c r="F8" s="270">
        <v>1505621</v>
      </c>
      <c r="G8" s="270">
        <v>1545835</v>
      </c>
      <c r="H8" s="270">
        <v>68136</v>
      </c>
      <c r="I8" s="270">
        <v>82897</v>
      </c>
      <c r="J8" s="270">
        <v>218551</v>
      </c>
      <c r="K8" s="270">
        <v>327699</v>
      </c>
      <c r="L8" s="270">
        <v>359022</v>
      </c>
      <c r="M8" s="270">
        <v>403816</v>
      </c>
      <c r="N8" s="270">
        <v>346923</v>
      </c>
      <c r="O8" s="270">
        <v>395860</v>
      </c>
      <c r="P8" s="270">
        <v>371406</v>
      </c>
      <c r="Q8" s="270">
        <v>343176</v>
      </c>
      <c r="R8" s="270">
        <v>482020</v>
      </c>
      <c r="S8" s="270">
        <v>349233</v>
      </c>
      <c r="T8" s="270">
        <v>515381</v>
      </c>
      <c r="U8" s="270">
        <v>629896.33208385389</v>
      </c>
      <c r="V8" s="270"/>
      <c r="W8" s="580">
        <f t="shared" si="2"/>
        <v>0.2221954866086524</v>
      </c>
      <c r="X8" s="580">
        <f t="shared" si="3"/>
        <v>0.83549062895964132</v>
      </c>
    </row>
    <row r="9" spans="2:28" ht="13" customHeight="1">
      <c r="B9" s="97" t="str">
        <f>IF('Summary | Sumário'!D$6=Names!B$3,Names!AH8,Names!AI8)</f>
        <v xml:space="preserve">Revenues from services and commissions </v>
      </c>
      <c r="C9" s="271">
        <v>130457</v>
      </c>
      <c r="D9" s="271">
        <v>257145</v>
      </c>
      <c r="E9" s="271">
        <v>542569</v>
      </c>
      <c r="F9" s="271">
        <v>968039</v>
      </c>
      <c r="G9" s="271">
        <v>1304382</v>
      </c>
      <c r="H9" s="271">
        <v>100965</v>
      </c>
      <c r="I9" s="271">
        <v>110911</v>
      </c>
      <c r="J9" s="271">
        <v>149283</v>
      </c>
      <c r="K9" s="271">
        <v>181410</v>
      </c>
      <c r="L9" s="271">
        <v>206219</v>
      </c>
      <c r="M9" s="271">
        <v>238515</v>
      </c>
      <c r="N9" s="271">
        <v>250433</v>
      </c>
      <c r="O9" s="271">
        <v>272872</v>
      </c>
      <c r="P9" s="271">
        <v>282353</v>
      </c>
      <c r="Q9" s="271">
        <v>298524</v>
      </c>
      <c r="R9" s="271">
        <v>347780</v>
      </c>
      <c r="S9" s="271">
        <v>375724.6</v>
      </c>
      <c r="T9" s="271">
        <v>374339.16833017452</v>
      </c>
      <c r="U9" s="271">
        <v>397145</v>
      </c>
      <c r="V9" s="270"/>
      <c r="W9" s="581">
        <f t="shared" si="2"/>
        <v>6.0922910556103771E-2</v>
      </c>
      <c r="X9" s="581">
        <f t="shared" si="3"/>
        <v>0.33036204794254398</v>
      </c>
    </row>
    <row r="10" spans="2:28" ht="13" customHeight="1">
      <c r="B10" s="92" t="str">
        <f>IF('Summary | Sumário'!D$6=Names!B$3,Names!AH10,Names!AI10)</f>
        <v>Other revenues</v>
      </c>
      <c r="C10" s="270">
        <v>52843</v>
      </c>
      <c r="D10" s="270">
        <v>109882</v>
      </c>
      <c r="E10" s="270">
        <v>190082</v>
      </c>
      <c r="F10" s="270">
        <v>388462</v>
      </c>
      <c r="G10" s="270">
        <v>375688</v>
      </c>
      <c r="H10" s="270">
        <v>47499</v>
      </c>
      <c r="I10" s="270">
        <v>76048</v>
      </c>
      <c r="J10" s="270">
        <v>36287</v>
      </c>
      <c r="K10" s="270">
        <v>30248</v>
      </c>
      <c r="L10" s="270">
        <v>112407</v>
      </c>
      <c r="M10" s="270">
        <v>111372</v>
      </c>
      <c r="N10" s="270">
        <v>77687</v>
      </c>
      <c r="O10" s="270">
        <v>86996</v>
      </c>
      <c r="P10" s="270">
        <v>65877</v>
      </c>
      <c r="Q10" s="270">
        <v>81158</v>
      </c>
      <c r="R10" s="270">
        <v>131429.50028000001</v>
      </c>
      <c r="S10" s="270">
        <v>97223.499719999993</v>
      </c>
      <c r="T10" s="270">
        <v>89957</v>
      </c>
      <c r="U10" s="270">
        <v>84728</v>
      </c>
      <c r="V10" s="270"/>
      <c r="W10" s="580">
        <f t="shared" si="2"/>
        <v>-5.8127772157808733E-2</v>
      </c>
      <c r="X10" s="580">
        <f t="shared" si="3"/>
        <v>4.3988269794721369E-2</v>
      </c>
    </row>
    <row r="11" spans="2:28" ht="13" customHeight="1">
      <c r="B11" s="97" t="str">
        <f>IF('Summary | Sumário'!D$6=Names!B$3,Names!AH11,Names!AI11)</f>
        <v>(+) Cashback expenses</v>
      </c>
      <c r="C11" s="271">
        <v>0</v>
      </c>
      <c r="D11" s="271">
        <v>59976</v>
      </c>
      <c r="E11" s="271">
        <v>251363</v>
      </c>
      <c r="F11" s="271">
        <v>321438</v>
      </c>
      <c r="G11" s="271">
        <v>236482</v>
      </c>
      <c r="H11" s="271">
        <v>38482.660000000003</v>
      </c>
      <c r="I11" s="271">
        <v>60184</v>
      </c>
      <c r="J11" s="271">
        <v>65808</v>
      </c>
      <c r="K11" s="271">
        <v>86888.34</v>
      </c>
      <c r="L11" s="271">
        <v>82542</v>
      </c>
      <c r="M11" s="271">
        <v>85250</v>
      </c>
      <c r="N11" s="271">
        <v>76420</v>
      </c>
      <c r="O11" s="271">
        <v>77226</v>
      </c>
      <c r="P11" s="271">
        <v>67268</v>
      </c>
      <c r="Q11" s="271">
        <v>58005</v>
      </c>
      <c r="R11" s="271">
        <v>48391</v>
      </c>
      <c r="S11" s="271">
        <v>62818</v>
      </c>
      <c r="T11" s="271">
        <v>63381.686999999998</v>
      </c>
      <c r="U11" s="271">
        <v>91045</v>
      </c>
      <c r="V11" s="270"/>
      <c r="W11" s="581">
        <f t="shared" si="2"/>
        <v>0.43645592771931119</v>
      </c>
      <c r="X11" s="581">
        <f t="shared" si="3"/>
        <v>0.5696060684423756</v>
      </c>
    </row>
    <row r="12" spans="2:28" ht="13" customHeight="1">
      <c r="B12" s="92" t="str">
        <f>IF('Summary | Sumário'!D$6=Names!B$3,Names!AH32,Names!AI32)</f>
        <v>(+) Inter rewards</v>
      </c>
      <c r="C12" s="270">
        <v>0</v>
      </c>
      <c r="D12" s="270">
        <v>0</v>
      </c>
      <c r="E12" s="270">
        <v>0</v>
      </c>
      <c r="F12" s="270">
        <v>0</v>
      </c>
      <c r="G12" s="270">
        <v>66571</v>
      </c>
      <c r="H12" s="270">
        <v>0</v>
      </c>
      <c r="I12" s="270">
        <v>0</v>
      </c>
      <c r="J12" s="270">
        <v>0</v>
      </c>
      <c r="K12" s="270">
        <v>0</v>
      </c>
      <c r="L12" s="270">
        <v>0</v>
      </c>
      <c r="M12" s="270">
        <v>0</v>
      </c>
      <c r="N12" s="270">
        <v>0</v>
      </c>
      <c r="O12" s="270">
        <v>0</v>
      </c>
      <c r="P12" s="270">
        <v>0</v>
      </c>
      <c r="Q12" s="270">
        <v>6574</v>
      </c>
      <c r="R12" s="270">
        <v>26910</v>
      </c>
      <c r="S12" s="270">
        <v>33087</v>
      </c>
      <c r="T12" s="270">
        <v>30086.383590000005</v>
      </c>
      <c r="U12" s="270">
        <v>28632</v>
      </c>
      <c r="V12" s="270"/>
      <c r="W12" s="580">
        <f t="shared" si="2"/>
        <v>-4.834025949477716E-2</v>
      </c>
      <c r="X12" s="580">
        <f t="shared" si="3"/>
        <v>3.3553392150897476</v>
      </c>
    </row>
    <row r="13" spans="2:28" ht="13" customHeight="1">
      <c r="B13" s="82" t="str">
        <f>IF('Summary | Sumário'!D$6=Names!B$3,Names!AH12,Names!AI12)</f>
        <v>(÷) Average of active clients</v>
      </c>
      <c r="C13" s="269">
        <f>C14</f>
        <v>2282.6979999999999</v>
      </c>
      <c r="D13" s="269">
        <f>AVERAGE(C14:D14)</f>
        <v>3767.4889999999996</v>
      </c>
      <c r="E13" s="269">
        <f t="shared" ref="E13:G13" si="6">AVERAGE(D14:E14)</f>
        <v>7039.3045000000002</v>
      </c>
      <c r="F13" s="269">
        <f t="shared" si="6"/>
        <v>10705.3665</v>
      </c>
      <c r="G13" s="269">
        <f t="shared" si="6"/>
        <v>14494.899000000001</v>
      </c>
      <c r="H13" s="269">
        <f>AVERAGE(H14,D14)</f>
        <v>5692.4650000000001</v>
      </c>
      <c r="I13" s="269">
        <f>AVERAGE(H14:I14)</f>
        <v>6597.8119999999999</v>
      </c>
      <c r="J13" s="269">
        <f t="shared" ref="J13:P13" si="7">AVERAGE(I14:J14)</f>
        <v>7514.7129999999997</v>
      </c>
      <c r="K13" s="269">
        <f t="shared" si="7"/>
        <v>8396.3904999999995</v>
      </c>
      <c r="L13" s="269">
        <f t="shared" si="7"/>
        <v>9358.8734999999997</v>
      </c>
      <c r="M13" s="269">
        <f t="shared" si="7"/>
        <v>10303.8135</v>
      </c>
      <c r="N13" s="269">
        <f t="shared" si="7"/>
        <v>11182.7415</v>
      </c>
      <c r="O13" s="269">
        <f t="shared" si="7"/>
        <v>12116.839</v>
      </c>
      <c r="P13" s="269">
        <f t="shared" si="7"/>
        <v>13062.486000000001</v>
      </c>
      <c r="Q13" s="269">
        <f>AVERAGE(P14:Q14)</f>
        <v>14017.737499999999</v>
      </c>
      <c r="R13" s="269">
        <f>AVERAGE(Q14:R14)</f>
        <v>14984.0635</v>
      </c>
      <c r="S13" s="269">
        <f>AVERAGE(R14:S14)</f>
        <v>15939.307000000001</v>
      </c>
      <c r="T13" s="269">
        <f>AVERAGE(S14:T14)</f>
        <v>16909.548000000003</v>
      </c>
      <c r="U13" s="269">
        <f>AVERAGE(T14:U14)</f>
        <v>17907.845500000003</v>
      </c>
      <c r="V13" s="274"/>
      <c r="W13" s="540">
        <f t="shared" si="2"/>
        <v>5.9037503545334324E-2</v>
      </c>
      <c r="X13" s="540">
        <f t="shared" si="3"/>
        <v>0.27751325775646785</v>
      </c>
    </row>
    <row r="14" spans="2:28" ht="13" customHeight="1">
      <c r="B14" s="84" t="str">
        <f>IF('Summary | Sumário'!D$6=Names!B$3,Names!AH13,Names!AI13)</f>
        <v>Active clients</v>
      </c>
      <c r="C14" s="274">
        <v>2282.6979999999999</v>
      </c>
      <c r="D14" s="274">
        <v>5252.28</v>
      </c>
      <c r="E14" s="274">
        <v>8826.3289999999997</v>
      </c>
      <c r="F14" s="274">
        <v>12584.404</v>
      </c>
      <c r="G14" s="274">
        <f>S14</f>
        <v>16405.394</v>
      </c>
      <c r="H14" s="274">
        <v>6132.65</v>
      </c>
      <c r="I14" s="274">
        <v>7062.9740000000002</v>
      </c>
      <c r="J14" s="274">
        <v>7966.4520000000002</v>
      </c>
      <c r="K14" s="274">
        <v>8826.3289999999997</v>
      </c>
      <c r="L14" s="274">
        <v>9891.4179999999997</v>
      </c>
      <c r="M14" s="274">
        <v>10716.209000000001</v>
      </c>
      <c r="N14" s="274">
        <v>11649.273999999999</v>
      </c>
      <c r="O14" s="274">
        <v>12584.404</v>
      </c>
      <c r="P14" s="274">
        <v>13540.567999999999</v>
      </c>
      <c r="Q14" s="274">
        <v>14494.906999999999</v>
      </c>
      <c r="R14" s="274">
        <v>15473.22</v>
      </c>
      <c r="S14" s="274">
        <v>16405.394</v>
      </c>
      <c r="T14" s="274">
        <v>17413.702000000001</v>
      </c>
      <c r="U14" s="274">
        <v>18401.989000000001</v>
      </c>
      <c r="V14" s="274"/>
      <c r="W14" s="539">
        <f t="shared" si="2"/>
        <v>5.6753411767354267E-2</v>
      </c>
      <c r="X14" s="539">
        <f t="shared" si="3"/>
        <v>0.26954860765922839</v>
      </c>
    </row>
    <row r="15" spans="2:28" ht="13" customHeight="1">
      <c r="B15" s="89" t="str">
        <f>IF('Summary | Sumário'!D$6=Names!B$3,Names!AH14,Names!AI14)</f>
        <v>Active clients in the previus period</v>
      </c>
      <c r="C15" s="269">
        <f>C14</f>
        <v>2282.6979999999999</v>
      </c>
      <c r="D15" s="269">
        <f>C15</f>
        <v>2282.6979999999999</v>
      </c>
      <c r="E15" s="269">
        <f>D14</f>
        <v>5252.28</v>
      </c>
      <c r="F15" s="269">
        <f t="shared" ref="F15:G15" si="8">E14</f>
        <v>8826.3289999999997</v>
      </c>
      <c r="G15" s="269">
        <f t="shared" si="8"/>
        <v>12584.404</v>
      </c>
      <c r="H15" s="269">
        <f>D14</f>
        <v>5252.28</v>
      </c>
      <c r="I15" s="269">
        <f t="shared" ref="I15" si="9">H14</f>
        <v>6132.65</v>
      </c>
      <c r="J15" s="269">
        <f t="shared" ref="J15" si="10">I14</f>
        <v>7062.9740000000002</v>
      </c>
      <c r="K15" s="269">
        <f t="shared" ref="K15" si="11">J14</f>
        <v>7966.4520000000002</v>
      </c>
      <c r="L15" s="269">
        <f t="shared" ref="L15" si="12">K14</f>
        <v>8826.3289999999997</v>
      </c>
      <c r="M15" s="269">
        <f t="shared" ref="M15" si="13">L14</f>
        <v>9891.4179999999997</v>
      </c>
      <c r="N15" s="269">
        <f t="shared" ref="N15" si="14">M14</f>
        <v>10716.209000000001</v>
      </c>
      <c r="O15" s="269">
        <f t="shared" ref="O15" si="15">N14</f>
        <v>11649.273999999999</v>
      </c>
      <c r="P15" s="269">
        <f t="shared" ref="P15" si="16">O14</f>
        <v>12584.404</v>
      </c>
      <c r="Q15" s="269">
        <f>P14</f>
        <v>13540.567999999999</v>
      </c>
      <c r="R15" s="269">
        <f>Q14</f>
        <v>14494.906999999999</v>
      </c>
      <c r="S15" s="269">
        <f>R14</f>
        <v>15473.22</v>
      </c>
      <c r="T15" s="269">
        <f>S14</f>
        <v>16405.394</v>
      </c>
      <c r="U15" s="269">
        <f>T14</f>
        <v>17413.702000000001</v>
      </c>
      <c r="V15" s="274"/>
      <c r="W15" s="540">
        <f t="shared" si="2"/>
        <v>6.1461980126780391E-2</v>
      </c>
      <c r="X15" s="540">
        <f t="shared" si="3"/>
        <v>0.28603925625571991</v>
      </c>
    </row>
    <row r="16" spans="2:28" ht="13" customHeight="1">
      <c r="B16" s="6" t="str">
        <f>IF('Summary | Sumário'!D$6=Names!B$3,Names!AH15,Names!AI15)</f>
        <v>(=) Gross ARPAC (R$)</v>
      </c>
      <c r="C16" s="275">
        <f t="shared" ref="C16:P16" si="17">C5/C13</f>
        <v>37.439906636795584</v>
      </c>
      <c r="D16" s="275">
        <f t="shared" si="17"/>
        <v>29.358654512771416</v>
      </c>
      <c r="E16" s="275">
        <f t="shared" si="17"/>
        <v>36.896699643172603</v>
      </c>
      <c r="F16" s="275">
        <f t="shared" si="17"/>
        <v>46.598265162928641</v>
      </c>
      <c r="G16" s="275">
        <f t="shared" ref="G16" si="18">G5/G13</f>
        <v>46.063411687104541</v>
      </c>
      <c r="H16" s="275">
        <f t="shared" si="17"/>
        <v>31.860046277549941</v>
      </c>
      <c r="I16" s="275">
        <f t="shared" si="17"/>
        <v>32.116695201378882</v>
      </c>
      <c r="J16" s="275">
        <f t="shared" si="17"/>
        <v>37.142020815254909</v>
      </c>
      <c r="K16" s="275">
        <f t="shared" si="17"/>
        <v>43.653798617393988</v>
      </c>
      <c r="L16" s="275">
        <f t="shared" si="17"/>
        <v>45.637602004130095</v>
      </c>
      <c r="M16" s="275">
        <f t="shared" si="17"/>
        <v>47.272647711128187</v>
      </c>
      <c r="N16" s="275">
        <f t="shared" si="17"/>
        <v>45.89827789545167</v>
      </c>
      <c r="O16" s="275">
        <f t="shared" si="17"/>
        <v>46.871330110655649</v>
      </c>
      <c r="P16" s="275">
        <f t="shared" si="17"/>
        <v>45.928746437189162</v>
      </c>
      <c r="Q16" s="275">
        <f>Q5/Q13</f>
        <v>46.097358198258931</v>
      </c>
      <c r="R16" s="275">
        <f>R5/R13</f>
        <v>47.683228896709714</v>
      </c>
      <c r="S16" s="275">
        <f>S5/S13</f>
        <v>45.943992190292001</v>
      </c>
      <c r="T16" s="275">
        <f>T5/T13</f>
        <v>45.155479395825644</v>
      </c>
      <c r="U16" s="275">
        <f>U5/U13</f>
        <v>44.745031483246706</v>
      </c>
      <c r="V16" s="503"/>
      <c r="W16" s="582">
        <f t="shared" si="2"/>
        <v>-9.0896590639868435E-3</v>
      </c>
      <c r="X16" s="582">
        <f t="shared" si="3"/>
        <v>-2.933631704437456E-2</v>
      </c>
    </row>
    <row r="17" spans="2:24" ht="13" customHeight="1">
      <c r="B17" s="99"/>
      <c r="C17" s="273"/>
      <c r="D17" s="273"/>
      <c r="E17" s="273"/>
      <c r="F17" s="273"/>
      <c r="G17" s="273"/>
      <c r="H17" s="273"/>
      <c r="I17" s="273"/>
      <c r="J17" s="273"/>
      <c r="K17" s="273"/>
      <c r="L17" s="273"/>
      <c r="M17" s="273"/>
      <c r="N17" s="273"/>
      <c r="O17" s="273"/>
      <c r="P17" s="273"/>
      <c r="Q17" s="273"/>
      <c r="R17" s="273"/>
      <c r="S17" s="273"/>
      <c r="T17" s="273"/>
      <c r="U17" s="273"/>
      <c r="W17" s="273"/>
      <c r="X17" s="273"/>
    </row>
    <row r="18" spans="2:24" ht="13" customHeight="1">
      <c r="B18" s="5" t="str">
        <f>IF('Summary | Sumário'!D$6=Names!B$3,Names!AH17,Names!AI17)</f>
        <v>ARPAC (net of cost of funding)</v>
      </c>
      <c r="C18" s="268"/>
      <c r="D18" s="268"/>
      <c r="E18" s="268"/>
      <c r="F18" s="268"/>
      <c r="G18" s="268"/>
      <c r="H18" s="268"/>
      <c r="I18" s="268"/>
      <c r="J18" s="268"/>
      <c r="K18" s="268"/>
      <c r="L18" s="268"/>
      <c r="M18" s="268"/>
      <c r="N18" s="268"/>
      <c r="O18" s="268"/>
      <c r="P18" s="268"/>
      <c r="Q18" s="268"/>
      <c r="R18" s="268"/>
      <c r="S18" s="268"/>
      <c r="T18" s="268"/>
      <c r="U18" s="268"/>
      <c r="V18" s="277"/>
      <c r="W18" s="268"/>
      <c r="X18" s="268"/>
    </row>
    <row r="19" spans="2:24" ht="13" customHeight="1">
      <c r="B19" s="113" t="str">
        <f>IF('Summary | Sumário'!D$6=Names!B$3,Names!AH18,Names!AI18)</f>
        <v>Monthly average total revenues net of cost of funding</v>
      </c>
      <c r="C19" s="269">
        <f>C20/12</f>
        <v>64070.916666666664</v>
      </c>
      <c r="D19" s="269">
        <f t="shared" ref="D19" si="19">D20/12</f>
        <v>95247.157931666661</v>
      </c>
      <c r="E19" s="269">
        <f t="shared" ref="E19" si="20">E20/12</f>
        <v>214456.93716666664</v>
      </c>
      <c r="F19" s="269">
        <f>F20/12</f>
        <v>334447.3401666666</v>
      </c>
      <c r="G19" s="269">
        <f>G20/12</f>
        <v>432601</v>
      </c>
      <c r="H19" s="269">
        <f>H20/3</f>
        <v>159509.19833333333</v>
      </c>
      <c r="I19" s="269">
        <f t="shared" ref="I19" si="21">I20/3</f>
        <v>183146.25033333336</v>
      </c>
      <c r="J19" s="269">
        <f t="shared" ref="J19" si="22">J20/3</f>
        <v>232915.96</v>
      </c>
      <c r="K19" s="269">
        <f t="shared" ref="K19" si="23">K20/3</f>
        <v>282256.00666666665</v>
      </c>
      <c r="L19" s="269">
        <f t="shared" ref="L19" si="24">L20/3</f>
        <v>314859.54399999999</v>
      </c>
      <c r="M19" s="269">
        <f t="shared" ref="M19" si="25">M20/3</f>
        <v>332074.87900000002</v>
      </c>
      <c r="N19" s="269">
        <f t="shared" ref="N19" si="26">N20/3</f>
        <v>320042.57700000005</v>
      </c>
      <c r="O19" s="269">
        <f t="shared" ref="O19" si="27">O20/3</f>
        <v>370812.36066666665</v>
      </c>
      <c r="P19" s="269">
        <f t="shared" ref="P19:U19" si="28">P20/3</f>
        <v>375686.60733333341</v>
      </c>
      <c r="Q19" s="269">
        <f t="shared" si="28"/>
        <v>415445.33333333331</v>
      </c>
      <c r="R19" s="269">
        <f t="shared" si="28"/>
        <v>457689.19633999997</v>
      </c>
      <c r="S19" s="269">
        <f t="shared" si="28"/>
        <v>481582.7279933333</v>
      </c>
      <c r="T19" s="269">
        <f t="shared" si="28"/>
        <v>509476.44954005815</v>
      </c>
      <c r="U19" s="269">
        <f t="shared" si="28"/>
        <v>543739.44402795134</v>
      </c>
      <c r="V19" s="274"/>
      <c r="W19" s="540">
        <f t="shared" ref="W19:W31" si="29">U19/T19-1</f>
        <v>6.7251380350995538E-2</v>
      </c>
      <c r="X19" s="540">
        <f t="shared" ref="X19:X31" si="30">U19/Q19-1</f>
        <v>0.30881105262453623</v>
      </c>
    </row>
    <row r="20" spans="2:24" ht="13" customHeight="1">
      <c r="B20" s="83" t="str">
        <f>IF('Summary | Sumário'!D$6=Names!B$3,Names!AH19,Names!AI19)</f>
        <v>Total revenues net of cost of funding</v>
      </c>
      <c r="C20" s="274">
        <f t="shared" ref="C20:Q20" si="31">SUM(C21:C27)</f>
        <v>768851</v>
      </c>
      <c r="D20" s="274">
        <f t="shared" si="31"/>
        <v>1142965.89518</v>
      </c>
      <c r="E20" s="274">
        <f t="shared" si="31"/>
        <v>2573483.2459999998</v>
      </c>
      <c r="F20" s="274">
        <f t="shared" si="31"/>
        <v>4013368.0819999995</v>
      </c>
      <c r="G20" s="274">
        <f t="shared" ref="G20" si="32">SUM(G21:G27)</f>
        <v>5191212</v>
      </c>
      <c r="H20" s="274">
        <f t="shared" si="31"/>
        <v>478527.59499999997</v>
      </c>
      <c r="I20" s="274">
        <f t="shared" si="31"/>
        <v>549438.75100000005</v>
      </c>
      <c r="J20" s="274">
        <f t="shared" si="31"/>
        <v>698747.88</v>
      </c>
      <c r="K20" s="274">
        <f t="shared" si="31"/>
        <v>846768.02</v>
      </c>
      <c r="L20" s="274">
        <f t="shared" si="31"/>
        <v>944578.63199999998</v>
      </c>
      <c r="M20" s="274">
        <f t="shared" si="31"/>
        <v>996224.6370000001</v>
      </c>
      <c r="N20" s="274">
        <f t="shared" si="31"/>
        <v>960127.73100000015</v>
      </c>
      <c r="O20" s="274">
        <f t="shared" si="31"/>
        <v>1112437.0819999999</v>
      </c>
      <c r="P20" s="274">
        <f t="shared" si="31"/>
        <v>1127059.8220000002</v>
      </c>
      <c r="Q20" s="274">
        <f t="shared" si="31"/>
        <v>1246336</v>
      </c>
      <c r="R20" s="274">
        <f t="shared" ref="R20:S20" si="33">SUM(R21:R27)</f>
        <v>1373067.5890199998</v>
      </c>
      <c r="S20" s="274">
        <f t="shared" si="33"/>
        <v>1444748.18398</v>
      </c>
      <c r="T20" s="274">
        <f t="shared" ref="T20:U20" si="34">SUM(T21:T27)</f>
        <v>1528429.3486201745</v>
      </c>
      <c r="U20" s="274">
        <f t="shared" si="34"/>
        <v>1631218.3320838539</v>
      </c>
      <c r="V20" s="274"/>
      <c r="W20" s="539">
        <f t="shared" si="29"/>
        <v>6.7251380350995316E-2</v>
      </c>
      <c r="X20" s="539">
        <f t="shared" si="30"/>
        <v>0.30881105262453623</v>
      </c>
    </row>
    <row r="21" spans="2:24" ht="13" customHeight="1">
      <c r="B21" s="97" t="str">
        <f>IF('Summary | Sumário'!D$6=Names!B$3,Names!AH20,Names!AI20)</f>
        <v>Interest income</v>
      </c>
      <c r="C21" s="269">
        <v>775515</v>
      </c>
      <c r="D21" s="269">
        <v>942655.89517999999</v>
      </c>
      <c r="E21" s="269">
        <v>1435428.2459999998</v>
      </c>
      <c r="F21" s="269">
        <v>2802658.0819999995</v>
      </c>
      <c r="G21" s="269">
        <v>4549827</v>
      </c>
      <c r="H21" s="269">
        <v>289003.935</v>
      </c>
      <c r="I21" s="269">
        <v>305659.75100000005</v>
      </c>
      <c r="J21" s="269">
        <v>367405.88</v>
      </c>
      <c r="K21" s="269">
        <v>473357.68</v>
      </c>
      <c r="L21" s="269">
        <v>521159.63199999993</v>
      </c>
      <c r="M21" s="269">
        <v>622312.6370000001</v>
      </c>
      <c r="N21" s="269">
        <v>788342.73100000003</v>
      </c>
      <c r="O21" s="269">
        <v>870843.08199999994</v>
      </c>
      <c r="P21" s="269">
        <v>1012926.822</v>
      </c>
      <c r="Q21" s="269">
        <v>1151105</v>
      </c>
      <c r="R21" s="269">
        <v>1106935.08874</v>
      </c>
      <c r="S21" s="269">
        <v>1278860.08926</v>
      </c>
      <c r="T21" s="269">
        <v>1217531</v>
      </c>
      <c r="U21" s="269">
        <v>1172415</v>
      </c>
      <c r="V21" s="274"/>
      <c r="W21" s="540">
        <f t="shared" si="29"/>
        <v>-3.7055319330678183E-2</v>
      </c>
      <c r="X21" s="540">
        <f t="shared" si="30"/>
        <v>1.8512646543972888E-2</v>
      </c>
    </row>
    <row r="22" spans="2:24" ht="13" customHeight="1">
      <c r="B22" s="92" t="str">
        <f>IF('Summary | Sumário'!D$6=Names!B$3,Names!AH21,Names!AI21)</f>
        <v>Income from securities and derivatives</v>
      </c>
      <c r="C22" s="270">
        <v>66753</v>
      </c>
      <c r="D22" s="270">
        <v>-42358</v>
      </c>
      <c r="E22" s="270">
        <v>697283</v>
      </c>
      <c r="F22" s="270">
        <v>1505621</v>
      </c>
      <c r="G22" s="270">
        <v>1545835</v>
      </c>
      <c r="H22" s="270">
        <v>68136</v>
      </c>
      <c r="I22" s="270">
        <v>82897</v>
      </c>
      <c r="J22" s="270">
        <v>218551</v>
      </c>
      <c r="K22" s="270">
        <v>327699</v>
      </c>
      <c r="L22" s="270">
        <v>359022</v>
      </c>
      <c r="M22" s="270">
        <v>403816</v>
      </c>
      <c r="N22" s="270">
        <v>346923</v>
      </c>
      <c r="O22" s="270">
        <v>395860</v>
      </c>
      <c r="P22" s="270">
        <v>371406</v>
      </c>
      <c r="Q22" s="270">
        <v>343176</v>
      </c>
      <c r="R22" s="270">
        <v>482020</v>
      </c>
      <c r="S22" s="270">
        <v>349233</v>
      </c>
      <c r="T22" s="270">
        <v>515381</v>
      </c>
      <c r="U22" s="270">
        <v>629896.33208385389</v>
      </c>
      <c r="V22" s="270"/>
      <c r="W22" s="580">
        <f t="shared" si="29"/>
        <v>0.2221954866086524</v>
      </c>
      <c r="X22" s="580">
        <f t="shared" si="30"/>
        <v>0.83549062895964132</v>
      </c>
    </row>
    <row r="23" spans="2:24" ht="13" customHeight="1">
      <c r="B23" s="97" t="str">
        <f>IF('Summary | Sumário'!D$6=Names!B$3,Names!AH22,Names!AI22)</f>
        <v xml:space="preserve">Revenues from services and commissions </v>
      </c>
      <c r="C23" s="271">
        <v>130457</v>
      </c>
      <c r="D23" s="271">
        <v>257145</v>
      </c>
      <c r="E23" s="271">
        <v>542569</v>
      </c>
      <c r="F23" s="271">
        <v>968039</v>
      </c>
      <c r="G23" s="271">
        <v>1304382</v>
      </c>
      <c r="H23" s="271">
        <v>100965</v>
      </c>
      <c r="I23" s="271">
        <v>110911</v>
      </c>
      <c r="J23" s="271">
        <v>149283</v>
      </c>
      <c r="K23" s="271">
        <v>181410</v>
      </c>
      <c r="L23" s="271">
        <v>206219</v>
      </c>
      <c r="M23" s="271">
        <v>238515</v>
      </c>
      <c r="N23" s="271">
        <v>250433</v>
      </c>
      <c r="O23" s="271">
        <v>272872</v>
      </c>
      <c r="P23" s="271">
        <v>282353</v>
      </c>
      <c r="Q23" s="271">
        <v>298524</v>
      </c>
      <c r="R23" s="271">
        <v>347780</v>
      </c>
      <c r="S23" s="271">
        <v>375724.6</v>
      </c>
      <c r="T23" s="271">
        <v>374339.16833017452</v>
      </c>
      <c r="U23" s="271">
        <v>397145</v>
      </c>
      <c r="V23" s="270"/>
      <c r="W23" s="581">
        <f t="shared" si="29"/>
        <v>6.0922910556103771E-2</v>
      </c>
      <c r="X23" s="581">
        <f t="shared" si="30"/>
        <v>0.33036204794254398</v>
      </c>
    </row>
    <row r="24" spans="2:24" ht="13" customHeight="1">
      <c r="B24" s="92" t="str">
        <f>IF('Summary | Sumário'!D$6=Names!B$3,Names!AH24,Names!AI24)</f>
        <v>Other revenues</v>
      </c>
      <c r="C24" s="270">
        <v>52843</v>
      </c>
      <c r="D24" s="270">
        <v>109882</v>
      </c>
      <c r="E24" s="270">
        <v>190082</v>
      </c>
      <c r="F24" s="270">
        <v>388462</v>
      </c>
      <c r="G24" s="270">
        <v>375688</v>
      </c>
      <c r="H24" s="270">
        <v>47499</v>
      </c>
      <c r="I24" s="270">
        <v>76048</v>
      </c>
      <c r="J24" s="270">
        <v>36287</v>
      </c>
      <c r="K24" s="270">
        <v>30248</v>
      </c>
      <c r="L24" s="270">
        <v>112407</v>
      </c>
      <c r="M24" s="270">
        <v>111372</v>
      </c>
      <c r="N24" s="270">
        <v>77687</v>
      </c>
      <c r="O24" s="270">
        <v>86996</v>
      </c>
      <c r="P24" s="270">
        <v>65877</v>
      </c>
      <c r="Q24" s="270">
        <v>81158</v>
      </c>
      <c r="R24" s="270">
        <v>131429.50028000001</v>
      </c>
      <c r="S24" s="270">
        <v>97223.499719999993</v>
      </c>
      <c r="T24" s="270">
        <v>89957</v>
      </c>
      <c r="U24" s="270">
        <v>84728</v>
      </c>
      <c r="V24" s="270"/>
      <c r="W24" s="580">
        <f t="shared" si="29"/>
        <v>-5.8127772157808733E-2</v>
      </c>
      <c r="X24" s="580">
        <f t="shared" si="30"/>
        <v>4.3988269794721369E-2</v>
      </c>
    </row>
    <row r="25" spans="2:24" ht="13" customHeight="1">
      <c r="B25" s="97" t="str">
        <f>IF('Summary | Sumário'!D$6=Names!B$3,Names!AH25,Names!AI25)</f>
        <v>(+) Cashback expenses</v>
      </c>
      <c r="C25" s="271">
        <f t="shared" ref="C25:Q26" si="35">C11</f>
        <v>0</v>
      </c>
      <c r="D25" s="271">
        <f t="shared" si="35"/>
        <v>59976</v>
      </c>
      <c r="E25" s="271">
        <f t="shared" si="35"/>
        <v>251363</v>
      </c>
      <c r="F25" s="271">
        <f t="shared" si="35"/>
        <v>321438</v>
      </c>
      <c r="G25" s="271">
        <f t="shared" ref="G25" si="36">G11</f>
        <v>236482</v>
      </c>
      <c r="H25" s="271">
        <f t="shared" si="35"/>
        <v>38482.660000000003</v>
      </c>
      <c r="I25" s="271">
        <f t="shared" si="35"/>
        <v>60184</v>
      </c>
      <c r="J25" s="271">
        <f t="shared" si="35"/>
        <v>65808</v>
      </c>
      <c r="K25" s="271">
        <f t="shared" si="35"/>
        <v>86888.34</v>
      </c>
      <c r="L25" s="271">
        <f t="shared" si="35"/>
        <v>82542</v>
      </c>
      <c r="M25" s="271">
        <f t="shared" si="35"/>
        <v>85250</v>
      </c>
      <c r="N25" s="271">
        <f t="shared" si="35"/>
        <v>76420</v>
      </c>
      <c r="O25" s="271">
        <f t="shared" si="35"/>
        <v>77226</v>
      </c>
      <c r="P25" s="271">
        <f t="shared" si="35"/>
        <v>67268</v>
      </c>
      <c r="Q25" s="271">
        <f t="shared" si="35"/>
        <v>58005</v>
      </c>
      <c r="R25" s="271">
        <f t="shared" ref="R25:S25" si="37">R11</f>
        <v>48391</v>
      </c>
      <c r="S25" s="271">
        <f t="shared" si="37"/>
        <v>62818</v>
      </c>
      <c r="T25" s="271">
        <f t="shared" ref="T25:U25" si="38">T11</f>
        <v>63381.686999999998</v>
      </c>
      <c r="U25" s="271">
        <f t="shared" si="38"/>
        <v>91045</v>
      </c>
      <c r="V25" s="270"/>
      <c r="W25" s="581">
        <f t="shared" si="29"/>
        <v>0.43645592771931119</v>
      </c>
      <c r="X25" s="581">
        <f t="shared" si="30"/>
        <v>0.5696060684423756</v>
      </c>
    </row>
    <row r="26" spans="2:24" ht="13" customHeight="1">
      <c r="B26" s="92" t="str">
        <f>IF('Summary | Sumário'!D$6=Names!B$3,Names!AH32,Names!AI32)</f>
        <v>(+) Inter rewards</v>
      </c>
      <c r="C26" s="270">
        <f t="shared" si="35"/>
        <v>0</v>
      </c>
      <c r="D26" s="270">
        <f t="shared" si="35"/>
        <v>0</v>
      </c>
      <c r="E26" s="270">
        <f t="shared" si="35"/>
        <v>0</v>
      </c>
      <c r="F26" s="270">
        <f t="shared" si="35"/>
        <v>0</v>
      </c>
      <c r="G26" s="270">
        <f t="shared" ref="G26" si="39">G12</f>
        <v>66571</v>
      </c>
      <c r="H26" s="270">
        <f t="shared" si="35"/>
        <v>0</v>
      </c>
      <c r="I26" s="270">
        <f t="shared" si="35"/>
        <v>0</v>
      </c>
      <c r="J26" s="270">
        <f t="shared" si="35"/>
        <v>0</v>
      </c>
      <c r="K26" s="270">
        <f t="shared" si="35"/>
        <v>0</v>
      </c>
      <c r="L26" s="270">
        <f t="shared" si="35"/>
        <v>0</v>
      </c>
      <c r="M26" s="270">
        <f t="shared" si="35"/>
        <v>0</v>
      </c>
      <c r="N26" s="270">
        <f t="shared" si="35"/>
        <v>0</v>
      </c>
      <c r="O26" s="270">
        <f t="shared" si="35"/>
        <v>0</v>
      </c>
      <c r="P26" s="270">
        <f t="shared" si="35"/>
        <v>0</v>
      </c>
      <c r="Q26" s="270">
        <f t="shared" si="35"/>
        <v>6574</v>
      </c>
      <c r="R26" s="270">
        <f t="shared" ref="R26:S26" si="40">R12</f>
        <v>26910</v>
      </c>
      <c r="S26" s="270">
        <f t="shared" si="40"/>
        <v>33087</v>
      </c>
      <c r="T26" s="270">
        <f t="shared" ref="T26:U26" si="41">T12</f>
        <v>30086.383590000005</v>
      </c>
      <c r="U26" s="270">
        <f t="shared" si="41"/>
        <v>28632</v>
      </c>
      <c r="V26" s="270"/>
      <c r="W26" s="580">
        <f t="shared" si="29"/>
        <v>-4.834025949477716E-2</v>
      </c>
      <c r="X26" s="580">
        <f t="shared" si="30"/>
        <v>3.3553392150897476</v>
      </c>
    </row>
    <row r="27" spans="2:24" ht="13" customHeight="1">
      <c r="B27" s="114" t="str">
        <f>IF('Summary | Sumário'!D$6=Names!B$3,Names!AH26,Names!AI26)</f>
        <v>Interest expenses</v>
      </c>
      <c r="C27" s="271">
        <v>-256717</v>
      </c>
      <c r="D27" s="271">
        <v>-184335</v>
      </c>
      <c r="E27" s="271">
        <v>-543242</v>
      </c>
      <c r="F27" s="271">
        <v>-1972850</v>
      </c>
      <c r="G27" s="271">
        <v>-2887573</v>
      </c>
      <c r="H27" s="271">
        <v>-65559</v>
      </c>
      <c r="I27" s="271">
        <v>-86261</v>
      </c>
      <c r="J27" s="271">
        <v>-138587</v>
      </c>
      <c r="K27" s="271">
        <v>-252835</v>
      </c>
      <c r="L27" s="271">
        <v>-336771</v>
      </c>
      <c r="M27" s="271">
        <v>-465041</v>
      </c>
      <c r="N27" s="271">
        <v>-579678</v>
      </c>
      <c r="O27" s="271">
        <v>-591360</v>
      </c>
      <c r="P27" s="271">
        <v>-672771</v>
      </c>
      <c r="Q27" s="271">
        <v>-692206</v>
      </c>
      <c r="R27" s="271">
        <v>-770398</v>
      </c>
      <c r="S27" s="271">
        <v>-752198.00500000012</v>
      </c>
      <c r="T27" s="271">
        <v>-762246.89030000009</v>
      </c>
      <c r="U27" s="271">
        <v>-772643</v>
      </c>
      <c r="V27" s="270"/>
      <c r="W27" s="581">
        <f t="shared" si="29"/>
        <v>1.3638769580166077E-2</v>
      </c>
      <c r="X27" s="581">
        <f t="shared" si="30"/>
        <v>0.11620384683172347</v>
      </c>
    </row>
    <row r="28" spans="2:24" ht="13" customHeight="1">
      <c r="B28" s="80" t="str">
        <f>IF('Summary | Sumário'!D$6=Names!B$3,Names!AH27,Names!AI27)</f>
        <v>(÷) Average active clients</v>
      </c>
      <c r="C28" s="274">
        <f>C29</f>
        <v>2282.6979999999999</v>
      </c>
      <c r="D28" s="274">
        <f>AVERAGE(C29:D29)</f>
        <v>3767.4889999999996</v>
      </c>
      <c r="E28" s="274">
        <f t="shared" ref="E28" si="42">AVERAGE(D29:E29)</f>
        <v>7039.3045000000002</v>
      </c>
      <c r="F28" s="274">
        <f t="shared" ref="F28:G28" si="43">AVERAGE(E29:F29)</f>
        <v>10705.3665</v>
      </c>
      <c r="G28" s="274">
        <f t="shared" si="43"/>
        <v>14494.899000000001</v>
      </c>
      <c r="H28" s="274">
        <f>AVERAGE(H29,D29)</f>
        <v>5692.4650000000001</v>
      </c>
      <c r="I28" s="274">
        <f>AVERAGE(H29:I29)</f>
        <v>6597.8119999999999</v>
      </c>
      <c r="J28" s="274">
        <f t="shared" ref="J28" si="44">AVERAGE(I29:J29)</f>
        <v>7514.7129999999997</v>
      </c>
      <c r="K28" s="274">
        <f t="shared" ref="K28" si="45">AVERAGE(J29:K29)</f>
        <v>8396.3904999999995</v>
      </c>
      <c r="L28" s="274">
        <f t="shared" ref="L28" si="46">AVERAGE(K29:L29)</f>
        <v>9358.8734999999997</v>
      </c>
      <c r="M28" s="274">
        <f t="shared" ref="M28" si="47">AVERAGE(L29:M29)</f>
        <v>10303.8135</v>
      </c>
      <c r="N28" s="274">
        <f t="shared" ref="N28" si="48">AVERAGE(M29:N29)</f>
        <v>11182.7415</v>
      </c>
      <c r="O28" s="274">
        <f t="shared" ref="O28" si="49">AVERAGE(N29:O29)</f>
        <v>12116.839</v>
      </c>
      <c r="P28" s="274">
        <f t="shared" ref="P28:U28" si="50">AVERAGE(O29:P29)</f>
        <v>13062.486000000001</v>
      </c>
      <c r="Q28" s="274">
        <f t="shared" si="50"/>
        <v>14017.737499999999</v>
      </c>
      <c r="R28" s="274">
        <f t="shared" si="50"/>
        <v>14984.0635</v>
      </c>
      <c r="S28" s="274">
        <f t="shared" si="50"/>
        <v>15939.307000000001</v>
      </c>
      <c r="T28" s="274">
        <f t="shared" si="50"/>
        <v>16909.548000000003</v>
      </c>
      <c r="U28" s="274">
        <f t="shared" si="50"/>
        <v>17907.845500000003</v>
      </c>
      <c r="V28" s="274"/>
      <c r="W28" s="539">
        <f t="shared" si="29"/>
        <v>5.9037503545334324E-2</v>
      </c>
      <c r="X28" s="539">
        <f t="shared" si="30"/>
        <v>0.27751325775646785</v>
      </c>
    </row>
    <row r="29" spans="2:24" ht="13" customHeight="1">
      <c r="B29" s="89" t="str">
        <f>IF('Summary | Sumário'!D$6=Names!B$3,Names!AH28,Names!AI28)</f>
        <v>Active clients</v>
      </c>
      <c r="C29" s="269">
        <v>2282.6979999999999</v>
      </c>
      <c r="D29" s="269">
        <v>5252.28</v>
      </c>
      <c r="E29" s="269">
        <v>8826.3289999999997</v>
      </c>
      <c r="F29" s="269">
        <v>12584.404</v>
      </c>
      <c r="G29" s="269">
        <f>S29</f>
        <v>16405.394</v>
      </c>
      <c r="H29" s="269">
        <v>6132.65</v>
      </c>
      <c r="I29" s="269">
        <v>7062.9740000000002</v>
      </c>
      <c r="J29" s="269">
        <v>7966.4520000000002</v>
      </c>
      <c r="K29" s="269">
        <v>8826.3289999999997</v>
      </c>
      <c r="L29" s="269">
        <v>9891.4179999999997</v>
      </c>
      <c r="M29" s="269">
        <v>10716.209000000001</v>
      </c>
      <c r="N29" s="269">
        <v>11649.273999999999</v>
      </c>
      <c r="O29" s="269">
        <v>12584.404</v>
      </c>
      <c r="P29" s="269">
        <v>13540.567999999999</v>
      </c>
      <c r="Q29" s="269">
        <v>14494.906999999999</v>
      </c>
      <c r="R29" s="269">
        <v>15473.22</v>
      </c>
      <c r="S29" s="269">
        <v>16405.394</v>
      </c>
      <c r="T29" s="269">
        <v>17413.702000000001</v>
      </c>
      <c r="U29" s="269">
        <v>18401.989000000001</v>
      </c>
      <c r="V29" s="274"/>
      <c r="W29" s="540">
        <f t="shared" si="29"/>
        <v>5.6753411767354267E-2</v>
      </c>
      <c r="X29" s="540">
        <f t="shared" si="30"/>
        <v>0.26954860765922839</v>
      </c>
    </row>
    <row r="30" spans="2:24" ht="13" customHeight="1">
      <c r="B30" s="84" t="str">
        <f>IF('Summary | Sumário'!D$6=Names!B$3,Names!AH29,Names!AI29)</f>
        <v>Active clients in the previus period</v>
      </c>
      <c r="C30" s="274">
        <f>C29</f>
        <v>2282.6979999999999</v>
      </c>
      <c r="D30" s="274">
        <f>C30</f>
        <v>2282.6979999999999</v>
      </c>
      <c r="E30" s="274">
        <f>D29</f>
        <v>5252.28</v>
      </c>
      <c r="F30" s="274">
        <f t="shared" ref="F30:U30" si="51">E29</f>
        <v>8826.3289999999997</v>
      </c>
      <c r="G30" s="274">
        <f t="shared" si="51"/>
        <v>12584.404</v>
      </c>
      <c r="H30" s="274">
        <f>D29</f>
        <v>5252.28</v>
      </c>
      <c r="I30" s="274">
        <f t="shared" si="51"/>
        <v>6132.65</v>
      </c>
      <c r="J30" s="274">
        <f t="shared" si="51"/>
        <v>7062.9740000000002</v>
      </c>
      <c r="K30" s="274">
        <f t="shared" si="51"/>
        <v>7966.4520000000002</v>
      </c>
      <c r="L30" s="274">
        <f t="shared" si="51"/>
        <v>8826.3289999999997</v>
      </c>
      <c r="M30" s="274">
        <f t="shared" si="51"/>
        <v>9891.4179999999997</v>
      </c>
      <c r="N30" s="274">
        <f t="shared" si="51"/>
        <v>10716.209000000001</v>
      </c>
      <c r="O30" s="274">
        <f t="shared" si="51"/>
        <v>11649.273999999999</v>
      </c>
      <c r="P30" s="274">
        <f t="shared" si="51"/>
        <v>12584.404</v>
      </c>
      <c r="Q30" s="274">
        <f t="shared" si="51"/>
        <v>13540.567999999999</v>
      </c>
      <c r="R30" s="274">
        <f t="shared" si="51"/>
        <v>14494.906999999999</v>
      </c>
      <c r="S30" s="274">
        <f t="shared" si="51"/>
        <v>15473.22</v>
      </c>
      <c r="T30" s="274">
        <f t="shared" si="51"/>
        <v>16405.394</v>
      </c>
      <c r="U30" s="274">
        <f t="shared" si="51"/>
        <v>17413.702000000001</v>
      </c>
      <c r="V30" s="274"/>
      <c r="W30" s="539">
        <f t="shared" si="29"/>
        <v>6.1461980126780391E-2</v>
      </c>
      <c r="X30" s="539">
        <f t="shared" si="30"/>
        <v>0.28603925625571991</v>
      </c>
    </row>
    <row r="31" spans="2:24" ht="13" customHeight="1">
      <c r="B31" s="111" t="str">
        <f>IF('Summary | Sumário'!D$6=Names!B$3,Names!AH30,Names!AI30)</f>
        <v>(=) Net ARPAC (R$)</v>
      </c>
      <c r="C31" s="276">
        <f t="shared" ref="C31:Q31" si="52">C19/C28</f>
        <v>28.068065362420551</v>
      </c>
      <c r="D31" s="276">
        <f t="shared" si="52"/>
        <v>25.281336702420809</v>
      </c>
      <c r="E31" s="276">
        <f t="shared" si="52"/>
        <v>30.465642900753426</v>
      </c>
      <c r="F31" s="276">
        <f t="shared" si="52"/>
        <v>31.241092041703251</v>
      </c>
      <c r="G31" s="276">
        <f t="shared" ref="G31" si="53">G19/G28</f>
        <v>29.845051007254341</v>
      </c>
      <c r="H31" s="276">
        <f t="shared" si="52"/>
        <v>28.021111826481732</v>
      </c>
      <c r="I31" s="276">
        <f t="shared" si="52"/>
        <v>27.758634276534913</v>
      </c>
      <c r="J31" s="276">
        <f t="shared" si="52"/>
        <v>30.994658079423658</v>
      </c>
      <c r="K31" s="276">
        <f t="shared" si="52"/>
        <v>33.616350581439328</v>
      </c>
      <c r="L31" s="276">
        <f t="shared" si="52"/>
        <v>33.642889178916676</v>
      </c>
      <c r="M31" s="276">
        <f t="shared" si="52"/>
        <v>32.228347203683377</v>
      </c>
      <c r="N31" s="276">
        <f t="shared" si="52"/>
        <v>28.619330689169562</v>
      </c>
      <c r="O31" s="276">
        <f t="shared" si="52"/>
        <v>30.603060803784441</v>
      </c>
      <c r="P31" s="276">
        <f t="shared" si="52"/>
        <v>28.760728037016339</v>
      </c>
      <c r="Q31" s="276">
        <f t="shared" si="52"/>
        <v>29.637117497266114</v>
      </c>
      <c r="R31" s="276">
        <f t="shared" ref="R31:S31" si="54">R19/R28</f>
        <v>30.545065184754453</v>
      </c>
      <c r="S31" s="276">
        <f t="shared" si="54"/>
        <v>30.213529860070661</v>
      </c>
      <c r="T31" s="276">
        <f t="shared" ref="T31:U31" si="55">T19/T28</f>
        <v>30.129513192195208</v>
      </c>
      <c r="U31" s="276">
        <f t="shared" si="55"/>
        <v>30.363197182371895</v>
      </c>
      <c r="V31" s="503"/>
      <c r="W31" s="583">
        <f t="shared" si="29"/>
        <v>7.7559829356028676E-3</v>
      </c>
      <c r="X31" s="583">
        <f t="shared" si="30"/>
        <v>2.449899809496503E-2</v>
      </c>
    </row>
    <row r="32" spans="2:24" ht="13" customHeight="1">
      <c r="B32" s="95"/>
      <c r="C32" s="270"/>
      <c r="D32" s="270"/>
      <c r="E32" s="270"/>
      <c r="F32" s="270"/>
      <c r="G32" s="270"/>
      <c r="H32" s="270"/>
      <c r="I32" s="270"/>
      <c r="J32" s="270"/>
      <c r="K32" s="270"/>
      <c r="L32" s="270"/>
      <c r="M32" s="270"/>
      <c r="N32" s="270"/>
      <c r="O32" s="270"/>
      <c r="P32" s="270"/>
      <c r="Q32" s="270"/>
      <c r="R32" s="270"/>
      <c r="S32" s="270"/>
      <c r="T32" s="270"/>
      <c r="U32" s="270"/>
      <c r="V32" s="270"/>
      <c r="W32" s="270"/>
      <c r="X32" s="270"/>
    </row>
    <row r="33" spans="1:29" ht="13" customHeight="1">
      <c r="B33" s="101"/>
      <c r="C33" s="270"/>
      <c r="D33" s="270"/>
      <c r="E33" s="270"/>
      <c r="F33" s="270"/>
      <c r="G33" s="270"/>
      <c r="H33" s="270"/>
      <c r="I33" s="270"/>
      <c r="J33" s="270"/>
      <c r="K33" s="270"/>
      <c r="L33" s="270"/>
      <c r="M33" s="270"/>
      <c r="N33" s="270"/>
      <c r="O33" s="270"/>
      <c r="P33" s="270"/>
      <c r="Q33" s="270"/>
      <c r="R33" s="270"/>
      <c r="S33" s="270"/>
      <c r="T33" s="270"/>
      <c r="U33" s="270"/>
      <c r="V33" s="270"/>
      <c r="W33" s="270"/>
      <c r="X33" s="270"/>
    </row>
    <row r="34" spans="1:29" ht="13" customHeight="1">
      <c r="B34" s="96"/>
      <c r="C34" s="270"/>
      <c r="D34" s="270"/>
      <c r="E34" s="270"/>
      <c r="F34" s="270"/>
      <c r="G34" s="270"/>
      <c r="H34" s="270"/>
      <c r="I34" s="270"/>
      <c r="J34" s="270"/>
      <c r="K34" s="270"/>
      <c r="L34" s="270"/>
      <c r="M34" s="270"/>
      <c r="N34" s="270"/>
      <c r="O34" s="270"/>
      <c r="P34" s="270"/>
      <c r="Q34" s="270"/>
      <c r="R34" s="270"/>
      <c r="S34" s="270"/>
      <c r="T34" s="270"/>
      <c r="U34" s="270"/>
      <c r="V34" s="270"/>
      <c r="W34" s="270"/>
      <c r="X34" s="270"/>
    </row>
    <row r="35" spans="1:29" ht="13" customHeight="1">
      <c r="B35" s="94"/>
      <c r="C35" s="270"/>
      <c r="D35" s="270"/>
      <c r="E35" s="270"/>
      <c r="F35" s="270"/>
      <c r="G35" s="270"/>
      <c r="H35" s="270"/>
      <c r="I35" s="270"/>
      <c r="J35" s="270"/>
      <c r="K35" s="270"/>
      <c r="L35" s="270"/>
      <c r="M35" s="270"/>
      <c r="N35" s="270"/>
      <c r="O35" s="270"/>
      <c r="P35" s="270"/>
      <c r="Q35" s="270"/>
      <c r="R35" s="270"/>
      <c r="S35" s="270"/>
      <c r="T35" s="270"/>
      <c r="U35" s="270"/>
      <c r="V35" s="270"/>
      <c r="W35" s="270"/>
      <c r="X35" s="270"/>
    </row>
    <row r="36" spans="1:29" ht="13" customHeight="1">
      <c r="B36" s="15"/>
    </row>
    <row r="38" spans="1:29" s="202" customFormat="1" ht="13" customHeight="1">
      <c r="A38" s="201"/>
      <c r="B38" s="77"/>
      <c r="Y38" s="201"/>
      <c r="Z38" s="201"/>
      <c r="AA38" s="201"/>
      <c r="AB38" s="201"/>
      <c r="AC38" s="201"/>
    </row>
  </sheetData>
  <sheetProtection algorithmName="SHA-512" hashValue="XO4vdX5Xg2WFktRvzlrJ+YSgm04frsaUOvBaN4AJ7bG+xgq9obtgWp+MZeDvMf7lcPt/ymI1TGINSOWi21ewuQ==" saltValue="x7TEKrHudkXJb5+1p7D+P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C25:F25 H25:P25 H13 H28 H15:H20 H30" 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5" tint="0.59999389629810485"/>
  </sheetPr>
  <dimension ref="A1:AD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01" customWidth="1"/>
    <col min="3" max="21" width="10.83203125" style="202" customWidth="1"/>
    <col min="22" max="22" width="5.83203125" style="202" customWidth="1"/>
    <col min="23" max="24" width="10.83203125" style="202" customWidth="1"/>
    <col min="25" max="27" width="10.83203125" style="201"/>
    <col min="28" max="28" width="19.33203125" style="201" bestFit="1" customWidth="1"/>
    <col min="29" max="16384" width="10.83203125" style="201"/>
  </cols>
  <sheetData>
    <row r="1" spans="1:30" ht="13" customHeight="1">
      <c r="Y1" s="202"/>
    </row>
    <row r="2" spans="1:30" s="208" customFormat="1" ht="13" customHeight="1">
      <c r="B2" s="384" t="str">
        <f>IF('Summary | Sumário'!D$6=Names!B$3,Names!AB1,Names!AC1)</f>
        <v>Cost of Risk (R$ Thousands)</v>
      </c>
      <c r="C2" s="198">
        <f>IF('Summary | Sumário'!D6=Names!B3,Names!C2,Names!D2)</f>
        <v>2019</v>
      </c>
      <c r="D2" s="198">
        <f>IF('Summary | Sumário'!D6=Names!B3,Names!C3,Names!D3)</f>
        <v>2020</v>
      </c>
      <c r="E2" s="198">
        <f>IF('Summary | Sumário'!D6=Names!B3,Names!C4,Names!D4)</f>
        <v>2021</v>
      </c>
      <c r="F2" s="198">
        <f>IF('Summary | Sumário'!D6=Names!B3,Names!C5,Names!D5)</f>
        <v>2022</v>
      </c>
      <c r="G2" s="412">
        <f>IF('Summary | Sumário'!D6=Names!B3,Names!C18,Names!D18)</f>
        <v>2023</v>
      </c>
      <c r="H2" s="20" t="str">
        <f>IF('Summary | Sumário'!D6=Names!B3,Names!C6,Names!D6)</f>
        <v>1Q21</v>
      </c>
      <c r="I2" s="21" t="str">
        <f>IF('Summary | Sumário'!D6=Names!B3,Names!C7,Names!D7)</f>
        <v>2Q21</v>
      </c>
      <c r="J2" s="21" t="str">
        <f>IF('Summary | Sumário'!D6=Names!B3,Names!C8,Names!D8)</f>
        <v>3Q21</v>
      </c>
      <c r="K2" s="21" t="str">
        <f>IF('Summary | Sumário'!D6=Names!B3,Names!C9,Names!D9)</f>
        <v>4Q21</v>
      </c>
      <c r="L2" s="21" t="str">
        <f>IF('Summary | Sumário'!D6=Names!B3,Names!C10,Names!D10)</f>
        <v>1Q22</v>
      </c>
      <c r="M2" s="21" t="str">
        <f>IF('Summary | Sumário'!D6=Names!B3,Names!C11,Names!D11)</f>
        <v>2Q22</v>
      </c>
      <c r="N2" s="21" t="str">
        <f>IF('Summary | Sumário'!D6=Names!B3,Names!C12,Names!D12)</f>
        <v>3Q22</v>
      </c>
      <c r="O2" s="21" t="str">
        <f>IF('Summary | Sumário'!D6=Names!B3,Names!C13,Names!D13)</f>
        <v>4Q22</v>
      </c>
      <c r="P2" s="21" t="str">
        <f>IF('Summary | Sumário'!D6=Names!B3,Names!C14,Names!D14)</f>
        <v>1Q23</v>
      </c>
      <c r="Q2" s="21" t="str">
        <f>IF('Summary | Sumário'!D6=Names!B3,Names!C15,Names!D15)</f>
        <v>2Q23</v>
      </c>
      <c r="R2" s="21" t="str">
        <f>IF('Summary | Sumário'!D6=Names!B3,Names!C16,Names!D16)</f>
        <v>3Q23</v>
      </c>
      <c r="S2" s="21" t="str">
        <f>IF('Summary | Sumário'!D6=Names!B3,Names!C17,Names!D17)</f>
        <v>4Q23</v>
      </c>
      <c r="T2" s="21" t="str">
        <f>IF('Summary | Sumário'!D6=Names!B3,Names!C19,Names!D19)</f>
        <v>1Q24</v>
      </c>
      <c r="U2" s="385" t="str">
        <f>IF('Summary | Sumário'!D6=Names!B3,Names!C20,Names!D20)</f>
        <v>2Q24</v>
      </c>
      <c r="V2" s="496"/>
      <c r="W2" s="180" t="str">
        <f>IF('Summary | Sumário'!$D$6=Names!$B$3,Names!$I$24,Names!$J$24)</f>
        <v>QoQ Variation</v>
      </c>
      <c r="X2" s="180" t="str">
        <f>IF('Summary | Sumário'!$D$6=Names!$B$3,Names!$I$25,Names!$J$25)</f>
        <v>YoY Variation</v>
      </c>
      <c r="Y2" s="207"/>
      <c r="AA2" s="209"/>
      <c r="AB2" s="210"/>
    </row>
    <row r="3" spans="1:30" ht="13" customHeight="1">
      <c r="B3" s="76"/>
      <c r="C3" s="241"/>
      <c r="D3" s="241"/>
      <c r="E3" s="241"/>
      <c r="F3" s="241"/>
      <c r="G3" s="241"/>
      <c r="H3" s="241"/>
      <c r="I3" s="241"/>
      <c r="J3" s="241"/>
      <c r="K3" s="241"/>
      <c r="L3" s="241"/>
      <c r="M3" s="241"/>
      <c r="N3" s="241"/>
      <c r="O3" s="241"/>
      <c r="P3" s="241"/>
      <c r="Q3" s="241"/>
      <c r="R3" s="241"/>
      <c r="S3" s="241"/>
      <c r="T3" s="241"/>
      <c r="U3" s="241"/>
      <c r="V3" s="241"/>
      <c r="W3" s="241"/>
      <c r="X3" s="241"/>
      <c r="Y3" s="213"/>
    </row>
    <row r="4" spans="1:30" ht="13" customHeight="1">
      <c r="B4" s="3" t="str">
        <f>IF('Summary | Sumário'!D$6=Names!B$3,Names!AB11,Names!AC11)</f>
        <v>Cost of risk</v>
      </c>
      <c r="C4" s="277"/>
      <c r="D4" s="277"/>
      <c r="E4" s="277"/>
      <c r="F4" s="277"/>
      <c r="G4" s="277"/>
      <c r="H4" s="277"/>
      <c r="I4" s="277"/>
      <c r="J4" s="277"/>
      <c r="K4" s="277"/>
      <c r="L4" s="277"/>
      <c r="M4" s="277"/>
      <c r="N4" s="277"/>
      <c r="O4" s="277"/>
      <c r="P4" s="277"/>
      <c r="Q4" s="277"/>
      <c r="R4" s="277"/>
      <c r="S4" s="277"/>
      <c r="T4" s="277"/>
      <c r="U4" s="277"/>
      <c r="V4" s="277"/>
      <c r="W4" s="277"/>
      <c r="X4" s="277"/>
    </row>
    <row r="5" spans="1:30" ht="13" customHeight="1">
      <c r="B5" s="452" t="str">
        <f>IF('Summary | Sumário'!D$6=Names!B$3,Names!AB12,Names!AC12)</f>
        <v>Anuallized impairment losses on financial assets</v>
      </c>
      <c r="C5" s="423">
        <f>C6</f>
        <v>138570</v>
      </c>
      <c r="D5" s="423">
        <f t="shared" ref="D5:G5" si="0">D6</f>
        <v>213688</v>
      </c>
      <c r="E5" s="423">
        <f t="shared" si="0"/>
        <v>595581</v>
      </c>
      <c r="F5" s="423">
        <f t="shared" si="0"/>
        <v>1083237</v>
      </c>
      <c r="G5" s="423">
        <f t="shared" si="0"/>
        <v>1541584</v>
      </c>
      <c r="H5" s="423">
        <f>H6*4</f>
        <v>426676</v>
      </c>
      <c r="I5" s="423">
        <f t="shared" ref="I5:U5" si="1">I6*4</f>
        <v>669764</v>
      </c>
      <c r="J5" s="423">
        <f t="shared" si="1"/>
        <v>552020</v>
      </c>
      <c r="K5" s="423">
        <f t="shared" si="1"/>
        <v>733864</v>
      </c>
      <c r="L5" s="423">
        <f t="shared" si="1"/>
        <v>1251784</v>
      </c>
      <c r="M5" s="423">
        <f t="shared" si="1"/>
        <v>969856</v>
      </c>
      <c r="N5" s="423">
        <f t="shared" si="1"/>
        <v>1052452</v>
      </c>
      <c r="O5" s="423">
        <f t="shared" si="1"/>
        <v>1058856</v>
      </c>
      <c r="P5" s="423">
        <f t="shared" si="1"/>
        <v>1402724</v>
      </c>
      <c r="Q5" s="423">
        <f t="shared" si="1"/>
        <v>1594240</v>
      </c>
      <c r="R5" s="423">
        <f t="shared" si="1"/>
        <v>1631596</v>
      </c>
      <c r="S5" s="423">
        <f t="shared" si="1"/>
        <v>1537776</v>
      </c>
      <c r="T5" s="423">
        <f t="shared" si="1"/>
        <v>1644192</v>
      </c>
      <c r="U5" s="423">
        <f t="shared" si="1"/>
        <v>1684992</v>
      </c>
      <c r="V5" s="274"/>
      <c r="W5" s="538">
        <f>U5/T5-1</f>
        <v>2.4814620190342751E-2</v>
      </c>
      <c r="X5" s="538">
        <f>U5/Q5-1</f>
        <v>5.6924929747089514E-2</v>
      </c>
      <c r="Z5" s="285"/>
      <c r="AA5" s="285"/>
    </row>
    <row r="6" spans="1:30" ht="13" customHeight="1">
      <c r="B6" s="106" t="str">
        <f>IF('Summary | Sumário'!D$6=Names!B$3,Names!AB13,Names!AC13)</f>
        <v>Impairment losses on financial assets</v>
      </c>
      <c r="C6" s="270">
        <v>138570</v>
      </c>
      <c r="D6" s="270">
        <v>213688</v>
      </c>
      <c r="E6" s="270">
        <v>595581</v>
      </c>
      <c r="F6" s="270">
        <v>1083237</v>
      </c>
      <c r="G6" s="270">
        <v>1541584</v>
      </c>
      <c r="H6" s="270">
        <v>106669</v>
      </c>
      <c r="I6" s="270">
        <v>167441</v>
      </c>
      <c r="J6" s="270">
        <v>138005</v>
      </c>
      <c r="K6" s="270">
        <v>183466</v>
      </c>
      <c r="L6" s="270">
        <v>312946</v>
      </c>
      <c r="M6" s="270">
        <v>242464</v>
      </c>
      <c r="N6" s="270">
        <v>263113</v>
      </c>
      <c r="O6" s="270">
        <v>264714</v>
      </c>
      <c r="P6" s="270">
        <v>350681</v>
      </c>
      <c r="Q6" s="270">
        <v>398560</v>
      </c>
      <c r="R6" s="270">
        <v>407899</v>
      </c>
      <c r="S6" s="270">
        <v>384444</v>
      </c>
      <c r="T6" s="270">
        <v>411048</v>
      </c>
      <c r="U6" s="270">
        <v>421248</v>
      </c>
      <c r="V6" s="270"/>
      <c r="W6" s="580">
        <f>U6/T6-1</f>
        <v>2.4814620190342751E-2</v>
      </c>
      <c r="X6" s="580">
        <f>U6/Q6-1</f>
        <v>5.6924929747089514E-2</v>
      </c>
      <c r="Z6" s="285"/>
      <c r="AA6" s="285"/>
      <c r="AB6" s="285"/>
    </row>
    <row r="7" spans="1:30" ht="13" customHeight="1">
      <c r="B7" s="115" t="str">
        <f>IF('Summary | Sumário'!D$6=Names!B$3,Names!AB14,Names!AC14)</f>
        <v>(÷) Avg of the last two periods of gross loans and advances to customers</v>
      </c>
      <c r="C7" s="271">
        <f t="shared" ref="C7:Q7" si="2">AVERAGE(C8:C9)</f>
        <v>4777387</v>
      </c>
      <c r="D7" s="271">
        <f t="shared" si="2"/>
        <v>6783722.5</v>
      </c>
      <c r="E7" s="271">
        <f t="shared" si="2"/>
        <v>13152262</v>
      </c>
      <c r="F7" s="271">
        <f t="shared" si="2"/>
        <v>21029229.5</v>
      </c>
      <c r="G7" s="271">
        <f t="shared" ref="G7" si="3">AVERAGE(G8:G9)</f>
        <v>27782415</v>
      </c>
      <c r="H7" s="271">
        <f t="shared" si="2"/>
        <v>9559371.8131499998</v>
      </c>
      <c r="I7" s="271">
        <f t="shared" si="2"/>
        <v>11463723.34365</v>
      </c>
      <c r="J7" s="271">
        <f t="shared" si="2"/>
        <v>13778199.9965</v>
      </c>
      <c r="K7" s="271">
        <f t="shared" si="2"/>
        <v>16236052.466</v>
      </c>
      <c r="L7" s="271">
        <f t="shared" si="2"/>
        <v>18019061.792999998</v>
      </c>
      <c r="M7" s="271">
        <f t="shared" si="2"/>
        <v>19194110.597999997</v>
      </c>
      <c r="N7" s="271">
        <f t="shared" si="2"/>
        <v>20949808.805</v>
      </c>
      <c r="O7" s="271">
        <f t="shared" si="2"/>
        <v>23289523.5</v>
      </c>
      <c r="P7" s="271">
        <f t="shared" si="2"/>
        <v>24836645.5</v>
      </c>
      <c r="Q7" s="271">
        <f t="shared" si="2"/>
        <v>25801829</v>
      </c>
      <c r="R7" s="271">
        <f>AVERAGE(R8:R9)</f>
        <v>27366551.5</v>
      </c>
      <c r="S7" s="271">
        <f>AVERAGE(S8:S9)</f>
        <v>29639790</v>
      </c>
      <c r="T7" s="271">
        <f>AVERAGE(T8:T9)</f>
        <v>31582230.265975103</v>
      </c>
      <c r="U7" s="271">
        <f>AVERAGE(U8:U9)</f>
        <v>33908997.474265099</v>
      </c>
      <c r="V7" s="270"/>
      <c r="W7" s="581">
        <f>U7/T7-1</f>
        <v>7.3673302635524296E-2</v>
      </c>
      <c r="X7" s="581">
        <f>U7/Q7-1</f>
        <v>0.31420906146866945</v>
      </c>
      <c r="AA7" s="285"/>
      <c r="AB7" s="285"/>
      <c r="AD7" s="249"/>
    </row>
    <row r="8" spans="1:30" ht="13" customHeight="1">
      <c r="A8" s="239" t="s">
        <v>674</v>
      </c>
      <c r="B8" s="94" t="str">
        <f>IF('Summary | Sumário'!D$6=Names!B$3,Names!AB15,Names!AC15)</f>
        <v>Gross loan portfolio</v>
      </c>
      <c r="C8" s="270">
        <v>4777387</v>
      </c>
      <c r="D8" s="270">
        <v>8790058</v>
      </c>
      <c r="E8" s="270">
        <v>17514466</v>
      </c>
      <c r="F8" s="270">
        <v>24543993</v>
      </c>
      <c r="G8" s="270">
        <f>S8</f>
        <v>31020837</v>
      </c>
      <c r="H8" s="270">
        <v>10328685.6263</v>
      </c>
      <c r="I8" s="270">
        <v>12598761.061000001</v>
      </c>
      <c r="J8" s="270">
        <v>14957638.932</v>
      </c>
      <c r="K8" s="270">
        <v>17514466</v>
      </c>
      <c r="L8" s="270">
        <v>18523657.585999999</v>
      </c>
      <c r="M8" s="270">
        <v>19864563.609999999</v>
      </c>
      <c r="N8" s="270">
        <v>22035054</v>
      </c>
      <c r="O8" s="270">
        <v>24543993</v>
      </c>
      <c r="P8" s="270">
        <v>25129298</v>
      </c>
      <c r="Q8" s="270">
        <v>26474360</v>
      </c>
      <c r="R8" s="270">
        <v>28258743</v>
      </c>
      <c r="S8" s="270">
        <v>31020837</v>
      </c>
      <c r="T8" s="270">
        <v>32143623.531950202</v>
      </c>
      <c r="U8" s="270">
        <v>35674371.416579999</v>
      </c>
      <c r="V8" s="270"/>
      <c r="W8" s="580">
        <f>U8/T8-1</f>
        <v>0.10984287073672006</v>
      </c>
      <c r="X8" s="580">
        <f>U8/Q8-1</f>
        <v>0.34750647103763788</v>
      </c>
    </row>
    <row r="9" spans="1:30" ht="13" customHeight="1">
      <c r="B9" s="98" t="str">
        <f>IF('Summary | Sumário'!D$6=Names!B$3,Names!AB16,Names!AC16)</f>
        <v>Gross loan portfolio in the previous period</v>
      </c>
      <c r="C9" s="271">
        <f>C8</f>
        <v>4777387</v>
      </c>
      <c r="D9" s="271">
        <f>C8</f>
        <v>4777387</v>
      </c>
      <c r="E9" s="271">
        <f t="shared" ref="E9:G9" si="4">D8</f>
        <v>8790058</v>
      </c>
      <c r="F9" s="271">
        <f t="shared" si="4"/>
        <v>17514466</v>
      </c>
      <c r="G9" s="271">
        <f t="shared" si="4"/>
        <v>24543993</v>
      </c>
      <c r="H9" s="271">
        <f>D8</f>
        <v>8790058</v>
      </c>
      <c r="I9" s="271">
        <f>H8</f>
        <v>10328685.6263</v>
      </c>
      <c r="J9" s="271">
        <f t="shared" ref="J9:U9" si="5">I8</f>
        <v>12598761.061000001</v>
      </c>
      <c r="K9" s="271">
        <f t="shared" si="5"/>
        <v>14957638.932</v>
      </c>
      <c r="L9" s="271">
        <f t="shared" si="5"/>
        <v>17514466</v>
      </c>
      <c r="M9" s="271">
        <f t="shared" si="5"/>
        <v>18523657.585999999</v>
      </c>
      <c r="N9" s="271">
        <f t="shared" si="5"/>
        <v>19864563.609999999</v>
      </c>
      <c r="O9" s="271">
        <f t="shared" si="5"/>
        <v>22035054</v>
      </c>
      <c r="P9" s="271">
        <f t="shared" si="5"/>
        <v>24543993</v>
      </c>
      <c r="Q9" s="271">
        <f t="shared" si="5"/>
        <v>25129298</v>
      </c>
      <c r="R9" s="271">
        <f t="shared" si="5"/>
        <v>26474360</v>
      </c>
      <c r="S9" s="271">
        <f t="shared" si="5"/>
        <v>28258743</v>
      </c>
      <c r="T9" s="271">
        <f t="shared" si="5"/>
        <v>31020837</v>
      </c>
      <c r="U9" s="271">
        <f t="shared" si="5"/>
        <v>32143623.531950202</v>
      </c>
      <c r="V9" s="270"/>
      <c r="W9" s="581">
        <f>U9/T9-1</f>
        <v>3.6194591781975483E-2</v>
      </c>
      <c r="X9" s="581">
        <f>U9/Q9-1</f>
        <v>0.27912938642178542</v>
      </c>
    </row>
    <row r="10" spans="1:30" ht="13" customHeight="1">
      <c r="B10" s="420" t="str">
        <f>IF('Summary | Sumário'!D$6=Names!B$3,Names!AB17,Names!AC17)</f>
        <v>Cost of risk (%)</v>
      </c>
      <c r="C10" s="444">
        <f>C5/C7</f>
        <v>2.9005395627358637E-2</v>
      </c>
      <c r="D10" s="444">
        <f t="shared" ref="D10:Q10" si="6">D5/D7</f>
        <v>3.1500109268915409E-2</v>
      </c>
      <c r="E10" s="444">
        <f t="shared" si="6"/>
        <v>4.5283541340645432E-2</v>
      </c>
      <c r="F10" s="444">
        <f>F5/F7</f>
        <v>5.1511017082199802E-2</v>
      </c>
      <c r="G10" s="444">
        <f t="shared" ref="G10" si="7">G5/G7</f>
        <v>5.5487760873199829E-2</v>
      </c>
      <c r="H10" s="444">
        <f t="shared" si="6"/>
        <v>4.4634313670387712E-2</v>
      </c>
      <c r="I10" s="444">
        <f t="shared" si="6"/>
        <v>5.8424647902114324E-2</v>
      </c>
      <c r="J10" s="444">
        <f t="shared" si="6"/>
        <v>4.0064739961695038E-2</v>
      </c>
      <c r="K10" s="444">
        <f t="shared" si="6"/>
        <v>4.5199656846193884E-2</v>
      </c>
      <c r="L10" s="444">
        <f t="shared" si="6"/>
        <v>6.9469987637552258E-2</v>
      </c>
      <c r="M10" s="444">
        <f t="shared" si="6"/>
        <v>5.052883253163383E-2</v>
      </c>
      <c r="N10" s="444">
        <f t="shared" si="6"/>
        <v>5.0236830789062659E-2</v>
      </c>
      <c r="O10" s="444">
        <f t="shared" si="6"/>
        <v>4.5464906141166862E-2</v>
      </c>
      <c r="P10" s="444">
        <f t="shared" si="6"/>
        <v>5.6477997401058043E-2</v>
      </c>
      <c r="Q10" s="444">
        <f t="shared" si="6"/>
        <v>6.1787867829059713E-2</v>
      </c>
      <c r="R10" s="444">
        <v>5.8999999999999997E-2</v>
      </c>
      <c r="S10" s="444">
        <f t="shared" ref="S10:T10" si="8">S5/S7</f>
        <v>5.1882148962593862E-2</v>
      </c>
      <c r="T10" s="444">
        <f t="shared" si="8"/>
        <v>5.2060667855093147E-2</v>
      </c>
      <c r="U10" s="444">
        <f t="shared" ref="U10" si="9">U5/U7</f>
        <v>4.9691590005832766E-2</v>
      </c>
      <c r="V10" s="502"/>
      <c r="W10" s="569">
        <f t="shared" ref="W10" si="10">(U10-T10)*100</f>
        <v>-0.23690778492603815</v>
      </c>
      <c r="X10" s="569">
        <f t="shared" ref="X10" si="11">(U10-Q10)*100</f>
        <v>-1.2096277823226949</v>
      </c>
      <c r="Z10" s="249"/>
      <c r="AA10" s="249"/>
      <c r="AB10" s="249"/>
    </row>
    <row r="11" spans="1:30" ht="13" customHeight="1">
      <c r="B11" s="8"/>
      <c r="C11" s="273"/>
      <c r="D11" s="273"/>
      <c r="E11" s="273"/>
      <c r="F11" s="273"/>
      <c r="G11" s="273"/>
      <c r="H11" s="273"/>
      <c r="I11" s="273"/>
      <c r="J11" s="273"/>
      <c r="K11" s="273"/>
      <c r="L11" s="273"/>
      <c r="M11" s="273"/>
      <c r="N11" s="273"/>
      <c r="O11" s="273"/>
      <c r="P11" s="273"/>
      <c r="Q11" s="273"/>
      <c r="R11" s="273"/>
      <c r="S11" s="273"/>
      <c r="T11" s="273"/>
      <c r="U11" s="273"/>
      <c r="W11" s="273"/>
      <c r="X11" s="273"/>
      <c r="AA11" s="249"/>
      <c r="AB11" s="249"/>
    </row>
    <row r="12" spans="1:30" s="202" customFormat="1" ht="13" customHeight="1">
      <c r="A12" s="201"/>
      <c r="B12" s="3" t="str">
        <f>IF('Summary | Sumário'!D$6=Names!B$3,Names!AB2,Names!AC2)</f>
        <v>Cost of risk  (Excl. Antic. of CC Receivables)</v>
      </c>
      <c r="C12" s="277"/>
      <c r="D12" s="277"/>
      <c r="E12" s="277"/>
      <c r="F12" s="277"/>
      <c r="G12" s="277"/>
      <c r="H12" s="277"/>
      <c r="I12" s="277"/>
      <c r="J12" s="277"/>
      <c r="K12" s="277"/>
      <c r="L12" s="277"/>
      <c r="M12" s="277"/>
      <c r="N12" s="277"/>
      <c r="O12" s="277"/>
      <c r="P12" s="277"/>
      <c r="Q12" s="277"/>
      <c r="R12" s="277"/>
      <c r="S12" s="277"/>
      <c r="T12" s="277"/>
      <c r="U12" s="277"/>
      <c r="V12" s="277"/>
      <c r="W12" s="277"/>
      <c r="X12" s="277"/>
      <c r="Y12" s="201"/>
      <c r="Z12" s="201"/>
      <c r="AA12" s="201"/>
      <c r="AB12" s="201"/>
      <c r="AC12" s="201"/>
    </row>
    <row r="13" spans="1:30" s="202" customFormat="1" ht="13" customHeight="1">
      <c r="A13" s="201"/>
      <c r="B13" s="452" t="str">
        <f>IF('Summary | Sumário'!D$6=Names!B$3,Names!AB3,Names!AC3)</f>
        <v>Anuallized impairment losses on financial assets</v>
      </c>
      <c r="C13" s="423">
        <f>C14</f>
        <v>138570</v>
      </c>
      <c r="D13" s="423">
        <f t="shared" ref="D13:G13" si="12">D14</f>
        <v>213688</v>
      </c>
      <c r="E13" s="423">
        <f t="shared" si="12"/>
        <v>595581</v>
      </c>
      <c r="F13" s="423">
        <f t="shared" si="12"/>
        <v>1083237</v>
      </c>
      <c r="G13" s="423">
        <f t="shared" si="12"/>
        <v>1541584</v>
      </c>
      <c r="H13" s="423">
        <f>H14*4</f>
        <v>426676</v>
      </c>
      <c r="I13" s="423">
        <f t="shared" ref="I13:U13" si="13">I14*4</f>
        <v>669764</v>
      </c>
      <c r="J13" s="423">
        <f t="shared" si="13"/>
        <v>552020</v>
      </c>
      <c r="K13" s="423">
        <f t="shared" si="13"/>
        <v>733864</v>
      </c>
      <c r="L13" s="423">
        <f t="shared" si="13"/>
        <v>1251784</v>
      </c>
      <c r="M13" s="423">
        <f t="shared" si="13"/>
        <v>969856</v>
      </c>
      <c r="N13" s="423">
        <f t="shared" si="13"/>
        <v>1052452</v>
      </c>
      <c r="O13" s="423">
        <f t="shared" si="13"/>
        <v>1058856</v>
      </c>
      <c r="P13" s="423">
        <f t="shared" si="13"/>
        <v>1402724</v>
      </c>
      <c r="Q13" s="423">
        <f t="shared" si="13"/>
        <v>1594240</v>
      </c>
      <c r="R13" s="423">
        <f t="shared" si="13"/>
        <v>1631596</v>
      </c>
      <c r="S13" s="423">
        <f t="shared" si="13"/>
        <v>1537776</v>
      </c>
      <c r="T13" s="423">
        <f t="shared" si="13"/>
        <v>1644192</v>
      </c>
      <c r="U13" s="423">
        <f t="shared" si="13"/>
        <v>1684992</v>
      </c>
      <c r="V13" s="274"/>
      <c r="W13" s="538">
        <f>U13/T13-1</f>
        <v>2.4814620190342751E-2</v>
      </c>
      <c r="X13" s="538">
        <f>U13/Q13-1</f>
        <v>5.6924929747089514E-2</v>
      </c>
      <c r="Y13" s="201"/>
      <c r="Z13" s="201"/>
      <c r="AA13" s="201"/>
      <c r="AB13" s="201"/>
      <c r="AC13" s="201"/>
    </row>
    <row r="14" spans="1:30" s="202" customFormat="1" ht="13" customHeight="1">
      <c r="A14" s="201"/>
      <c r="B14" s="106" t="str">
        <f>IF('Summary | Sumário'!D$6=Names!B$3,Names!AB4,Names!AC4)</f>
        <v>Impairment losses on financial assets</v>
      </c>
      <c r="C14" s="270">
        <v>138570</v>
      </c>
      <c r="D14" s="270">
        <v>213688</v>
      </c>
      <c r="E14" s="270">
        <v>595581</v>
      </c>
      <c r="F14" s="270">
        <v>1083237</v>
      </c>
      <c r="G14" s="270">
        <v>1541584</v>
      </c>
      <c r="H14" s="270">
        <v>106669</v>
      </c>
      <c r="I14" s="270">
        <v>167441</v>
      </c>
      <c r="J14" s="270">
        <v>138005</v>
      </c>
      <c r="K14" s="270">
        <v>183466</v>
      </c>
      <c r="L14" s="270">
        <v>312946</v>
      </c>
      <c r="M14" s="270">
        <v>242464</v>
      </c>
      <c r="N14" s="270">
        <v>263113</v>
      </c>
      <c r="O14" s="270">
        <v>264714</v>
      </c>
      <c r="P14" s="270">
        <v>350681</v>
      </c>
      <c r="Q14" s="270">
        <v>398560</v>
      </c>
      <c r="R14" s="270">
        <v>407899</v>
      </c>
      <c r="S14" s="270">
        <v>384444</v>
      </c>
      <c r="T14" s="270">
        <v>411048</v>
      </c>
      <c r="U14" s="270">
        <v>421248</v>
      </c>
      <c r="V14" s="270"/>
      <c r="W14" s="580">
        <f>U14/T14-1</f>
        <v>2.4814620190342751E-2</v>
      </c>
      <c r="X14" s="580">
        <f>U14/Q14-1</f>
        <v>5.6924929747089514E-2</v>
      </c>
      <c r="Y14" s="201"/>
      <c r="Z14" s="201"/>
      <c r="AA14" s="201"/>
      <c r="AB14" s="201"/>
      <c r="AC14" s="201"/>
    </row>
    <row r="15" spans="1:30" s="202" customFormat="1" ht="13" customHeight="1">
      <c r="A15" s="201"/>
      <c r="B15" s="115" t="str">
        <f>IF('Summary | Sumário'!D$6=Names!B$3,Names!AB5,Names!AC5)</f>
        <v>(÷) Avg of the last two periods of gross loans and advances to customers</v>
      </c>
      <c r="C15" s="271">
        <f>AVERAGE(C16,C17)</f>
        <v>4777387</v>
      </c>
      <c r="D15" s="271">
        <f t="shared" ref="D15:Q15" si="14">AVERAGE(D16,D17)</f>
        <v>6783722.5</v>
      </c>
      <c r="E15" s="271">
        <f t="shared" si="14"/>
        <v>13003210</v>
      </c>
      <c r="F15" s="271">
        <f t="shared" si="14"/>
        <v>19957345</v>
      </c>
      <c r="G15" s="271">
        <f t="shared" ref="G15" si="15">AVERAGE(G16,G17)</f>
        <v>26241314.5</v>
      </c>
      <c r="H15" s="271">
        <f t="shared" si="14"/>
        <v>9516483.6721500009</v>
      </c>
      <c r="I15" s="271">
        <f t="shared" si="14"/>
        <v>11385077.672150001</v>
      </c>
      <c r="J15" s="271">
        <f t="shared" si="14"/>
        <v>13693664.5</v>
      </c>
      <c r="K15" s="271">
        <f t="shared" si="14"/>
        <v>16038222.5</v>
      </c>
      <c r="L15" s="271">
        <f t="shared" si="14"/>
        <v>17696333</v>
      </c>
      <c r="M15" s="271">
        <f t="shared" si="14"/>
        <v>18830475.199999999</v>
      </c>
      <c r="N15" s="271">
        <f t="shared" si="14"/>
        <v>20244957.199999999</v>
      </c>
      <c r="O15" s="271">
        <f t="shared" si="14"/>
        <v>21851798</v>
      </c>
      <c r="P15" s="271">
        <f t="shared" si="14"/>
        <v>23265601</v>
      </c>
      <c r="Q15" s="271">
        <f t="shared" si="14"/>
        <v>24487128.5</v>
      </c>
      <c r="R15" s="271">
        <f t="shared" ref="R15:S15" si="16">AVERAGE(R16,R17)</f>
        <v>26092492</v>
      </c>
      <c r="S15" s="271">
        <f t="shared" si="16"/>
        <v>28413951</v>
      </c>
      <c r="T15" s="271">
        <f t="shared" ref="T15:U15" si="17">AVERAGE(T16,T17)</f>
        <v>30321463.940545101</v>
      </c>
      <c r="U15" s="271">
        <f t="shared" si="17"/>
        <v>31915089.440545101</v>
      </c>
      <c r="V15" s="270"/>
      <c r="W15" s="581">
        <f>U15/T15-1</f>
        <v>5.2557670141679447E-2</v>
      </c>
      <c r="X15" s="581">
        <f>U15/Q15-1</f>
        <v>0.30334144489604409</v>
      </c>
      <c r="Y15" s="201"/>
      <c r="Z15" s="249"/>
      <c r="AA15" s="201"/>
      <c r="AB15" s="201"/>
      <c r="AC15" s="201"/>
    </row>
    <row r="16" spans="1:30" s="202" customFormat="1" ht="13" customHeight="1">
      <c r="A16" s="201"/>
      <c r="B16" s="94" t="str">
        <f>IF('Summary | Sumário'!D$6=Names!B$3,Names!AB6,Names!AC6)</f>
        <v>Gross loans and advances to customers</v>
      </c>
      <c r="C16" s="270">
        <v>4777387</v>
      </c>
      <c r="D16" s="270">
        <v>8790058</v>
      </c>
      <c r="E16" s="270">
        <f>K16</f>
        <v>17216362</v>
      </c>
      <c r="F16" s="270">
        <f>O16</f>
        <v>22698328</v>
      </c>
      <c r="G16" s="270">
        <f>S16</f>
        <v>29784301</v>
      </c>
      <c r="H16" s="270">
        <v>10242909.3443</v>
      </c>
      <c r="I16" s="270">
        <v>12527246</v>
      </c>
      <c r="J16" s="270">
        <v>14860083</v>
      </c>
      <c r="K16" s="270">
        <v>17216362</v>
      </c>
      <c r="L16" s="270">
        <v>18176304</v>
      </c>
      <c r="M16" s="270">
        <v>19484646.399999999</v>
      </c>
      <c r="N16" s="270">
        <v>21005268</v>
      </c>
      <c r="O16" s="270">
        <v>22698328</v>
      </c>
      <c r="P16" s="270">
        <v>23832874</v>
      </c>
      <c r="Q16" s="270">
        <v>25141383</v>
      </c>
      <c r="R16" s="270">
        <v>27043601</v>
      </c>
      <c r="S16" s="270">
        <v>29784301</v>
      </c>
      <c r="T16" s="270">
        <v>30858626.881090201</v>
      </c>
      <c r="U16" s="270">
        <v>32971552</v>
      </c>
      <c r="V16" s="270"/>
      <c r="W16" s="580">
        <f>U16/T16-1</f>
        <v>6.8471132142453595E-2</v>
      </c>
      <c r="X16" s="580">
        <f>U16/Q16-1</f>
        <v>0.31144543639464861</v>
      </c>
      <c r="Y16" s="201"/>
      <c r="Z16" s="201"/>
      <c r="AA16" s="201"/>
      <c r="AB16" s="201"/>
      <c r="AC16" s="201"/>
    </row>
    <row r="17" spans="1:29" s="202" customFormat="1" ht="13" customHeight="1">
      <c r="A17" s="201"/>
      <c r="B17" s="98" t="str">
        <f>IF('Summary | Sumário'!D$6=Names!B$3,Names!AB7,Names!AC7)</f>
        <v>Gross loans and advances to customers in the previous period</v>
      </c>
      <c r="C17" s="271">
        <f>C16</f>
        <v>4777387</v>
      </c>
      <c r="D17" s="271">
        <f>C16</f>
        <v>4777387</v>
      </c>
      <c r="E17" s="271">
        <f t="shared" ref="E17:G17" si="18">D16</f>
        <v>8790058</v>
      </c>
      <c r="F17" s="271">
        <f t="shared" si="18"/>
        <v>17216362</v>
      </c>
      <c r="G17" s="271">
        <f t="shared" si="18"/>
        <v>22698328</v>
      </c>
      <c r="H17" s="271">
        <f>D16</f>
        <v>8790058</v>
      </c>
      <c r="I17" s="271">
        <f>H16</f>
        <v>10242909.3443</v>
      </c>
      <c r="J17" s="271">
        <f t="shared" ref="J17:U17" si="19">I16</f>
        <v>12527246</v>
      </c>
      <c r="K17" s="271">
        <f t="shared" si="19"/>
        <v>14860083</v>
      </c>
      <c r="L17" s="271">
        <f t="shared" si="19"/>
        <v>17216362</v>
      </c>
      <c r="M17" s="271">
        <f t="shared" si="19"/>
        <v>18176304</v>
      </c>
      <c r="N17" s="271">
        <f t="shared" si="19"/>
        <v>19484646.399999999</v>
      </c>
      <c r="O17" s="271">
        <f t="shared" si="19"/>
        <v>21005268</v>
      </c>
      <c r="P17" s="271">
        <f t="shared" si="19"/>
        <v>22698328</v>
      </c>
      <c r="Q17" s="271">
        <f t="shared" si="19"/>
        <v>23832874</v>
      </c>
      <c r="R17" s="271">
        <f t="shared" si="19"/>
        <v>25141383</v>
      </c>
      <c r="S17" s="271">
        <f t="shared" si="19"/>
        <v>27043601</v>
      </c>
      <c r="T17" s="271">
        <f t="shared" si="19"/>
        <v>29784301</v>
      </c>
      <c r="U17" s="271">
        <f t="shared" si="19"/>
        <v>30858626.881090201</v>
      </c>
      <c r="V17" s="270"/>
      <c r="W17" s="581">
        <f>U17/T17-1</f>
        <v>3.6070206283847384E-2</v>
      </c>
      <c r="X17" s="581">
        <f>U17/Q17-1</f>
        <v>0.29479251562737252</v>
      </c>
      <c r="Y17" s="201"/>
      <c r="Z17" s="201"/>
      <c r="AA17" s="201"/>
      <c r="AB17" s="201"/>
      <c r="AC17" s="201"/>
    </row>
    <row r="18" spans="1:29" s="202" customFormat="1" ht="13" customHeight="1">
      <c r="A18" s="201"/>
      <c r="B18" s="420" t="str">
        <f>IF('Summary | Sumário'!D$6=Names!B$3,Names!AB8,Names!AC8)</f>
        <v>Cost of risk (%) (Excl. Antic. of CC Receivables)</v>
      </c>
      <c r="C18" s="444">
        <f>C13/C15</f>
        <v>2.9005395627358637E-2</v>
      </c>
      <c r="D18" s="444">
        <f t="shared" ref="D18:Q18" si="20">D13/D15</f>
        <v>3.1500109268915409E-2</v>
      </c>
      <c r="E18" s="444">
        <f t="shared" si="20"/>
        <v>4.5802613354702419E-2</v>
      </c>
      <c r="F18" s="444">
        <f t="shared" si="20"/>
        <v>5.4277610573951598E-2</v>
      </c>
      <c r="G18" s="444">
        <f t="shared" ref="G18" si="21">G13/G15</f>
        <v>5.8746447324504264E-2</v>
      </c>
      <c r="H18" s="444">
        <f t="shared" si="20"/>
        <v>4.4835468088771882E-2</v>
      </c>
      <c r="I18" s="444">
        <f t="shared" si="20"/>
        <v>5.8828232822545096E-2</v>
      </c>
      <c r="J18" s="444">
        <f t="shared" si="20"/>
        <v>4.0312072783731487E-2</v>
      </c>
      <c r="K18" s="444">
        <f t="shared" si="20"/>
        <v>4.5757190361961866E-2</v>
      </c>
      <c r="L18" s="444">
        <f t="shared" si="20"/>
        <v>7.0736914817324012E-2</v>
      </c>
      <c r="M18" s="444">
        <f t="shared" si="20"/>
        <v>5.1504595061945123E-2</v>
      </c>
      <c r="N18" s="444">
        <f t="shared" si="20"/>
        <v>5.1985884168725238E-2</v>
      </c>
      <c r="O18" s="444">
        <f t="shared" si="20"/>
        <v>4.8456241449788252E-2</v>
      </c>
      <c r="P18" s="444">
        <f t="shared" si="20"/>
        <v>6.0291758635420592E-2</v>
      </c>
      <c r="Q18" s="444">
        <f t="shared" si="20"/>
        <v>6.5105224567266029E-2</v>
      </c>
      <c r="R18" s="444">
        <f t="shared" ref="R18:S18" si="22">R13/R15</f>
        <v>6.2531244620099916E-2</v>
      </c>
      <c r="S18" s="444">
        <f t="shared" si="22"/>
        <v>5.4120456532074687E-2</v>
      </c>
      <c r="T18" s="444">
        <f t="shared" ref="T18:U18" si="23">T13/T15</f>
        <v>5.4225350175175012E-2</v>
      </c>
      <c r="U18" s="444">
        <f t="shared" si="23"/>
        <v>5.2796092053540578E-2</v>
      </c>
      <c r="V18" s="502"/>
      <c r="W18" s="569">
        <f t="shared" ref="W18" si="24">(U18-T18)*100</f>
        <v>-0.14292581216344344</v>
      </c>
      <c r="X18" s="569">
        <f t="shared" ref="X18" si="25">(U18-Q18)*100</f>
        <v>-1.2309132513725451</v>
      </c>
      <c r="Y18" s="201"/>
      <c r="Z18" s="201"/>
      <c r="AA18" s="201"/>
      <c r="AB18" s="201"/>
      <c r="AC18" s="201"/>
    </row>
    <row r="19" spans="1:29" s="202" customFormat="1" ht="13" customHeight="1">
      <c r="A19" s="201"/>
      <c r="Y19" s="201"/>
      <c r="Z19" s="201"/>
      <c r="AA19" s="201"/>
      <c r="AB19" s="201"/>
      <c r="AC19" s="201"/>
    </row>
    <row r="20" spans="1:29" ht="13" customHeight="1">
      <c r="B20" s="201" t="str">
        <f>IF('Summary | Sumário'!D$6=Names!B$3,Names!AB9,Names!AC9)</f>
        <v>Note 1: 1Q22 managerial figure, excluding non-recurrent provision.</v>
      </c>
    </row>
  </sheetData>
  <sheetProtection algorithmName="SHA-512" hashValue="DEor3x0rcoQgwGgxlo2/BNp8kgL4mcUJ3N0Rr/J49m3GmuFvybuyIMmUPhG/4rhKPjum+JsSg+4eBogMitoekg==" saltValue="Gf1IzIZuPcYSbHcD1Ixwy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H2:Q3 B20 B2:F3" unlocked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C9E7-C15F-C54E-91DA-FB1743B8D9A3}">
  <sheetPr codeName="Sheet18">
    <tabColor rgb="FFFFCA96"/>
  </sheetPr>
  <dimension ref="A1:AA64"/>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5" style="231" customWidth="1"/>
    <col min="2" max="2" width="68.33203125" style="231" customWidth="1"/>
    <col min="3" max="18" width="10.83203125" style="231" customWidth="1"/>
    <col min="19" max="19" width="5.83203125" style="231" customWidth="1"/>
    <col min="20" max="21" width="10.83203125" style="231" customWidth="1"/>
    <col min="22" max="16384" width="10.83203125" style="231"/>
  </cols>
  <sheetData>
    <row r="1" spans="1:27" s="201" customFormat="1" ht="13" customHeight="1">
      <c r="C1" s="240" t="s">
        <v>51</v>
      </c>
      <c r="D1" s="240" t="s">
        <v>79</v>
      </c>
      <c r="E1" s="240"/>
      <c r="F1" s="240"/>
      <c r="G1" s="202"/>
      <c r="H1" s="202"/>
      <c r="I1" s="202"/>
      <c r="J1" s="202"/>
      <c r="K1" s="202"/>
      <c r="L1" s="202"/>
      <c r="M1" s="202"/>
      <c r="N1" s="202"/>
      <c r="O1" s="202"/>
      <c r="P1" s="202"/>
      <c r="Q1" s="202"/>
      <c r="R1" s="202"/>
      <c r="S1" s="202"/>
      <c r="T1" s="202"/>
      <c r="U1" s="202"/>
      <c r="V1" s="202"/>
    </row>
    <row r="2" spans="1:27" s="208" customFormat="1" ht="13" customHeight="1">
      <c r="B2" s="384" t="str">
        <f>IF('Summary | Sumário'!D$6=Names!B$3,Names!AX1,Names!AY1)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385" t="str">
        <f>IF('Summary | Sumário'!D$6=Names!B$3,Names!E17,Names!F17)</f>
        <v>2Q24</v>
      </c>
      <c r="S2" s="496"/>
      <c r="T2" s="180" t="str">
        <f>IF('Summary | Sumário'!$D$6=Names!$B$3,Names!$I$24,Names!$J$24)</f>
        <v>QoQ Variation</v>
      </c>
      <c r="U2" s="180" t="str">
        <f>IF('Summary | Sumário'!$D$6=Names!$B$3,Names!$I$25,Names!$J$25)</f>
        <v>YoY Variation</v>
      </c>
      <c r="V2" s="204"/>
      <c r="W2" s="206"/>
      <c r="X2" s="207"/>
      <c r="Z2" s="209"/>
      <c r="AA2" s="210"/>
    </row>
    <row r="3" spans="1:27" s="201" customFormat="1" ht="13" customHeight="1">
      <c r="B3" s="14"/>
      <c r="C3" s="212"/>
      <c r="D3" s="212"/>
      <c r="E3" s="213"/>
      <c r="F3" s="213"/>
      <c r="G3" s="213"/>
      <c r="H3" s="213"/>
      <c r="I3" s="213"/>
      <c r="J3" s="213"/>
      <c r="K3" s="213"/>
      <c r="L3" s="213"/>
      <c r="M3" s="213"/>
      <c r="N3" s="213"/>
      <c r="O3" s="213"/>
      <c r="P3" s="213"/>
      <c r="Q3" s="213"/>
      <c r="R3" s="213"/>
      <c r="S3" s="213"/>
      <c r="T3" s="213"/>
      <c r="U3" s="213"/>
      <c r="V3" s="213"/>
    </row>
    <row r="4" spans="1:27" ht="13" customHeight="1">
      <c r="A4" s="229"/>
      <c r="B4" s="3" t="str">
        <f>IF('Summary | Sumário'!D$6=Names!B$3,Names!AX3,Names!AY3)</f>
        <v>Inter invest</v>
      </c>
      <c r="C4" s="233"/>
      <c r="D4" s="233"/>
      <c r="E4" s="233"/>
      <c r="F4" s="233"/>
      <c r="G4" s="233"/>
      <c r="H4" s="233"/>
      <c r="I4" s="233"/>
      <c r="J4" s="233"/>
      <c r="K4" s="233"/>
      <c r="L4" s="233"/>
      <c r="M4" s="233"/>
      <c r="N4" s="233"/>
      <c r="O4" s="233"/>
      <c r="P4" s="233"/>
      <c r="Q4" s="233"/>
      <c r="R4" s="233"/>
      <c r="S4" s="233"/>
      <c r="T4" s="233"/>
      <c r="U4" s="233"/>
    </row>
    <row r="5" spans="1:27" ht="13" customHeight="1">
      <c r="A5" s="229"/>
      <c r="B5" s="452" t="str">
        <f>IF('Summary | Sumário'!D$6=Names!B$3,Names!AX4,Names!AY4)</f>
        <v>Total AUC</v>
      </c>
      <c r="C5" s="453">
        <f>SUM(C6:C8)</f>
        <v>18334.29077</v>
      </c>
      <c r="D5" s="453">
        <f t="shared" ref="D5:M5" si="0">SUM(D6:D8)</f>
        <v>44099.232784510008</v>
      </c>
      <c r="E5" s="453">
        <f t="shared" si="0"/>
        <v>52376.706477599975</v>
      </c>
      <c r="F5" s="453">
        <f t="shared" si="0"/>
        <v>63464.019114700051</v>
      </c>
      <c r="G5" s="453">
        <f t="shared" si="0"/>
        <v>60324.526333440008</v>
      </c>
      <c r="H5" s="453">
        <f t="shared" si="0"/>
        <v>56887.303352699601</v>
      </c>
      <c r="I5" s="453">
        <f t="shared" si="0"/>
        <v>58138.286373499977</v>
      </c>
      <c r="J5" s="453">
        <f t="shared" si="0"/>
        <v>54559.79457161</v>
      </c>
      <c r="K5" s="453">
        <f t="shared" si="0"/>
        <v>62349.211153180004</v>
      </c>
      <c r="L5" s="453">
        <f t="shared" si="0"/>
        <v>66723.736438719992</v>
      </c>
      <c r="M5" s="453">
        <f t="shared" si="0"/>
        <v>67986.417997459968</v>
      </c>
      <c r="N5" s="453">
        <f t="shared" ref="N5:O5" si="1">SUM(N6:N8)</f>
        <v>76842.170568875445</v>
      </c>
      <c r="O5" s="453">
        <f t="shared" si="1"/>
        <v>82892.927662269998</v>
      </c>
      <c r="P5" s="453">
        <f t="shared" ref="P5:Q5" si="2">SUM(P6:P8)</f>
        <v>91798.553434000001</v>
      </c>
      <c r="Q5" s="453">
        <f t="shared" si="2"/>
        <v>94882.291527389752</v>
      </c>
      <c r="R5" s="453">
        <f t="shared" ref="R5" si="3">SUM(R6:R8)</f>
        <v>105218.94666796135</v>
      </c>
      <c r="S5" s="575"/>
      <c r="T5" s="584">
        <f t="shared" ref="T5:T11" si="4">R5/Q5-1</f>
        <v>0.10894187918709486</v>
      </c>
      <c r="U5" s="584">
        <f t="shared" ref="U5:U11" si="5">R5/N5-1</f>
        <v>0.36928649840325822</v>
      </c>
    </row>
    <row r="6" spans="1:27" ht="13" customHeight="1">
      <c r="A6" s="229"/>
      <c r="B6" s="108" t="str">
        <f>IF('Summary | Sumário'!D$6=Names!B$3,Names!AX5,Names!AY5)</f>
        <v>Funding (includes deposits and other on-balance funding)</v>
      </c>
      <c r="C6" s="232">
        <v>6434.0190000000002</v>
      </c>
      <c r="D6" s="232">
        <v>14166.066999999999</v>
      </c>
      <c r="E6" s="232">
        <v>15097.571</v>
      </c>
      <c r="F6" s="232">
        <v>17710.853999999999</v>
      </c>
      <c r="G6" s="232">
        <v>20186.793000000001</v>
      </c>
      <c r="H6" s="232">
        <v>21905.634999999998</v>
      </c>
      <c r="I6" s="232">
        <v>23239.074000000001</v>
      </c>
      <c r="J6" s="232">
        <v>25850.632000000001</v>
      </c>
      <c r="K6" s="232">
        <v>28368.945</v>
      </c>
      <c r="L6" s="232">
        <v>29844.969000000001</v>
      </c>
      <c r="M6" s="232">
        <v>30822.562999999998</v>
      </c>
      <c r="N6" s="232">
        <v>33305.51704074</v>
      </c>
      <c r="O6" s="232">
        <v>36526.552537269999</v>
      </c>
      <c r="P6" s="232">
        <v>40746.661999999997</v>
      </c>
      <c r="Q6" s="232">
        <v>40892.586921435941</v>
      </c>
      <c r="R6" s="232">
        <v>44521.566009710004</v>
      </c>
      <c r="S6" s="232"/>
      <c r="T6" s="549">
        <f t="shared" si="4"/>
        <v>8.8744179849667315E-2</v>
      </c>
      <c r="U6" s="549">
        <f t="shared" si="5"/>
        <v>0.33676249359078558</v>
      </c>
    </row>
    <row r="7" spans="1:27" ht="13" customHeight="1">
      <c r="A7" s="229"/>
      <c r="B7" s="107" t="str">
        <f>IF('Summary | Sumário'!D$6=Names!B$3,Names!AX6,Names!AY6)</f>
        <v>Inter asset AuM</v>
      </c>
      <c r="C7" s="230">
        <v>0</v>
      </c>
      <c r="D7" s="230">
        <v>3732.8115669999997</v>
      </c>
      <c r="E7" s="230">
        <v>4166.4707679100002</v>
      </c>
      <c r="F7" s="230">
        <v>4701</v>
      </c>
      <c r="G7" s="230">
        <v>5087</v>
      </c>
      <c r="H7" s="230">
        <v>5208</v>
      </c>
      <c r="I7" s="230">
        <v>5383</v>
      </c>
      <c r="J7" s="230">
        <v>5781</v>
      </c>
      <c r="K7" s="230">
        <v>7156</v>
      </c>
      <c r="L7" s="230">
        <v>8391.2768336400004</v>
      </c>
      <c r="M7" s="230">
        <v>7657</v>
      </c>
      <c r="N7" s="230">
        <v>7870.6031021400004</v>
      </c>
      <c r="O7" s="230">
        <v>8194.2440079999997</v>
      </c>
      <c r="P7" s="230">
        <v>9276.8147730000001</v>
      </c>
      <c r="Q7" s="230">
        <v>9534.9427183100015</v>
      </c>
      <c r="R7" s="230">
        <v>10577.920844316301</v>
      </c>
      <c r="S7" s="232"/>
      <c r="T7" s="550">
        <f t="shared" si="4"/>
        <v>0.10938483395432064</v>
      </c>
      <c r="U7" s="550">
        <f t="shared" si="5"/>
        <v>0.34397843558394992</v>
      </c>
    </row>
    <row r="8" spans="1:27" ht="13" customHeight="1">
      <c r="A8" s="228"/>
      <c r="B8" s="108" t="str">
        <f>IF('Summary | Sumário'!D$6=Names!B$3,Names!AX7,Names!AY7)</f>
        <v>Inter DTVM - management, distribution and custody</v>
      </c>
      <c r="C8" s="232">
        <v>11900.271769999999</v>
      </c>
      <c r="D8" s="232">
        <v>26200.354217510005</v>
      </c>
      <c r="E8" s="232">
        <v>33112.664709689976</v>
      </c>
      <c r="F8" s="232">
        <v>41052.165114700052</v>
      </c>
      <c r="G8" s="232">
        <v>35050.733333440003</v>
      </c>
      <c r="H8" s="232">
        <v>29773.668352699602</v>
      </c>
      <c r="I8" s="232">
        <v>29516.212373499977</v>
      </c>
      <c r="J8" s="232">
        <v>22928.162571609999</v>
      </c>
      <c r="K8" s="232">
        <v>26824.26615318</v>
      </c>
      <c r="L8" s="232">
        <v>28487.490605079998</v>
      </c>
      <c r="M8" s="232">
        <v>29506.854997459966</v>
      </c>
      <c r="N8" s="232">
        <v>35666.050425995447</v>
      </c>
      <c r="O8" s="232">
        <v>38172.131116999997</v>
      </c>
      <c r="P8" s="232">
        <v>41775.076660999999</v>
      </c>
      <c r="Q8" s="232">
        <v>44454.761887643806</v>
      </c>
      <c r="R8" s="232">
        <v>50119.459813935049</v>
      </c>
      <c r="S8" s="232"/>
      <c r="T8" s="549">
        <f t="shared" si="4"/>
        <v>0.12742612232652051</v>
      </c>
      <c r="U8" s="549">
        <f t="shared" si="5"/>
        <v>0.40524277892584193</v>
      </c>
      <c r="V8" s="260"/>
    </row>
    <row r="9" spans="1:27" ht="13" customHeight="1">
      <c r="A9" s="229"/>
      <c r="B9" s="105" t="str">
        <f>IF('Summary | Sumário'!D$6=Names!B$3,Names!AX8,Names!AY8)</f>
        <v>Inter Invest net revenues</v>
      </c>
      <c r="C9" s="259"/>
      <c r="D9" s="259"/>
      <c r="E9" s="261">
        <v>14.775224</v>
      </c>
      <c r="F9" s="261">
        <v>15.423358</v>
      </c>
      <c r="G9" s="261">
        <v>33.671531000000002</v>
      </c>
      <c r="H9" s="261">
        <v>31.725574999999999</v>
      </c>
      <c r="I9" s="261">
        <v>32.118471</v>
      </c>
      <c r="J9" s="261">
        <v>34.942397999999997</v>
      </c>
      <c r="K9" s="261">
        <v>39.631746</v>
      </c>
      <c r="L9" s="261">
        <v>25.204698</v>
      </c>
      <c r="M9" s="261">
        <v>42.040458000000001</v>
      </c>
      <c r="N9" s="261">
        <v>43.381656999999997</v>
      </c>
      <c r="O9" s="261">
        <v>41.514320970000007</v>
      </c>
      <c r="P9" s="261">
        <v>60.850385709999991</v>
      </c>
      <c r="Q9" s="261">
        <v>55.912393019999989</v>
      </c>
      <c r="R9" s="261">
        <v>64.249784560000009</v>
      </c>
      <c r="S9" s="576"/>
      <c r="T9" s="585">
        <f t="shared" si="4"/>
        <v>0.14911526925734897</v>
      </c>
      <c r="U9" s="585">
        <f t="shared" si="5"/>
        <v>0.4810357419035427</v>
      </c>
    </row>
    <row r="10" spans="1:27" ht="13" customHeight="1">
      <c r="B10" s="108" t="str">
        <f>IF('Summary | Sumário'!D$6=Names!B$3,Names!AX9,Names!AY9)</f>
        <v>Inter Invest net fee revenues</v>
      </c>
      <c r="C10" s="232"/>
      <c r="D10" s="232"/>
      <c r="E10" s="262">
        <v>13.879148000000001</v>
      </c>
      <c r="F10" s="262">
        <v>11.610353</v>
      </c>
      <c r="G10" s="262">
        <v>29.902488000000002</v>
      </c>
      <c r="H10" s="262">
        <v>26.472512999999999</v>
      </c>
      <c r="I10" s="262">
        <v>25.550785999999999</v>
      </c>
      <c r="J10" s="262">
        <v>27.531547</v>
      </c>
      <c r="K10" s="262">
        <v>32.406441000000001</v>
      </c>
      <c r="L10" s="262">
        <v>16.431895000000001</v>
      </c>
      <c r="M10" s="262">
        <v>25.844162000000001</v>
      </c>
      <c r="N10" s="262">
        <v>26.447693999999998</v>
      </c>
      <c r="O10" s="262">
        <v>26.742655840000001</v>
      </c>
      <c r="P10" s="262">
        <v>39.535309839999996</v>
      </c>
      <c r="Q10" s="262">
        <v>34.170694490000002</v>
      </c>
      <c r="R10" s="262">
        <v>38.694081560000008</v>
      </c>
      <c r="S10" s="262"/>
      <c r="T10" s="586">
        <f t="shared" si="4"/>
        <v>0.13237621118071696</v>
      </c>
      <c r="U10" s="586">
        <f t="shared" si="5"/>
        <v>0.46304178957908437</v>
      </c>
    </row>
    <row r="11" spans="1:27" ht="13" customHeight="1">
      <c r="B11" s="107" t="str">
        <f>IF('Summary | Sumário'!D$6=Names!B$3,Names!AX10,Names!AY10)</f>
        <v>Inter Invest net interest revenues</v>
      </c>
      <c r="C11" s="230"/>
      <c r="D11" s="230"/>
      <c r="E11" s="263">
        <v>0.89607599999999998</v>
      </c>
      <c r="F11" s="263">
        <v>3.813005</v>
      </c>
      <c r="G11" s="263">
        <v>3.7690429999999999</v>
      </c>
      <c r="H11" s="263">
        <v>5.2530619999999999</v>
      </c>
      <c r="I11" s="263">
        <v>6.567685</v>
      </c>
      <c r="J11" s="263">
        <v>7.4108510000000001</v>
      </c>
      <c r="K11" s="263">
        <v>7.2253049999999996</v>
      </c>
      <c r="L11" s="263">
        <v>8.7728029999999997</v>
      </c>
      <c r="M11" s="263">
        <v>16.196296</v>
      </c>
      <c r="N11" s="263">
        <v>16.933962999999999</v>
      </c>
      <c r="O11" s="263">
        <v>14.771665130000006</v>
      </c>
      <c r="P11" s="263">
        <v>21.315075869999998</v>
      </c>
      <c r="Q11" s="263">
        <v>21.741698529999987</v>
      </c>
      <c r="R11" s="263">
        <v>25.555702999999994</v>
      </c>
      <c r="S11" s="262"/>
      <c r="T11" s="587">
        <f t="shared" si="4"/>
        <v>0.17542348242651351</v>
      </c>
      <c r="U11" s="587">
        <f t="shared" si="5"/>
        <v>0.50913894166415719</v>
      </c>
    </row>
    <row r="12" spans="1:27" ht="13" customHeight="1">
      <c r="C12" s="264"/>
      <c r="D12" s="264"/>
      <c r="E12" s="264"/>
      <c r="F12" s="265"/>
      <c r="G12" s="265"/>
      <c r="H12" s="265"/>
      <c r="I12" s="264"/>
      <c r="J12" s="264"/>
      <c r="K12" s="264"/>
      <c r="L12" s="264"/>
      <c r="M12" s="264"/>
      <c r="N12" s="264"/>
      <c r="O12" s="264"/>
      <c r="P12" s="264"/>
      <c r="Q12" s="264"/>
      <c r="R12" s="264"/>
      <c r="S12" s="264"/>
      <c r="T12" s="264"/>
      <c r="U12" s="264"/>
    </row>
    <row r="13" spans="1:27" ht="13" customHeight="1">
      <c r="C13" s="264"/>
      <c r="D13" s="264"/>
      <c r="E13" s="264"/>
      <c r="F13" s="265"/>
      <c r="G13" s="264"/>
      <c r="H13" s="264"/>
      <c r="I13" s="264"/>
      <c r="J13" s="264"/>
      <c r="L13" s="264"/>
      <c r="M13" s="264"/>
      <c r="N13" s="264"/>
      <c r="O13" s="264"/>
      <c r="P13" s="264"/>
      <c r="Q13" s="264"/>
      <c r="R13" s="264"/>
      <c r="S13" s="264"/>
      <c r="T13" s="264"/>
      <c r="U13" s="264"/>
    </row>
    <row r="14" spans="1:27" ht="13" customHeight="1">
      <c r="C14" s="264"/>
      <c r="D14" s="264"/>
      <c r="E14" s="264"/>
      <c r="F14" s="264"/>
      <c r="G14" s="264"/>
      <c r="H14" s="264"/>
      <c r="I14" s="264"/>
      <c r="J14" s="264"/>
      <c r="K14" s="264"/>
      <c r="L14" s="264"/>
      <c r="M14" s="264"/>
      <c r="N14" s="264"/>
      <c r="O14" s="264"/>
      <c r="P14" s="264"/>
      <c r="Q14" s="264"/>
      <c r="R14" s="264"/>
      <c r="S14" s="264"/>
      <c r="T14" s="264"/>
      <c r="U14" s="264"/>
    </row>
    <row r="15" spans="1:27" ht="13" customHeight="1">
      <c r="C15" s="264"/>
      <c r="D15" s="264"/>
      <c r="E15" s="264"/>
      <c r="F15" s="264"/>
      <c r="G15" s="264"/>
      <c r="H15" s="264"/>
      <c r="I15" s="264"/>
      <c r="J15" s="264"/>
      <c r="K15" s="264"/>
      <c r="L15" s="264"/>
      <c r="M15" s="264"/>
      <c r="N15" s="264"/>
      <c r="O15" s="264"/>
      <c r="P15" s="264"/>
      <c r="Q15" s="264"/>
      <c r="R15" s="264"/>
      <c r="S15" s="264"/>
      <c r="T15" s="264"/>
      <c r="U15" s="264"/>
    </row>
    <row r="16" spans="1:27" ht="13" customHeight="1">
      <c r="C16" s="264"/>
      <c r="D16" s="264"/>
      <c r="E16" s="264"/>
      <c r="F16" s="264"/>
      <c r="G16" s="264"/>
      <c r="H16" s="264"/>
      <c r="I16" s="264"/>
      <c r="J16" s="264"/>
      <c r="K16" s="264"/>
      <c r="L16" s="264"/>
      <c r="M16" s="264"/>
      <c r="N16" s="264"/>
      <c r="O16" s="264"/>
      <c r="P16" s="264"/>
      <c r="Q16" s="264"/>
      <c r="R16" s="264"/>
      <c r="S16" s="264"/>
      <c r="T16" s="264"/>
      <c r="U16" s="264"/>
    </row>
    <row r="17" spans="2:21" ht="13" customHeight="1">
      <c r="B17" s="224"/>
      <c r="C17" s="264"/>
      <c r="D17" s="264"/>
      <c r="E17" s="264"/>
      <c r="F17" s="264"/>
      <c r="G17" s="264"/>
      <c r="H17" s="264"/>
      <c r="I17" s="264"/>
      <c r="J17" s="264"/>
      <c r="K17" s="264"/>
      <c r="L17" s="264"/>
      <c r="M17" s="264"/>
      <c r="N17" s="264"/>
      <c r="O17" s="264"/>
      <c r="P17" s="264"/>
      <c r="Q17" s="264"/>
      <c r="R17" s="264"/>
      <c r="S17" s="264"/>
      <c r="T17" s="264"/>
      <c r="U17" s="264"/>
    </row>
    <row r="18" spans="2:21" ht="13" customHeight="1">
      <c r="B18" s="266"/>
      <c r="C18" s="267"/>
      <c r="D18" s="267"/>
      <c r="E18" s="267"/>
      <c r="F18" s="267"/>
      <c r="G18" s="267"/>
      <c r="H18" s="267"/>
      <c r="I18" s="267"/>
      <c r="J18" s="267"/>
      <c r="K18" s="267"/>
      <c r="L18" s="267"/>
      <c r="M18" s="267"/>
      <c r="N18" s="267"/>
      <c r="O18" s="267"/>
      <c r="P18" s="267"/>
      <c r="Q18" s="267"/>
      <c r="R18" s="267"/>
      <c r="S18" s="267"/>
      <c r="T18" s="267"/>
      <c r="U18" s="267"/>
    </row>
    <row r="19" spans="2:21" ht="13" customHeight="1">
      <c r="B19" s="224"/>
      <c r="L19" s="264"/>
      <c r="M19" s="264"/>
      <c r="N19" s="264"/>
      <c r="O19" s="264"/>
      <c r="P19" s="264"/>
      <c r="Q19" s="264"/>
      <c r="R19" s="264"/>
      <c r="S19" s="264"/>
      <c r="T19" s="264"/>
      <c r="U19" s="264"/>
    </row>
    <row r="20" spans="2:21" ht="13" customHeight="1">
      <c r="B20" s="224"/>
    </row>
    <row r="22" spans="2:21" ht="13" customHeight="1">
      <c r="B22" s="642"/>
    </row>
    <row r="23" spans="2:21" ht="13" customHeight="1">
      <c r="B23" s="642"/>
    </row>
    <row r="24" spans="2:21" ht="13" customHeight="1">
      <c r="B24" s="642"/>
    </row>
    <row r="25" spans="2:21" ht="13" customHeight="1">
      <c r="B25" s="642"/>
    </row>
    <row r="26" spans="2:21" ht="13" customHeight="1">
      <c r="B26" s="642"/>
    </row>
    <row r="27" spans="2:21" ht="13" customHeight="1">
      <c r="B27" s="642"/>
    </row>
    <row r="28" spans="2:21" ht="13" customHeight="1">
      <c r="B28" s="642"/>
    </row>
    <row r="64" spans="3:21" ht="13" customHeight="1">
      <c r="C64" s="239"/>
      <c r="D64" s="239"/>
      <c r="E64" s="239"/>
      <c r="F64" s="239"/>
      <c r="G64" s="239"/>
      <c r="H64" s="239"/>
      <c r="I64" s="239"/>
      <c r="J64" s="239"/>
      <c r="K64" s="239"/>
      <c r="L64" s="239"/>
      <c r="M64" s="239"/>
      <c r="N64" s="239"/>
      <c r="O64" s="239"/>
      <c r="P64" s="239"/>
      <c r="Q64" s="239"/>
      <c r="R64" s="239"/>
      <c r="S64" s="239"/>
      <c r="T64" s="239"/>
      <c r="U64" s="239"/>
    </row>
  </sheetData>
  <sheetProtection algorithmName="SHA-512" hashValue="WCJER731g6l/7lykCzCqADi79up5B1OmIkzrwsp6uLCJfkxjAQ6tXIzN7oamB6YpBx4WPLliRVI77iXs//nXyw==" saltValue="i+zWaRcWSCSNzqGPfhdpdA=="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5A1A-D6B8-3344-BDFC-1DD8EED5C848}">
  <sheetPr codeName="Sheet8">
    <tabColor rgb="FFFFCA96"/>
  </sheetPr>
  <dimension ref="A1:AA2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201" customWidth="1"/>
    <col min="2" max="2" width="68.33203125" style="201" customWidth="1"/>
    <col min="3" max="18" width="10.83203125" style="201" customWidth="1"/>
    <col min="19" max="19" width="5.83203125" style="201" customWidth="1"/>
    <col min="20" max="21" width="10.83203125" style="201" customWidth="1"/>
    <col min="22" max="16384" width="10.83203125" style="201"/>
  </cols>
  <sheetData>
    <row r="1" spans="1:27" s="239" customFormat="1" ht="13" customHeight="1">
      <c r="A1" s="239" t="s">
        <v>834</v>
      </c>
      <c r="C1" s="240"/>
      <c r="D1" s="240"/>
      <c r="E1" s="240"/>
      <c r="F1" s="240"/>
      <c r="G1" s="240"/>
      <c r="H1" s="240"/>
      <c r="I1" s="240"/>
      <c r="J1" s="240"/>
      <c r="K1" s="240"/>
      <c r="L1" s="240"/>
      <c r="M1" s="240"/>
      <c r="N1" s="240"/>
      <c r="O1" s="240"/>
      <c r="P1" s="240"/>
      <c r="Q1" s="240"/>
      <c r="R1" s="240"/>
      <c r="S1" s="240"/>
      <c r="T1" s="240"/>
      <c r="U1" s="240"/>
      <c r="V1" s="240"/>
    </row>
    <row r="2" spans="1:27" s="208" customFormat="1" ht="13" customHeight="1">
      <c r="B2" s="384" t="str">
        <f>IF('Summary | Sumário'!D$6=Names!B$3,Names!AJ1,Names!AK1)</f>
        <v>Inter Seguros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385" t="str">
        <f>IF('Summary | Sumário'!D$6=Names!B$3,Names!E17,Names!F17)</f>
        <v>2Q24</v>
      </c>
      <c r="S2" s="496"/>
      <c r="T2" s="180" t="str">
        <f>IF('Summary | Sumário'!$D$6=Names!$B$3,Names!$I$24,Names!$J$24)</f>
        <v>QoQ Variation</v>
      </c>
      <c r="U2" s="180" t="str">
        <f>IF('Summary | Sumário'!$D$6=Names!$B$3,Names!$I$25,Names!$J$25)</f>
        <v>YoY Variation</v>
      </c>
      <c r="V2" s="204"/>
      <c r="W2" s="206"/>
      <c r="X2" s="207"/>
      <c r="Z2" s="209"/>
      <c r="AA2" s="210"/>
    </row>
    <row r="3" spans="1:27" s="239" customFormat="1" ht="13" customHeight="1">
      <c r="B3" s="76"/>
      <c r="C3" s="241"/>
      <c r="D3" s="241"/>
      <c r="E3" s="207"/>
      <c r="F3" s="207"/>
      <c r="G3" s="207"/>
      <c r="H3" s="207"/>
      <c r="I3" s="207"/>
      <c r="J3" s="207"/>
      <c r="K3" s="207"/>
      <c r="L3" s="207"/>
      <c r="M3" s="207"/>
      <c r="N3" s="207"/>
      <c r="O3" s="207"/>
      <c r="P3" s="207"/>
      <c r="Q3" s="207"/>
      <c r="R3" s="207"/>
      <c r="S3" s="207"/>
      <c r="T3" s="207"/>
      <c r="U3" s="207"/>
      <c r="V3" s="207"/>
    </row>
    <row r="4" spans="1:27" ht="13" customHeight="1">
      <c r="B4" s="7" t="str">
        <f>IF('Summary | Sumário'!D$6=Names!B$3,Names!AJ2,Names!AK2)</f>
        <v>Inter seguros</v>
      </c>
      <c r="C4" s="214"/>
      <c r="D4" s="214"/>
      <c r="E4" s="214"/>
      <c r="F4" s="214"/>
      <c r="G4" s="214"/>
      <c r="H4" s="214"/>
      <c r="I4" s="214"/>
      <c r="J4" s="214"/>
      <c r="K4" s="214"/>
      <c r="L4" s="214"/>
      <c r="M4" s="214"/>
      <c r="N4" s="214"/>
      <c r="O4" s="214"/>
      <c r="P4" s="214"/>
      <c r="Q4" s="214"/>
      <c r="R4" s="214"/>
      <c r="S4" s="382"/>
      <c r="T4" s="214"/>
      <c r="U4" s="214"/>
    </row>
    <row r="5" spans="1:27" ht="13" customHeight="1">
      <c r="B5" s="109" t="str">
        <f>IF('Summary | Sumário'!D$6=Names!B$3,Names!AJ3,Names!AK3)</f>
        <v>Active contracts</v>
      </c>
      <c r="C5" s="251">
        <v>5.3094000000000002E-2</v>
      </c>
      <c r="D5" s="251">
        <v>0.25492300000000001</v>
      </c>
      <c r="E5" s="251">
        <v>0.36691800000000002</v>
      </c>
      <c r="F5" s="251">
        <v>0.53204200000000001</v>
      </c>
      <c r="G5" s="251">
        <v>0.68269100000000005</v>
      </c>
      <c r="H5" s="251">
        <v>0.83851799999999999</v>
      </c>
      <c r="I5" s="251">
        <v>0.91542800000000002</v>
      </c>
      <c r="J5" s="251">
        <v>1.046513</v>
      </c>
      <c r="K5" s="251">
        <v>1.129281</v>
      </c>
      <c r="L5" s="251">
        <v>1.270999</v>
      </c>
      <c r="M5" s="251">
        <v>1.337496</v>
      </c>
      <c r="N5" s="251">
        <v>1.525682</v>
      </c>
      <c r="O5" s="251">
        <v>1.5860810000000001</v>
      </c>
      <c r="P5" s="251">
        <v>1.710353</v>
      </c>
      <c r="Q5" s="251">
        <v>1.87538</v>
      </c>
      <c r="R5" s="251">
        <v>2.5900970000000001</v>
      </c>
      <c r="S5" s="577"/>
      <c r="T5" s="588">
        <f>R5/Q5-1</f>
        <v>0.38110516268702876</v>
      </c>
      <c r="U5" s="588">
        <f>R5/N5-1</f>
        <v>0.69766504422284603</v>
      </c>
    </row>
    <row r="6" spans="1:27" ht="13" customHeight="1">
      <c r="B6" s="27" t="str">
        <f>IF('Summary | Sumário'!D$6=Names!B$3,Names!AJ4,Names!AK4)</f>
        <v>Inter Seguros net revenues</v>
      </c>
      <c r="C6" s="242"/>
      <c r="D6" s="242"/>
      <c r="E6" s="242">
        <v>19.567177999999998</v>
      </c>
      <c r="F6" s="242">
        <v>21.418572999999999</v>
      </c>
      <c r="G6" s="242">
        <v>22.416924999999999</v>
      </c>
      <c r="H6" s="242">
        <v>25.126908</v>
      </c>
      <c r="I6" s="242">
        <v>29.693913999999999</v>
      </c>
      <c r="J6" s="242">
        <v>34.950688</v>
      </c>
      <c r="K6" s="242">
        <v>31.200075999999999</v>
      </c>
      <c r="L6" s="242">
        <v>34.830342999999999</v>
      </c>
      <c r="M6" s="242">
        <v>40.561728000000002</v>
      </c>
      <c r="N6" s="242">
        <v>38.523485999999998</v>
      </c>
      <c r="O6" s="242">
        <v>46.867078279999994</v>
      </c>
      <c r="P6" s="242">
        <v>47.206707720000011</v>
      </c>
      <c r="Q6" s="242">
        <v>52.34994228</v>
      </c>
      <c r="R6" s="242">
        <v>58.088726569999999</v>
      </c>
      <c r="S6" s="242"/>
      <c r="T6" s="589">
        <f>R6/Q6-1</f>
        <v>0.1096235074970171</v>
      </c>
      <c r="U6" s="589">
        <f>R6/N6-1</f>
        <v>0.50787824783042734</v>
      </c>
    </row>
    <row r="7" spans="1:27" ht="13" customHeight="1">
      <c r="B7" s="110" t="str">
        <f>IF('Summary | Sumário'!D$6=Names!B$3,Names!AJ5,Names!AK5)</f>
        <v>Inter Seguros net fee revenues</v>
      </c>
      <c r="C7" s="252"/>
      <c r="D7" s="252"/>
      <c r="E7" s="243">
        <v>18.685466000000002</v>
      </c>
      <c r="F7" s="243">
        <v>20.401418</v>
      </c>
      <c r="G7" s="243">
        <v>20.850255000000001</v>
      </c>
      <c r="H7" s="243">
        <v>23.16553</v>
      </c>
      <c r="I7" s="243">
        <v>27.696591000000002</v>
      </c>
      <c r="J7" s="243">
        <v>35.958463999999999</v>
      </c>
      <c r="K7" s="243">
        <v>31.187383000000001</v>
      </c>
      <c r="L7" s="243">
        <v>34.477263000000001</v>
      </c>
      <c r="M7" s="243">
        <v>39.972607000000004</v>
      </c>
      <c r="N7" s="243">
        <v>38.084088000000001</v>
      </c>
      <c r="O7" s="243">
        <v>46.382157129999996</v>
      </c>
      <c r="P7" s="243">
        <v>46.637147870000014</v>
      </c>
      <c r="Q7" s="243">
        <v>51.375901519999999</v>
      </c>
      <c r="R7" s="243">
        <v>57.150360210000002</v>
      </c>
      <c r="S7" s="242"/>
      <c r="T7" s="588">
        <f>R7/Q7-1</f>
        <v>0.11239625036559375</v>
      </c>
      <c r="U7" s="588">
        <f>R7/N7-1</f>
        <v>0.50063617671506266</v>
      </c>
    </row>
    <row r="8" spans="1:27" ht="13" customHeight="1">
      <c r="B8" s="106" t="str">
        <f>IF('Summary | Sumário'!D$6=Names!B$3,Names!AJ6,Names!AK6)</f>
        <v>Inter Seguros net interest revenues</v>
      </c>
      <c r="C8" s="253"/>
      <c r="D8" s="253"/>
      <c r="E8" s="254">
        <v>0.88171200000000005</v>
      </c>
      <c r="F8" s="254">
        <v>1.017155</v>
      </c>
      <c r="G8" s="254">
        <v>1.56667</v>
      </c>
      <c r="H8" s="254">
        <v>1.9613780000000001</v>
      </c>
      <c r="I8" s="254">
        <v>1.997323</v>
      </c>
      <c r="J8" s="254">
        <v>-1.007776</v>
      </c>
      <c r="K8" s="254">
        <v>1.2692999999999999E-2</v>
      </c>
      <c r="L8" s="254">
        <v>0.35308</v>
      </c>
      <c r="M8" s="254">
        <v>0.58912100000000001</v>
      </c>
      <c r="N8" s="254">
        <v>0.43939800000000001</v>
      </c>
      <c r="O8" s="254">
        <v>0.48492114999999852</v>
      </c>
      <c r="P8" s="254">
        <v>0.56955985000000153</v>
      </c>
      <c r="Q8" s="254">
        <v>0.97404076000000539</v>
      </c>
      <c r="R8" s="254">
        <v>0.9383663599999994</v>
      </c>
      <c r="S8" s="254"/>
      <c r="T8" s="589">
        <f>R8/Q8-1</f>
        <v>-3.6625161353623259E-2</v>
      </c>
      <c r="U8" s="589">
        <f>R8/N8-1</f>
        <v>1.1355726698801529</v>
      </c>
    </row>
    <row r="9" spans="1:27" ht="13" customHeight="1">
      <c r="B9" s="109" t="str">
        <f>IF('Summary | Sumário'!D$6=Names!B$3,Names!AJ8,Names!AK8)</f>
        <v>Managerial EBITDA Margin</v>
      </c>
      <c r="C9" s="255">
        <v>0.70227189056318551</v>
      </c>
      <c r="D9" s="255">
        <v>0.89266785681840854</v>
      </c>
      <c r="E9" s="255">
        <v>0.88482599815833041</v>
      </c>
      <c r="F9" s="255">
        <v>0.89893649657256391</v>
      </c>
      <c r="G9" s="255">
        <v>0.92065885943882775</v>
      </c>
      <c r="H9" s="255">
        <v>0.92170299939186384</v>
      </c>
      <c r="I9" s="255">
        <v>0.8973923084485973</v>
      </c>
      <c r="J9" s="255">
        <v>0.93032138452831492</v>
      </c>
      <c r="K9" s="255">
        <v>0.92233340321210788</v>
      </c>
      <c r="L9" s="255">
        <v>0.87840703866079084</v>
      </c>
      <c r="M9" s="255">
        <v>0.93266382663319469</v>
      </c>
      <c r="N9" s="255">
        <v>0.72104143228798501</v>
      </c>
      <c r="O9" s="255">
        <v>0.77176803701130903</v>
      </c>
      <c r="P9" s="255">
        <v>0.72430000000000005</v>
      </c>
      <c r="Q9" s="255" t="s">
        <v>894</v>
      </c>
      <c r="R9" s="255">
        <v>0.79595981616999212</v>
      </c>
      <c r="S9" s="378"/>
      <c r="T9" s="590">
        <f t="shared" ref="T9" si="0">(R9-Q9)*100</f>
        <v>0.79598161699920844</v>
      </c>
      <c r="U9" s="590">
        <f t="shared" ref="U9" si="1">(R9-N9)*100</f>
        <v>7.4918383882007111</v>
      </c>
    </row>
    <row r="10" spans="1:27" ht="13" customHeight="1">
      <c r="B10" s="27" t="str">
        <f>IF('Summary | Sumário'!D$6=Names!B$3,Names!AJ9,Names!AK9)</f>
        <v>Inter Seguros net income</v>
      </c>
      <c r="C10" s="242">
        <v>3.1904390600000023</v>
      </c>
      <c r="D10" s="242">
        <v>13.105405040000003</v>
      </c>
      <c r="E10" s="242">
        <v>13.946809500000006</v>
      </c>
      <c r="F10" s="242">
        <v>15.577624370000001</v>
      </c>
      <c r="G10" s="242">
        <v>16.607872859999997</v>
      </c>
      <c r="H10" s="242">
        <v>18.628638070000008</v>
      </c>
      <c r="I10" s="242">
        <v>14.207677600000006</v>
      </c>
      <c r="J10" s="242">
        <v>18.505050730000004</v>
      </c>
      <c r="K10" s="242">
        <v>15.75805096</v>
      </c>
      <c r="L10" s="242">
        <v>16.689283329999999</v>
      </c>
      <c r="M10" s="242">
        <v>15.789375680000004</v>
      </c>
      <c r="N10" s="242">
        <v>12.835727520000008</v>
      </c>
      <c r="O10" s="242">
        <v>15.535343949999991</v>
      </c>
      <c r="P10" s="242">
        <v>15.226922</v>
      </c>
      <c r="Q10" s="242">
        <v>20.419972569809499</v>
      </c>
      <c r="R10" s="242">
        <v>19.956684169999999</v>
      </c>
      <c r="S10" s="242"/>
      <c r="T10" s="589">
        <f>R10/Q10-1</f>
        <v>-2.268800304337637E-2</v>
      </c>
      <c r="U10" s="589">
        <f>R10/N10-1</f>
        <v>0.55477623990572122</v>
      </c>
    </row>
    <row r="12" spans="1:27" ht="13" customHeight="1">
      <c r="H12" s="248"/>
      <c r="I12" s="248"/>
      <c r="J12" s="248"/>
      <c r="K12" s="248"/>
      <c r="L12" s="248"/>
      <c r="M12" s="248"/>
      <c r="N12" s="248"/>
      <c r="O12" s="479"/>
      <c r="P12" s="479"/>
      <c r="Q12" s="479"/>
      <c r="R12" s="248"/>
      <c r="S12" s="248"/>
      <c r="T12" s="248"/>
      <c r="U12" s="248"/>
    </row>
    <row r="15" spans="1:27" ht="13" customHeight="1">
      <c r="C15" s="202"/>
      <c r="D15" s="202"/>
      <c r="E15" s="202"/>
      <c r="F15" s="202"/>
      <c r="G15" s="202"/>
      <c r="H15" s="202"/>
      <c r="I15" s="202"/>
      <c r="J15" s="202"/>
      <c r="K15" s="202"/>
      <c r="L15" s="202"/>
      <c r="M15" s="202"/>
      <c r="N15" s="202"/>
      <c r="O15" s="202"/>
      <c r="P15" s="202"/>
      <c r="Q15" s="202"/>
      <c r="R15" s="202"/>
      <c r="S15" s="202"/>
      <c r="T15" s="202"/>
      <c r="U15" s="202"/>
    </row>
    <row r="17" spans="2:10" ht="13" customHeight="1">
      <c r="B17" s="256"/>
    </row>
    <row r="18" spans="2:10" ht="13" customHeight="1">
      <c r="B18" s="256"/>
    </row>
    <row r="21" spans="2:10" ht="13" customHeight="1">
      <c r="B21" s="257"/>
    </row>
    <row r="22" spans="2:10" ht="13" customHeight="1">
      <c r="B22" s="257"/>
      <c r="J22" s="258"/>
    </row>
  </sheetData>
  <sheetProtection algorithmName="SHA-512" hashValue="Z7hDT/Dcl9WhjKgpk63AHACN+yptmSoKb+rM+f2OlLcrfpb1a2uMWqi/t56ietTpOuWgG2TKtyCJIxNQ1/Xc2Q==" saltValue="eddQxNUAijMkLzN/iq3rgQ=="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9C2B-1C32-1D4E-89EF-3461873B0D54}">
  <sheetPr codeName="Sheet7">
    <tabColor rgb="FFFFCA96"/>
  </sheetPr>
  <dimension ref="B1:AA26"/>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201" customWidth="1"/>
    <col min="2" max="2" width="68.33203125" style="231" customWidth="1"/>
    <col min="3" max="17" width="10.83203125" style="201" customWidth="1"/>
    <col min="18" max="18" width="5.83203125" style="201" customWidth="1"/>
    <col min="19" max="20" width="10.83203125" style="201" customWidth="1"/>
    <col min="21" max="16384" width="10.83203125" style="201"/>
  </cols>
  <sheetData>
    <row r="1" spans="2:27" s="239" customFormat="1" ht="13" customHeight="1">
      <c r="C1" s="240"/>
      <c r="D1" s="240"/>
      <c r="E1" s="240"/>
      <c r="F1" s="240"/>
      <c r="G1" s="240"/>
      <c r="H1" s="240"/>
      <c r="I1" s="240"/>
      <c r="J1" s="240"/>
      <c r="K1" s="240"/>
      <c r="L1" s="240"/>
      <c r="M1" s="240"/>
      <c r="N1" s="240"/>
      <c r="O1" s="240"/>
      <c r="P1" s="240"/>
      <c r="Q1" s="240"/>
      <c r="R1" s="240"/>
      <c r="S1" s="240"/>
      <c r="T1" s="240"/>
      <c r="U1" s="240"/>
    </row>
    <row r="2" spans="2:27" s="208" customFormat="1" ht="13" customHeight="1">
      <c r="B2" s="384" t="str">
        <f>IF('Summary | Sumário'!D$6=Names!B$3,Names!AL1,Names!AM1)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385" t="str">
        <f>IF('Summary | Sumário'!G$3=Names!A$3,Names!D17,Names!E17)</f>
        <v>2Q24</v>
      </c>
      <c r="R2" s="496"/>
      <c r="S2" s="180" t="str">
        <f>IF('Summary | Sumário'!$D$6=Names!$B$3,Names!$I$24,Names!$J$24)</f>
        <v>QoQ Variation</v>
      </c>
      <c r="T2" s="180" t="str">
        <f>IF('Summary | Sumário'!$D$6=Names!$B$3,Names!$I$25,Names!$J$25)</f>
        <v>YoY Variation</v>
      </c>
      <c r="U2" s="206"/>
      <c r="V2" s="204"/>
      <c r="W2" s="206"/>
      <c r="X2" s="207"/>
      <c r="Z2" s="209"/>
      <c r="AA2" s="210"/>
    </row>
    <row r="3" spans="2:27" s="239" customFormat="1" ht="13" customHeight="1">
      <c r="B3" s="76"/>
      <c r="C3" s="241"/>
      <c r="D3" s="207"/>
      <c r="E3" s="207"/>
      <c r="F3" s="207"/>
      <c r="G3" s="207"/>
      <c r="H3" s="207"/>
      <c r="I3" s="207"/>
      <c r="J3" s="207"/>
      <c r="K3" s="207"/>
      <c r="L3" s="207"/>
      <c r="M3" s="207"/>
      <c r="N3" s="207"/>
      <c r="O3" s="207"/>
      <c r="P3" s="207"/>
      <c r="Q3" s="207"/>
      <c r="R3" s="207"/>
      <c r="S3" s="207"/>
      <c r="T3" s="207"/>
      <c r="U3" s="207"/>
    </row>
    <row r="4" spans="2:27" ht="13" customHeight="1">
      <c r="B4" s="454" t="str">
        <f>IF('Summary | Sumário'!D$6=Names!B$3,Names!AL2,Names!AM2)</f>
        <v>Inter shop</v>
      </c>
      <c r="C4" s="382"/>
      <c r="D4" s="382"/>
      <c r="E4" s="382"/>
      <c r="F4" s="382"/>
      <c r="G4" s="382"/>
      <c r="H4" s="382"/>
      <c r="I4" s="382"/>
      <c r="J4" s="382"/>
      <c r="K4" s="382"/>
      <c r="L4" s="382"/>
      <c r="M4" s="382"/>
      <c r="N4" s="382"/>
      <c r="O4" s="382"/>
      <c r="P4" s="382"/>
      <c r="Q4" s="382"/>
      <c r="R4" s="382"/>
      <c r="S4" s="382"/>
      <c r="T4" s="382"/>
    </row>
    <row r="5" spans="2:27" ht="13" customHeight="1">
      <c r="B5" s="441" t="str">
        <f>IF('Summary | Sumário'!D$6=Names!B$3,Names!AL3,Names!AM3)</f>
        <v>Gross merchandise volume</v>
      </c>
      <c r="C5" s="455">
        <v>632.08809299999996</v>
      </c>
      <c r="D5" s="455">
        <v>675.86323200000004</v>
      </c>
      <c r="E5" s="455">
        <v>774.37923499999999</v>
      </c>
      <c r="F5" s="455">
        <v>946.37195599999995</v>
      </c>
      <c r="G5" s="455">
        <v>1125.0433519999999</v>
      </c>
      <c r="H5" s="455">
        <v>1053.0667530000001</v>
      </c>
      <c r="I5" s="455">
        <v>990.06993699999998</v>
      </c>
      <c r="J5" s="455">
        <v>938.66564000000005</v>
      </c>
      <c r="K5" s="455">
        <v>1003.4261218400001</v>
      </c>
      <c r="L5" s="455">
        <v>829.25831872000003</v>
      </c>
      <c r="M5" s="455">
        <v>755.63938086500002</v>
      </c>
      <c r="N5" s="455">
        <v>869.35878100000002</v>
      </c>
      <c r="O5" s="455">
        <v>1049.8873619999999</v>
      </c>
      <c r="P5" s="455">
        <v>993.72802863999993</v>
      </c>
      <c r="Q5" s="455">
        <v>1136.3548290000001</v>
      </c>
      <c r="R5" s="578"/>
      <c r="S5" s="591">
        <f>Q5/P5-1</f>
        <v>0.14352699757819742</v>
      </c>
      <c r="T5" s="591">
        <f>Q5/M5-1</f>
        <v>0.5038321953246867</v>
      </c>
    </row>
    <row r="6" spans="2:27" ht="13" customHeight="1">
      <c r="B6" s="175" t="str">
        <f>IF('Summary | Sumário'!D$6=Names!B$3,Names!AL4,Names!AM4)</f>
        <v>Inter Shop net revenues</v>
      </c>
      <c r="C6" s="242"/>
      <c r="D6" s="242">
        <v>5.9970829900000018</v>
      </c>
      <c r="E6" s="242">
        <v>6.3313360000000003</v>
      </c>
      <c r="F6" s="242">
        <v>4.424766909997202</v>
      </c>
      <c r="G6" s="242">
        <v>16.210006369999991</v>
      </c>
      <c r="H6" s="242">
        <v>29.681559900000003</v>
      </c>
      <c r="I6" s="242">
        <v>43.648439909999993</v>
      </c>
      <c r="J6" s="242">
        <v>47.710828999999997</v>
      </c>
      <c r="K6" s="242">
        <v>58.844120670000002</v>
      </c>
      <c r="L6" s="242">
        <v>53.754698779999998</v>
      </c>
      <c r="M6" s="242">
        <v>67.33451371000001</v>
      </c>
      <c r="N6" s="242">
        <v>75.930407540000019</v>
      </c>
      <c r="O6" s="242">
        <v>57.560787499999954</v>
      </c>
      <c r="P6" s="242">
        <v>61.45511956</v>
      </c>
      <c r="Q6" s="242">
        <v>66.868201779999993</v>
      </c>
      <c r="R6" s="242"/>
      <c r="S6" s="589">
        <f>Q6/P6-1</f>
        <v>8.808187598943773E-2</v>
      </c>
      <c r="T6" s="589">
        <f>Q6/M6-1</f>
        <v>-6.9253033000038489E-3</v>
      </c>
    </row>
    <row r="7" spans="2:27" ht="13" customHeight="1">
      <c r="B7" s="176" t="str">
        <f>IF('Summary | Sumário'!D$6=Names!B$3,Names!AL5,Names!AM5)</f>
        <v>Inter Shop net fee revenues</v>
      </c>
      <c r="C7" s="243"/>
      <c r="D7" s="243">
        <v>4.6300749900000024</v>
      </c>
      <c r="E7" s="243">
        <v>3.5682109999999998</v>
      </c>
      <c r="F7" s="243">
        <v>3.0701239099972026</v>
      </c>
      <c r="G7" s="243">
        <v>11.784099369999989</v>
      </c>
      <c r="H7" s="243">
        <v>25.117762640000002</v>
      </c>
      <c r="I7" s="243">
        <v>33.097321000000001</v>
      </c>
      <c r="J7" s="243">
        <v>27.487579</v>
      </c>
      <c r="K7" s="243">
        <v>39.960256999999999</v>
      </c>
      <c r="L7" s="243">
        <v>40.103501000000001</v>
      </c>
      <c r="M7" s="243">
        <v>55.416983999999999</v>
      </c>
      <c r="N7" s="243">
        <v>52.432689730000021</v>
      </c>
      <c r="O7" s="243">
        <v>33.09131547999997</v>
      </c>
      <c r="P7" s="243">
        <v>40.065831280000012</v>
      </c>
      <c r="Q7" s="243">
        <v>38.556466689999979</v>
      </c>
      <c r="R7" s="242"/>
      <c r="S7" s="588">
        <f>Q7/P7-1</f>
        <v>-3.7672114661788547E-2</v>
      </c>
      <c r="T7" s="588">
        <f>Q7/M7-1</f>
        <v>-0.30424819419981464</v>
      </c>
    </row>
    <row r="8" spans="2:27" ht="13" customHeight="1">
      <c r="B8" s="177" t="str">
        <f>IF('Summary | Sumário'!D$6=Names!B$3,Names!AL6,Names!AM6)</f>
        <v>Inter Shop net interest revenues</v>
      </c>
      <c r="C8" s="242"/>
      <c r="D8" s="242">
        <v>1.367008</v>
      </c>
      <c r="E8" s="242">
        <v>2.7631250000000001</v>
      </c>
      <c r="F8" s="242">
        <v>1.354643</v>
      </c>
      <c r="G8" s="242">
        <v>4.4259069999999996</v>
      </c>
      <c r="H8" s="242">
        <v>4.5637972600000021</v>
      </c>
      <c r="I8" s="242">
        <v>10.551118909999996</v>
      </c>
      <c r="J8" s="242">
        <v>20.22325</v>
      </c>
      <c r="K8" s="242">
        <v>18.88386367</v>
      </c>
      <c r="L8" s="242">
        <v>13.65119778</v>
      </c>
      <c r="M8" s="242">
        <v>11.917529710000009</v>
      </c>
      <c r="N8" s="242">
        <v>23.497717810000001</v>
      </c>
      <c r="O8" s="242">
        <v>24.469472019999987</v>
      </c>
      <c r="P8" s="242">
        <v>21.389288279999995</v>
      </c>
      <c r="Q8" s="242">
        <v>28.311735090000003</v>
      </c>
      <c r="R8" s="242"/>
      <c r="S8" s="589">
        <f>Q8/P8-1</f>
        <v>0.32364082055375465</v>
      </c>
      <c r="T8" s="589">
        <f>Q8/M8-1</f>
        <v>1.3756378862847392</v>
      </c>
    </row>
    <row r="9" spans="2:27" ht="13" customHeight="1">
      <c r="B9" s="174" t="str">
        <f>IF('Summary | Sumário'!D$6=Names!B$3,Names!AL7,Names!AM7)</f>
        <v>Cashback expenses</v>
      </c>
      <c r="C9" s="243"/>
      <c r="D9" s="243">
        <v>-34.052095009999995</v>
      </c>
      <c r="E9" s="243">
        <v>-49.743684000000002</v>
      </c>
      <c r="F9" s="243">
        <v>-56.019543090002799</v>
      </c>
      <c r="G9" s="243">
        <v>-74.182447630000013</v>
      </c>
      <c r="H9" s="243">
        <v>-69.803044360000001</v>
      </c>
      <c r="I9" s="243">
        <v>-68.918199999999999</v>
      </c>
      <c r="J9" s="243">
        <v>-54.220694999999999</v>
      </c>
      <c r="K9" s="243">
        <v>-53.289734000000003</v>
      </c>
      <c r="L9" s="243">
        <v>-41.187900999999997</v>
      </c>
      <c r="M9" s="243">
        <v>-36.990116999999998</v>
      </c>
      <c r="N9" s="243">
        <v>-48.073910379999994</v>
      </c>
      <c r="O9" s="243">
        <v>-61.597868429999977</v>
      </c>
      <c r="P9" s="243">
        <v>-63.086409609999997</v>
      </c>
      <c r="Q9" s="243">
        <v>-90.809057850000002</v>
      </c>
      <c r="R9" s="242"/>
      <c r="S9" s="588">
        <f>Q9/P9-1</f>
        <v>0.43943930889998861</v>
      </c>
      <c r="T9" s="588">
        <f>Q9/M9-1</f>
        <v>1.4549545990892652</v>
      </c>
      <c r="U9" s="242"/>
    </row>
    <row r="10" spans="2:27" ht="13" customHeight="1">
      <c r="B10" s="175" t="str">
        <f>IF('Summary | Sumário'!D$6=Names!B$3,Names!AL8,Names!AM8)</f>
        <v>Take rate</v>
      </c>
      <c r="C10" s="244"/>
      <c r="D10" s="244">
        <v>5.9256334867466204E-2</v>
      </c>
      <c r="E10" s="244">
        <v>7.2412866287665884E-2</v>
      </c>
      <c r="F10" s="244">
        <v>6.3869506716447963E-2</v>
      </c>
      <c r="G10" s="244">
        <v>8.0345751867524476E-2</v>
      </c>
      <c r="H10" s="244">
        <v>9.4474809860415385E-2</v>
      </c>
      <c r="I10" s="244">
        <v>0.11369565694630318</v>
      </c>
      <c r="J10" s="244">
        <v>0.10859194334630168</v>
      </c>
      <c r="K10" s="244">
        <v>0.11175098119269428</v>
      </c>
      <c r="L10" s="244">
        <v>0.11449098264886683</v>
      </c>
      <c r="M10" s="244">
        <v>0.13806140118131072</v>
      </c>
      <c r="N10" s="244">
        <v>0.14264101219218031</v>
      </c>
      <c r="O10" s="244">
        <v>0.11349861012042541</v>
      </c>
      <c r="P10" s="244">
        <v>0.1253278126113096</v>
      </c>
      <c r="Q10" s="244">
        <v>0.13875771944292939</v>
      </c>
      <c r="R10" s="244"/>
      <c r="S10" s="535">
        <f t="shared" ref="S10:S11" si="0">(Q10-P10)*100</f>
        <v>1.3429906831619793</v>
      </c>
      <c r="T10" s="535">
        <f t="shared" ref="T10:T11" si="1">(Q10-M10)*100</f>
        <v>6.963182616186725E-2</v>
      </c>
    </row>
    <row r="11" spans="2:27" ht="13" customHeight="1">
      <c r="B11" s="174" t="str">
        <f>IF('Summary | Sumário'!D$6=Names!B$3,Names!AL9,Names!AM9)</f>
        <v>Net take rate</v>
      </c>
      <c r="C11" s="245"/>
      <c r="D11" s="245">
        <v>8.8732197670430488E-3</v>
      </c>
      <c r="E11" s="245">
        <v>8.176014688720314E-3</v>
      </c>
      <c r="F11" s="245">
        <v>4.6755051034048211E-3</v>
      </c>
      <c r="G11" s="245">
        <v>1.4408339324154319E-2</v>
      </c>
      <c r="H11" s="245">
        <v>2.8185829450452702E-2</v>
      </c>
      <c r="I11" s="245">
        <v>4.4086218840518131E-2</v>
      </c>
      <c r="J11" s="245">
        <v>5.0828353533852587E-2</v>
      </c>
      <c r="K11" s="245">
        <v>5.8643201915150968E-2</v>
      </c>
      <c r="L11" s="245">
        <v>6.482262229575575E-2</v>
      </c>
      <c r="M11" s="245">
        <v>8.9109323064820209E-2</v>
      </c>
      <c r="N11" s="245">
        <v>8.7340703515594934E-2</v>
      </c>
      <c r="O11" s="245">
        <v>5.4825679004601599E-2</v>
      </c>
      <c r="P11" s="245">
        <v>6.1842997066417132E-2</v>
      </c>
      <c r="Q11" s="245">
        <v>5.8844473639316039E-2</v>
      </c>
      <c r="R11" s="244"/>
      <c r="S11" s="534">
        <f t="shared" si="0"/>
        <v>-0.29985234271010935</v>
      </c>
      <c r="T11" s="534">
        <f t="shared" si="1"/>
        <v>-3.0264849425504172</v>
      </c>
    </row>
    <row r="12" spans="2:27" ht="13" customHeight="1">
      <c r="B12" s="224"/>
      <c r="K12" s="246"/>
      <c r="L12" s="246"/>
      <c r="M12" s="246"/>
      <c r="N12" s="246"/>
      <c r="O12" s="246"/>
      <c r="P12" s="246"/>
      <c r="Q12" s="246"/>
      <c r="R12" s="246"/>
      <c r="S12" s="246"/>
      <c r="T12" s="246"/>
    </row>
    <row r="13" spans="2:27" ht="13" customHeight="1">
      <c r="B13" s="224"/>
      <c r="L13" s="247"/>
      <c r="M13" s="247"/>
      <c r="N13" s="247"/>
      <c r="O13" s="247"/>
      <c r="P13" s="247"/>
      <c r="Q13" s="247"/>
      <c r="R13" s="247"/>
      <c r="S13" s="247"/>
      <c r="T13" s="247"/>
    </row>
    <row r="14" spans="2:27" ht="13" customHeight="1">
      <c r="B14" s="224"/>
      <c r="K14" s="248"/>
      <c r="L14" s="248"/>
      <c r="M14" s="248"/>
      <c r="N14" s="249"/>
      <c r="O14" s="249"/>
      <c r="P14" s="249"/>
      <c r="Q14" s="249"/>
      <c r="R14" s="249"/>
      <c r="S14" s="249"/>
      <c r="T14" s="249"/>
    </row>
    <row r="15" spans="2:27" ht="13" customHeight="1">
      <c r="B15" s="224"/>
      <c r="K15" s="248"/>
      <c r="L15" s="248"/>
      <c r="M15" s="248"/>
      <c r="N15" s="248"/>
      <c r="O15" s="248"/>
      <c r="P15" s="248"/>
      <c r="Q15" s="248"/>
      <c r="R15" s="248"/>
      <c r="S15" s="248"/>
      <c r="T15" s="248"/>
    </row>
    <row r="16" spans="2:27" ht="13" customHeight="1">
      <c r="K16" s="248"/>
      <c r="L16" s="248"/>
      <c r="M16" s="248"/>
      <c r="N16" s="248"/>
      <c r="O16" s="248"/>
      <c r="P16" s="248"/>
      <c r="Q16" s="248"/>
      <c r="R16" s="248"/>
      <c r="S16" s="248"/>
      <c r="T16" s="248"/>
    </row>
    <row r="17" spans="2:20" ht="13" customHeight="1">
      <c r="B17" s="224"/>
      <c r="K17" s="248"/>
      <c r="L17" s="248"/>
      <c r="M17" s="248"/>
      <c r="N17" s="248"/>
      <c r="O17" s="248"/>
      <c r="P17" s="248"/>
      <c r="Q17" s="248"/>
      <c r="R17" s="248"/>
      <c r="S17" s="248"/>
      <c r="T17" s="248"/>
    </row>
    <row r="18" spans="2:20" ht="13" customHeight="1">
      <c r="B18" s="224"/>
      <c r="K18" s="249"/>
      <c r="L18" s="249"/>
      <c r="M18" s="249"/>
      <c r="N18" s="249"/>
      <c r="O18" s="249"/>
      <c r="P18" s="249"/>
      <c r="Q18" s="249"/>
      <c r="R18" s="249"/>
      <c r="S18" s="249"/>
      <c r="T18" s="249"/>
    </row>
    <row r="19" spans="2:20" ht="13" customHeight="1">
      <c r="K19" s="248"/>
      <c r="L19" s="248"/>
      <c r="M19" s="248"/>
      <c r="N19" s="248"/>
      <c r="O19" s="248"/>
      <c r="P19" s="248"/>
      <c r="Q19" s="248"/>
      <c r="R19" s="248"/>
      <c r="S19" s="248"/>
      <c r="T19" s="248"/>
    </row>
    <row r="20" spans="2:20" ht="13" customHeight="1">
      <c r="B20" s="250"/>
      <c r="K20" s="248"/>
      <c r="L20" s="248"/>
      <c r="M20" s="248"/>
      <c r="N20" s="248"/>
      <c r="O20" s="248"/>
      <c r="P20" s="248"/>
      <c r="Q20" s="248"/>
      <c r="R20" s="248"/>
      <c r="S20" s="248"/>
      <c r="T20" s="248"/>
    </row>
    <row r="21" spans="2:20" ht="13" customHeight="1">
      <c r="B21" s="250"/>
    </row>
    <row r="22" spans="2:20" ht="13" customHeight="1">
      <c r="B22" s="250"/>
    </row>
    <row r="23" spans="2:20" ht="13" customHeight="1">
      <c r="B23" s="250"/>
    </row>
    <row r="24" spans="2:20" ht="13" customHeight="1">
      <c r="B24" s="250"/>
    </row>
    <row r="25" spans="2:20" ht="13" customHeight="1">
      <c r="B25" s="250"/>
    </row>
    <row r="26" spans="2:20" ht="13" customHeight="1">
      <c r="B26" s="250"/>
    </row>
  </sheetData>
  <sheetProtection algorithmName="SHA-512" hashValue="LOX9elEo6U65e+LjI6kHjr1pQiEN9Vr5r2PHrtwQTX446thxZ6BpyW36NcBjwL4b0BEfYVOUWxgnl1nIVAdong==" saltValue="M95zu+opoQNHggCT4c2nFA=="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DDE8-D90D-C943-A3EF-74069CAAE5A7}">
  <sheetPr codeName="Sheet19">
    <tabColor rgb="FFFFCA96"/>
  </sheetPr>
  <dimension ref="A1:AA4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201" customWidth="1"/>
    <col min="2" max="2" width="68.33203125" style="201" customWidth="1"/>
    <col min="3" max="12" width="10.83203125" style="201" customWidth="1"/>
    <col min="13" max="18" width="10.83203125" style="201"/>
    <col min="19" max="19" width="5.83203125" style="201" customWidth="1"/>
    <col min="20" max="16384" width="10.83203125" style="201"/>
  </cols>
  <sheetData>
    <row r="1" spans="1:27" ht="13" customHeight="1">
      <c r="C1" s="202"/>
      <c r="D1" s="202"/>
      <c r="E1" s="202"/>
      <c r="F1" s="202"/>
      <c r="G1" s="202"/>
      <c r="H1" s="202"/>
      <c r="I1" s="202"/>
      <c r="J1" s="202"/>
      <c r="K1" s="202"/>
      <c r="L1" s="202"/>
      <c r="M1" s="202"/>
      <c r="N1" s="202"/>
      <c r="O1" s="202"/>
      <c r="P1" s="202"/>
      <c r="Q1" s="202"/>
      <c r="R1" s="202"/>
      <c r="S1" s="202"/>
      <c r="T1" s="202"/>
      <c r="U1" s="202"/>
      <c r="V1" s="202"/>
    </row>
    <row r="2" spans="1:27" s="208" customFormat="1" ht="13" customHeight="1">
      <c r="B2" s="384" t="str">
        <f>IF('Summary | Sumário'!D$6=Names!B$3,Names!AN1,Names!AO1)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385" t="str">
        <f>IF('Summary | Sumário'!D$6=Names!B$3,Names!E17,Names!F17)</f>
        <v>2Q24</v>
      </c>
      <c r="S2" s="496"/>
      <c r="T2" s="180" t="str">
        <f>IF('Summary | Sumário'!$D$6=Names!$B$3,Names!$I$24,Names!$J$24)</f>
        <v>QoQ Variation</v>
      </c>
      <c r="U2" s="180" t="str">
        <f>IF('Summary | Sumário'!$D$6=Names!$B$3,Names!$I$25,Names!$J$25)</f>
        <v>YoY Variation</v>
      </c>
      <c r="V2" s="204"/>
      <c r="W2" s="206"/>
      <c r="X2" s="207"/>
      <c r="Z2" s="209"/>
      <c r="AA2" s="210"/>
    </row>
    <row r="3" spans="1:27" ht="13" customHeight="1">
      <c r="B3" s="211"/>
      <c r="C3" s="212"/>
      <c r="D3" s="212"/>
      <c r="E3" s="213"/>
      <c r="F3" s="213"/>
      <c r="G3" s="213"/>
      <c r="H3" s="213"/>
      <c r="I3" s="213"/>
      <c r="J3" s="213"/>
      <c r="K3" s="213"/>
      <c r="L3" s="213"/>
      <c r="M3" s="213"/>
      <c r="N3" s="213"/>
      <c r="O3" s="213"/>
      <c r="P3" s="213"/>
      <c r="Q3" s="213"/>
      <c r="R3" s="213"/>
      <c r="S3" s="213"/>
      <c r="T3" s="213"/>
      <c r="U3" s="213"/>
      <c r="V3" s="213"/>
    </row>
    <row r="4" spans="1:27" ht="13" customHeight="1">
      <c r="A4" s="228"/>
      <c r="B4" s="3" t="str">
        <f>IF('Summary | Sumário'!D$6=Names!B$3,Names!AN3,Names!AO3)</f>
        <v>Number of cards used (in thousands)</v>
      </c>
      <c r="C4" s="234"/>
      <c r="D4" s="234"/>
      <c r="E4" s="234"/>
      <c r="F4" s="234"/>
      <c r="G4" s="234"/>
      <c r="H4" s="234"/>
      <c r="I4" s="234"/>
      <c r="J4" s="234"/>
      <c r="K4" s="234"/>
      <c r="L4" s="234"/>
      <c r="M4" s="234"/>
      <c r="N4" s="234"/>
      <c r="O4" s="234"/>
      <c r="P4" s="234"/>
      <c r="Q4" s="234"/>
      <c r="R4" s="234"/>
      <c r="S4" s="234"/>
      <c r="T4" s="234"/>
      <c r="U4" s="234"/>
    </row>
    <row r="5" spans="1:27" s="231" customFormat="1" ht="13" customHeight="1">
      <c r="A5" s="229"/>
      <c r="B5" s="456" t="str">
        <f>IF('Summary | Sumário'!D$6=Names!B$3,Names!AN4,Names!AO4)</f>
        <v>Debit cards used</v>
      </c>
      <c r="C5" s="457">
        <v>1030.944</v>
      </c>
      <c r="D5" s="457">
        <v>2339.578</v>
      </c>
      <c r="E5" s="457">
        <v>2685.1979999999999</v>
      </c>
      <c r="F5" s="457">
        <v>3221.4879999999998</v>
      </c>
      <c r="G5" s="457">
        <v>3711.5329999999999</v>
      </c>
      <c r="H5" s="457">
        <v>4176.7030000000004</v>
      </c>
      <c r="I5" s="457">
        <v>4479.1809999999996</v>
      </c>
      <c r="J5" s="457">
        <v>4970.62</v>
      </c>
      <c r="K5" s="457">
        <v>5442.5770000000002</v>
      </c>
      <c r="L5" s="457">
        <v>5872.8680000000004</v>
      </c>
      <c r="M5" s="457">
        <v>6147.3360000000002</v>
      </c>
      <c r="N5" s="457">
        <v>6463.7240000000002</v>
      </c>
      <c r="O5" s="457">
        <v>6801.2349999999997</v>
      </c>
      <c r="P5" s="457">
        <v>7108.0410000000002</v>
      </c>
      <c r="Q5" s="457">
        <v>7316.8689999999997</v>
      </c>
      <c r="R5" s="457">
        <v>7621.01</v>
      </c>
      <c r="S5" s="232"/>
      <c r="T5" s="548">
        <f>R5/Q5-1</f>
        <v>4.1567096527216796E-2</v>
      </c>
      <c r="U5" s="548">
        <f>R5/N5-1</f>
        <v>0.17904322647439774</v>
      </c>
    </row>
    <row r="6" spans="1:27" s="231" customFormat="1" ht="13" customHeight="1">
      <c r="A6" s="229"/>
      <c r="B6" s="85" t="str">
        <f>IF('Summary | Sumário'!D$6=Names!B$3,Names!AN5,Names!AO5)</f>
        <v>Credit cards used</v>
      </c>
      <c r="C6" s="232">
        <v>588.38300000000004</v>
      </c>
      <c r="D6" s="232">
        <v>1295.857</v>
      </c>
      <c r="E6" s="232">
        <v>1590.048</v>
      </c>
      <c r="F6" s="232">
        <v>1798.817</v>
      </c>
      <c r="G6" s="232">
        <v>2193.192</v>
      </c>
      <c r="H6" s="232">
        <v>2729.027</v>
      </c>
      <c r="I6" s="232">
        <v>2902.91</v>
      </c>
      <c r="J6" s="232">
        <v>3119.3670000000002</v>
      </c>
      <c r="K6" s="232">
        <v>3310.114</v>
      </c>
      <c r="L6" s="232">
        <v>3476.1680000000001</v>
      </c>
      <c r="M6" s="232">
        <v>3591.0430000000001</v>
      </c>
      <c r="N6" s="232">
        <v>3525.779</v>
      </c>
      <c r="O6" s="232">
        <v>3637.0610000000001</v>
      </c>
      <c r="P6" s="232">
        <v>3775.3009999999999</v>
      </c>
      <c r="Q6" s="232">
        <v>3844.9839999999999</v>
      </c>
      <c r="R6" s="232">
        <v>3961.181</v>
      </c>
      <c r="S6" s="232"/>
      <c r="T6" s="549">
        <f>R6/Q6-1</f>
        <v>3.0220411840465422E-2</v>
      </c>
      <c r="U6" s="549">
        <f>R6/N6-1</f>
        <v>0.12349100723556417</v>
      </c>
    </row>
    <row r="7" spans="1:27" s="231" customFormat="1" ht="13" customHeight="1">
      <c r="A7" s="229"/>
      <c r="B7" s="90" t="str">
        <f>IF('Summary | Sumário'!D$6=Names!B$3,Names!AN6,Names!AO6)</f>
        <v>Total cards used</v>
      </c>
      <c r="C7" s="230">
        <v>1366.941</v>
      </c>
      <c r="D7" s="230">
        <v>2960.7579999999998</v>
      </c>
      <c r="E7" s="230">
        <v>3474.2</v>
      </c>
      <c r="F7" s="230">
        <v>4125.5619999999999</v>
      </c>
      <c r="G7" s="230">
        <v>4761.8389999999999</v>
      </c>
      <c r="H7" s="230">
        <v>5421.817</v>
      </c>
      <c r="I7" s="230">
        <v>5843.7479999999996</v>
      </c>
      <c r="J7" s="230">
        <v>6419.11</v>
      </c>
      <c r="K7" s="230">
        <v>6958.1440000000002</v>
      </c>
      <c r="L7" s="230">
        <v>7439.0910000000003</v>
      </c>
      <c r="M7" s="230">
        <v>7789.7269999999999</v>
      </c>
      <c r="N7" s="230">
        <v>8136.6819999999998</v>
      </c>
      <c r="O7" s="230">
        <v>8541.6869999999999</v>
      </c>
      <c r="P7" s="230">
        <v>8883.8109999999997</v>
      </c>
      <c r="Q7" s="230">
        <v>9074.2469999999994</v>
      </c>
      <c r="R7" s="230">
        <v>9499.6990000000005</v>
      </c>
      <c r="S7" s="232"/>
      <c r="T7" s="550">
        <f>R7/Q7-1</f>
        <v>4.6885653432180208E-2</v>
      </c>
      <c r="U7" s="550">
        <f>R7/N7-1</f>
        <v>0.16751508784538971</v>
      </c>
    </row>
    <row r="8" spans="1:27" s="231" customFormat="1" ht="13" customHeight="1">
      <c r="A8" s="229"/>
      <c r="B8" s="233"/>
      <c r="C8" s="234"/>
      <c r="D8" s="234"/>
      <c r="E8" s="234"/>
      <c r="F8" s="234"/>
      <c r="G8" s="234"/>
      <c r="H8" s="234"/>
      <c r="I8" s="234"/>
      <c r="J8" s="234"/>
      <c r="K8" s="234"/>
      <c r="L8" s="234"/>
      <c r="M8" s="234"/>
      <c r="N8" s="234"/>
      <c r="O8" s="234"/>
      <c r="P8" s="234"/>
      <c r="Q8" s="234"/>
      <c r="R8" s="234"/>
      <c r="S8" s="234"/>
      <c r="T8" s="234"/>
      <c r="U8" s="234"/>
    </row>
    <row r="9" spans="1:27" ht="13" customHeight="1">
      <c r="A9" s="228"/>
      <c r="B9" s="445" t="str">
        <f>IF('Summary | Sumário'!D$6=Names!B$3,Names!AN8,Names!AO8)</f>
        <v>Cards + PIX TPV (in million)</v>
      </c>
      <c r="C9" s="383"/>
      <c r="D9" s="383"/>
      <c r="E9" s="383"/>
      <c r="F9" s="383"/>
      <c r="G9" s="383"/>
      <c r="H9" s="383"/>
      <c r="I9" s="383"/>
      <c r="J9" s="383"/>
      <c r="K9" s="383"/>
      <c r="L9" s="383"/>
      <c r="M9" s="383"/>
      <c r="N9" s="383"/>
      <c r="O9" s="383"/>
      <c r="P9" s="383"/>
      <c r="Q9" s="383"/>
      <c r="R9" s="383"/>
      <c r="S9" s="234"/>
      <c r="T9" s="383"/>
      <c r="U9" s="383"/>
      <c r="V9" s="231"/>
    </row>
    <row r="10" spans="1:27" s="231" customFormat="1" ht="13" customHeight="1">
      <c r="A10" s="235" t="s">
        <v>835</v>
      </c>
      <c r="B10" s="458" t="str">
        <f>IF('Summary | Sumário'!D$6=Names!B$3,Names!AN9,Names!AO9)</f>
        <v>Debit TPV</v>
      </c>
      <c r="C10" s="459">
        <v>1890.0661843600001</v>
      </c>
      <c r="D10" s="459">
        <v>5032.0947420000002</v>
      </c>
      <c r="E10" s="459">
        <v>4700.4723899999999</v>
      </c>
      <c r="F10" s="459">
        <v>5866.0523949999997</v>
      </c>
      <c r="G10" s="459">
        <v>7076.1946120000011</v>
      </c>
      <c r="H10" s="459">
        <v>8263.4268090000005</v>
      </c>
      <c r="I10" s="459">
        <v>7695.0063590000009</v>
      </c>
      <c r="J10" s="459">
        <v>8681.7274649999999</v>
      </c>
      <c r="K10" s="459">
        <v>9265.8454089999996</v>
      </c>
      <c r="L10" s="459">
        <v>10533.758581980001</v>
      </c>
      <c r="M10" s="459">
        <v>9913.266527050002</v>
      </c>
      <c r="N10" s="459">
        <v>10401.555399300003</v>
      </c>
      <c r="O10" s="459">
        <v>10856.98690217</v>
      </c>
      <c r="P10" s="459">
        <v>12156.573075690001</v>
      </c>
      <c r="Q10" s="459">
        <v>11260.217286679999</v>
      </c>
      <c r="R10" s="459">
        <v>12007.981544899998</v>
      </c>
      <c r="S10" s="232"/>
      <c r="T10" s="552">
        <f t="shared" ref="T10:T13" si="0">R10/Q10-1</f>
        <v>6.6407622444777159E-2</v>
      </c>
      <c r="U10" s="552">
        <f t="shared" ref="U10:U13" si="1">R10/N10-1</f>
        <v>0.15444095463915941</v>
      </c>
      <c r="V10" s="236"/>
    </row>
    <row r="11" spans="1:27" s="231" customFormat="1" ht="13" customHeight="1">
      <c r="A11" s="235"/>
      <c r="B11" s="90" t="str">
        <f>IF('Summary | Sumário'!D$6=Names!B$3,Names!AN10,Names!AO10)</f>
        <v>Credit TPV</v>
      </c>
      <c r="C11" s="230">
        <v>994.89999999999986</v>
      </c>
      <c r="D11" s="230">
        <v>2285.6983910000004</v>
      </c>
      <c r="E11" s="230">
        <v>2881.7517969999999</v>
      </c>
      <c r="F11" s="230">
        <v>3569.863468</v>
      </c>
      <c r="G11" s="230">
        <v>4539.470362</v>
      </c>
      <c r="H11" s="230">
        <v>5963.1811199999993</v>
      </c>
      <c r="I11" s="230">
        <v>6388.2015880000008</v>
      </c>
      <c r="J11" s="230">
        <v>7361.6602919999996</v>
      </c>
      <c r="K11" s="230">
        <v>7971.5047679999998</v>
      </c>
      <c r="L11" s="230">
        <v>8589.4409414799993</v>
      </c>
      <c r="M11" s="230">
        <v>8572.7250050000002</v>
      </c>
      <c r="N11" s="230">
        <v>9241.1768100399986</v>
      </c>
      <c r="O11" s="230">
        <v>10330.36308718</v>
      </c>
      <c r="P11" s="230">
        <v>11685.45036375</v>
      </c>
      <c r="Q11" s="230">
        <v>11892.135028350001</v>
      </c>
      <c r="R11" s="230">
        <v>12315.349123649999</v>
      </c>
      <c r="S11" s="232"/>
      <c r="T11" s="550">
        <f t="shared" si="0"/>
        <v>3.5587730402580009E-2</v>
      </c>
      <c r="U11" s="550">
        <f t="shared" si="1"/>
        <v>0.33266026360085355</v>
      </c>
    </row>
    <row r="12" spans="1:27" s="231" customFormat="1" ht="13" customHeight="1">
      <c r="A12" s="229"/>
      <c r="B12" s="85" t="str">
        <f>IF('Summary | Sumário'!D$6=Names!B$3,Names!AN11,Names!AO11)</f>
        <v>PIX TPV</v>
      </c>
      <c r="C12" s="237">
        <v>0</v>
      </c>
      <c r="D12" s="232">
        <v>7496.17</v>
      </c>
      <c r="E12" s="232">
        <v>36808.78</v>
      </c>
      <c r="F12" s="232">
        <v>57865.009999999995</v>
      </c>
      <c r="G12" s="232">
        <v>80102.45</v>
      </c>
      <c r="H12" s="232">
        <v>94401.95</v>
      </c>
      <c r="I12" s="232">
        <v>97072.540000000008</v>
      </c>
      <c r="J12" s="232">
        <v>117925.45999999999</v>
      </c>
      <c r="K12" s="232">
        <v>138199.15000000002</v>
      </c>
      <c r="L12" s="232">
        <v>158392.04999999999</v>
      </c>
      <c r="M12" s="232">
        <v>162875.34000000003</v>
      </c>
      <c r="N12" s="232">
        <v>177349.25</v>
      </c>
      <c r="O12" s="232">
        <v>198231.50999999998</v>
      </c>
      <c r="P12" s="232">
        <v>229637.61</v>
      </c>
      <c r="Q12" s="232">
        <v>233956.64</v>
      </c>
      <c r="R12" s="232">
        <v>265864.09000000003</v>
      </c>
      <c r="S12" s="232"/>
      <c r="T12" s="549">
        <f t="shared" si="0"/>
        <v>0.13638189538027223</v>
      </c>
      <c r="U12" s="549">
        <f t="shared" si="1"/>
        <v>0.49909903763337038</v>
      </c>
      <c r="V12" s="236"/>
    </row>
    <row r="13" spans="1:27" ht="13" customHeight="1">
      <c r="B13" s="419" t="str">
        <f>IF('Summary | Sumário'!D$6=Names!B$3,Names!AN12,Names!AO12)</f>
        <v>Cards + PIX TPV</v>
      </c>
      <c r="C13" s="460">
        <f>SUM(C10:C12)</f>
        <v>2884.9661843599997</v>
      </c>
      <c r="D13" s="460">
        <f t="shared" ref="D13:M13" si="2">SUM(D10:D12)</f>
        <v>14813.963133000001</v>
      </c>
      <c r="E13" s="460">
        <f t="shared" si="2"/>
        <v>44391.004186999999</v>
      </c>
      <c r="F13" s="460">
        <f t="shared" si="2"/>
        <v>67300.925862999997</v>
      </c>
      <c r="G13" s="460">
        <f t="shared" si="2"/>
        <v>91718.114973999996</v>
      </c>
      <c r="H13" s="460">
        <f t="shared" si="2"/>
        <v>108628.557929</v>
      </c>
      <c r="I13" s="460">
        <f t="shared" si="2"/>
        <v>111155.74794700001</v>
      </c>
      <c r="J13" s="460">
        <f t="shared" si="2"/>
        <v>133968.84775699998</v>
      </c>
      <c r="K13" s="460">
        <f t="shared" si="2"/>
        <v>155436.50017700001</v>
      </c>
      <c r="L13" s="460">
        <f t="shared" si="2"/>
        <v>177515.24952345999</v>
      </c>
      <c r="M13" s="460">
        <f t="shared" si="2"/>
        <v>181361.33153205004</v>
      </c>
      <c r="N13" s="460">
        <f t="shared" ref="N13:O13" si="3">SUM(N10:N12)</f>
        <v>196991.98220934</v>
      </c>
      <c r="O13" s="460">
        <f t="shared" si="3"/>
        <v>219418.85998934996</v>
      </c>
      <c r="P13" s="460">
        <f t="shared" ref="P13:Q13" si="4">SUM(P10:P12)</f>
        <v>253479.63343943999</v>
      </c>
      <c r="Q13" s="460">
        <f t="shared" si="4"/>
        <v>257108.99231503002</v>
      </c>
      <c r="R13" s="460">
        <f t="shared" ref="R13" si="5">SUM(R10:R12)</f>
        <v>290187.42066855001</v>
      </c>
      <c r="S13" s="579"/>
      <c r="T13" s="541">
        <f t="shared" si="0"/>
        <v>0.12865527594223436</v>
      </c>
      <c r="U13" s="541">
        <f t="shared" si="1"/>
        <v>0.47309254627517183</v>
      </c>
    </row>
    <row r="14" spans="1:27" ht="13" customHeight="1">
      <c r="B14" s="224"/>
    </row>
    <row r="15" spans="1:27" ht="13" customHeight="1">
      <c r="B15" s="224"/>
    </row>
    <row r="16" spans="1:27" ht="13" customHeight="1">
      <c r="B16" s="224"/>
    </row>
    <row r="17" spans="2:8" ht="13" customHeight="1">
      <c r="B17" s="224"/>
    </row>
    <row r="18" spans="2:8" ht="13" customHeight="1">
      <c r="B18" s="224"/>
      <c r="H18" s="238"/>
    </row>
    <row r="19" spans="2:8" ht="13" customHeight="1">
      <c r="B19" s="224"/>
    </row>
    <row r="20" spans="2:8" ht="13" customHeight="1">
      <c r="B20" s="224"/>
    </row>
    <row r="21" spans="2:8" ht="13" customHeight="1">
      <c r="B21" s="224"/>
    </row>
    <row r="22" spans="2:8" ht="13" customHeight="1">
      <c r="B22" s="224"/>
    </row>
    <row r="23" spans="2:8" ht="13" customHeight="1">
      <c r="B23" s="224"/>
    </row>
    <row r="24" spans="2:8" ht="13" customHeight="1">
      <c r="B24" s="224"/>
    </row>
    <row r="25" spans="2:8" ht="13" customHeight="1">
      <c r="B25" s="224"/>
    </row>
    <row r="26" spans="2:8" ht="13" customHeight="1">
      <c r="B26" s="224"/>
    </row>
    <row r="27" spans="2:8" ht="13" customHeight="1">
      <c r="B27" s="223"/>
    </row>
    <row r="28" spans="2:8" ht="13" customHeight="1">
      <c r="B28" s="223"/>
    </row>
    <row r="29" spans="2:8" ht="13" customHeight="1">
      <c r="B29" s="223"/>
    </row>
    <row r="30" spans="2:8" ht="13" customHeight="1">
      <c r="B30" s="223"/>
    </row>
    <row r="31" spans="2:8" ht="13" customHeight="1">
      <c r="B31" s="223"/>
    </row>
    <row r="33" spans="2:2" ht="13" customHeight="1">
      <c r="B33" s="224"/>
    </row>
    <row r="34" spans="2:2" ht="13" customHeight="1">
      <c r="B34" s="225"/>
    </row>
    <row r="36" spans="2:2" ht="13" customHeight="1">
      <c r="B36" s="643"/>
    </row>
    <row r="37" spans="2:2" ht="13" customHeight="1">
      <c r="B37" s="643"/>
    </row>
    <row r="38" spans="2:2" ht="13" customHeight="1">
      <c r="B38" s="643"/>
    </row>
    <row r="39" spans="2:2" ht="13" customHeight="1">
      <c r="B39" s="643"/>
    </row>
    <row r="40" spans="2:2" ht="13" customHeight="1">
      <c r="B40" s="643"/>
    </row>
    <row r="41" spans="2:2" ht="13" customHeight="1">
      <c r="B41" s="643"/>
    </row>
    <row r="42" spans="2:2" ht="13" customHeight="1">
      <c r="B42" s="643"/>
    </row>
  </sheetData>
  <sheetProtection algorithmName="SHA-512" hashValue="29CyCDESHD+j+Jgh9aXrWlyxrnG7aboBRhbSVx2jupPPjS9m/dbptMEMgTbWwBYC3flWkYjcIqF53TP+I1c02g==" saltValue="qenU3oWfmF1BRPYKJekbaQ==" spinCount="100000" sheet="1" formatCells="0" formatColumns="0" formatRows="0" insertColumns="0" insertRows="0" insertHyperlinks="0" deleteColumns="0" deleteRows="0" sort="0" autoFilter="0" pivotTables="0"/>
  <mergeCells count="1">
    <mergeCell ref="B36:B42"/>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66C1-23EA-E249-9DA5-23C40ED20D73}">
  <sheetPr codeName="Sheet20">
    <tabColor rgb="FFFFCA96"/>
  </sheetPr>
  <dimension ref="B1:AA2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01" customWidth="1"/>
    <col min="3" max="12" width="10.83203125" style="202" customWidth="1"/>
    <col min="13" max="18" width="10.83203125" style="201"/>
    <col min="19" max="19" width="5.83203125" style="201" customWidth="1"/>
    <col min="20" max="16384" width="10.83203125" style="201"/>
  </cols>
  <sheetData>
    <row r="1" spans="2:27" ht="13" customHeight="1">
      <c r="M1" s="202"/>
      <c r="N1" s="202"/>
      <c r="O1" s="202"/>
      <c r="P1" s="202"/>
      <c r="Q1" s="202"/>
      <c r="R1" s="202"/>
      <c r="S1" s="656"/>
      <c r="T1" s="202"/>
      <c r="U1" s="202"/>
      <c r="V1" s="202"/>
    </row>
    <row r="2" spans="2:27" s="208" customFormat="1" ht="13" customHeight="1">
      <c r="B2" s="384" t="str">
        <f>IF('Summary | Sumário'!D$6=Names!B$3,Names!AP1,Names!AQ1)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385" t="str">
        <f>IF('Summary | Sumário'!D$6=Names!B$3,Names!E17,Names!F17)</f>
        <v>2Q24</v>
      </c>
      <c r="S2" s="496"/>
      <c r="T2" s="180" t="str">
        <f>IF('Summary | Sumário'!$D$6=Names!$B$3,Names!$I$24,Names!$J$24)</f>
        <v>QoQ Variation</v>
      </c>
      <c r="U2" s="180" t="str">
        <f>IF('Summary | Sumário'!$D$6=Names!$B$3,Names!$I$25,Names!$J$25)</f>
        <v>YoY Variation</v>
      </c>
      <c r="V2" s="204"/>
      <c r="W2" s="206"/>
      <c r="X2" s="207"/>
      <c r="Z2" s="209"/>
      <c r="AA2" s="210"/>
    </row>
    <row r="3" spans="2:27" ht="13" customHeight="1">
      <c r="B3" s="14"/>
      <c r="C3" s="212"/>
      <c r="D3" s="212"/>
      <c r="E3" s="213"/>
      <c r="F3" s="213"/>
      <c r="G3" s="213"/>
      <c r="H3" s="213"/>
      <c r="I3" s="213"/>
      <c r="J3" s="213"/>
      <c r="K3" s="213"/>
      <c r="L3" s="213"/>
      <c r="M3" s="213"/>
      <c r="N3" s="213"/>
      <c r="O3" s="213"/>
      <c r="P3" s="213"/>
      <c r="Q3" s="213"/>
      <c r="R3" s="213"/>
      <c r="S3" s="213"/>
      <c r="T3" s="213"/>
      <c r="U3" s="213"/>
      <c r="V3" s="213"/>
    </row>
    <row r="4" spans="2:27" ht="13" customHeight="1">
      <c r="B4" s="454" t="str">
        <f>IF('Summary | Sumário'!D$6=Names!B$3,Names!AP2,Names!AQ2)</f>
        <v>Operational KPIs</v>
      </c>
      <c r="C4" s="382"/>
      <c r="D4" s="382"/>
      <c r="E4" s="382"/>
      <c r="F4" s="382"/>
      <c r="G4" s="382"/>
      <c r="H4" s="382"/>
      <c r="I4" s="382"/>
      <c r="J4" s="382"/>
      <c r="K4" s="382"/>
      <c r="L4" s="382"/>
      <c r="M4" s="382"/>
      <c r="N4" s="382"/>
      <c r="O4" s="382"/>
      <c r="P4" s="382"/>
      <c r="Q4" s="382"/>
      <c r="R4" s="382"/>
      <c r="S4" s="382"/>
      <c r="T4" s="382"/>
      <c r="U4" s="382"/>
      <c r="V4" s="215"/>
    </row>
    <row r="5" spans="2:27" ht="13" customHeight="1">
      <c r="B5" s="441" t="str">
        <f>IF('Summary | Sumário'!D$6=Names!B$3,Names!AP3,Names!AQ3)</f>
        <v>CAC</v>
      </c>
      <c r="C5" s="461">
        <v>25.364349164674067</v>
      </c>
      <c r="D5" s="461">
        <v>26.795498202152629</v>
      </c>
      <c r="E5" s="461">
        <v>27.759999999999998</v>
      </c>
      <c r="F5" s="461">
        <v>27.22</v>
      </c>
      <c r="G5" s="461">
        <v>30.740000000000002</v>
      </c>
      <c r="H5" s="461">
        <v>28.79</v>
      </c>
      <c r="I5" s="461">
        <v>29.04</v>
      </c>
      <c r="J5" s="461">
        <v>32.090000000000003</v>
      </c>
      <c r="K5" s="461">
        <v>28.25</v>
      </c>
      <c r="L5" s="461">
        <v>30.44</v>
      </c>
      <c r="M5" s="461">
        <v>29.799999999999997</v>
      </c>
      <c r="N5" s="461">
        <v>27.06</v>
      </c>
      <c r="O5" s="461">
        <v>25.86</v>
      </c>
      <c r="P5" s="461">
        <v>24.645735842009003</v>
      </c>
      <c r="Q5" s="461">
        <v>28.91</v>
      </c>
      <c r="R5" s="461">
        <v>32.549999999999997</v>
      </c>
      <c r="S5" s="215"/>
      <c r="T5" s="592">
        <f>R5/Q5-1</f>
        <v>0.12590799031476996</v>
      </c>
      <c r="U5" s="592">
        <f>R5/N5-1</f>
        <v>0.20288248337028825</v>
      </c>
      <c r="V5" s="215"/>
    </row>
    <row r="6" spans="2:27" ht="13" customHeight="1">
      <c r="B6" s="175" t="str">
        <f>IF('Summary | Sumário'!D$6=Names!B$3,Names!AP5,Names!AQ5)</f>
        <v>Total clients (million)</v>
      </c>
      <c r="C6" s="649">
        <v>4.0590010000000003</v>
      </c>
      <c r="D6" s="649">
        <v>8.4555279999999993</v>
      </c>
      <c r="E6" s="649">
        <v>10.18338</v>
      </c>
      <c r="F6" s="649">
        <v>11.976032999999999</v>
      </c>
      <c r="G6" s="649">
        <v>13.905602</v>
      </c>
      <c r="H6" s="649">
        <v>16.348920827116658</v>
      </c>
      <c r="I6" s="649">
        <v>18.574000000000002</v>
      </c>
      <c r="J6" s="649">
        <v>20.724375999999999</v>
      </c>
      <c r="K6" s="649">
        <v>22.766031999999999</v>
      </c>
      <c r="L6" s="649">
        <v>24.662092999999999</v>
      </c>
      <c r="M6" s="649">
        <v>26.288263000000001</v>
      </c>
      <c r="N6" s="649">
        <v>27.774601000000001</v>
      </c>
      <c r="O6" s="649">
        <v>29.374635000000001</v>
      </c>
      <c r="P6" s="649">
        <v>30.363865000000001</v>
      </c>
      <c r="Q6" s="649">
        <v>31.722895999999999</v>
      </c>
      <c r="R6" s="649">
        <v>33.270463999999997</v>
      </c>
      <c r="S6" s="649"/>
      <c r="T6" s="650">
        <f>R6/Q6-1</f>
        <v>4.8783944567986515E-2</v>
      </c>
      <c r="U6" s="650">
        <f>R6/N6-1</f>
        <v>0.19787369762755525</v>
      </c>
      <c r="V6" s="217"/>
      <c r="W6" s="218"/>
    </row>
    <row r="7" spans="2:27" ht="13" customHeight="1">
      <c r="B7" s="610" t="str">
        <f>IF('Summary | Sumário'!D$6=Names!B$3,Names!AP6,Names!AQ6)</f>
        <v>Active clients (million)</v>
      </c>
      <c r="C7" s="651">
        <v>2.2826979999999999</v>
      </c>
      <c r="D7" s="651">
        <v>5.2522799999999998</v>
      </c>
      <c r="E7" s="651">
        <v>6.1326499999999999</v>
      </c>
      <c r="F7" s="651">
        <v>7.0629739999999996</v>
      </c>
      <c r="G7" s="651">
        <v>7.9664520000000003</v>
      </c>
      <c r="H7" s="651">
        <v>8.8263289999999994</v>
      </c>
      <c r="I7" s="651">
        <v>9.6228320000000007</v>
      </c>
      <c r="J7" s="651">
        <v>10.716208999999999</v>
      </c>
      <c r="K7" s="651">
        <v>11.649274</v>
      </c>
      <c r="L7" s="651">
        <v>12.584403999999999</v>
      </c>
      <c r="M7" s="651">
        <v>13.540568</v>
      </c>
      <c r="N7" s="651">
        <v>14.494907</v>
      </c>
      <c r="O7" s="651">
        <v>15.47322</v>
      </c>
      <c r="P7" s="651">
        <v>16.405394000000001</v>
      </c>
      <c r="Q7" s="651">
        <v>17.413702000000001</v>
      </c>
      <c r="R7" s="651">
        <v>18.401989</v>
      </c>
      <c r="S7" s="219"/>
      <c r="T7" s="652">
        <f>R7/Q7-1</f>
        <v>5.6753411767354267E-2</v>
      </c>
      <c r="U7" s="652">
        <f>R7/N7-1</f>
        <v>0.26954860765922817</v>
      </c>
      <c r="V7" s="219"/>
    </row>
    <row r="8" spans="2:27" ht="13" customHeight="1">
      <c r="B8" s="175" t="str">
        <f>IF('Summary | Sumário'!D$6=Names!B$3,Names!AP7,Names!AQ7)</f>
        <v>Longevity ratio (clients more than 1 year old at Inter) (%)</v>
      </c>
      <c r="C8" s="220">
        <v>0.35773211191620791</v>
      </c>
      <c r="D8" s="220">
        <v>0.48004110447035359</v>
      </c>
      <c r="E8" s="220">
        <v>0.48479129719209141</v>
      </c>
      <c r="F8" s="220">
        <v>0.49302093606455494</v>
      </c>
      <c r="G8" s="220">
        <v>0.51438636025969964</v>
      </c>
      <c r="H8" s="220">
        <v>0.51719181280610804</v>
      </c>
      <c r="I8" s="220">
        <v>0.54825993324001288</v>
      </c>
      <c r="J8" s="220">
        <v>0.57787182591167041</v>
      </c>
      <c r="K8" s="220">
        <v>0.61080481657936703</v>
      </c>
      <c r="L8" s="220">
        <v>0.66291700494019945</v>
      </c>
      <c r="M8" s="220">
        <v>0.70655105664455653</v>
      </c>
      <c r="N8" s="220">
        <v>0.74616287017048422</v>
      </c>
      <c r="O8" s="220">
        <v>0.77502348539820154</v>
      </c>
      <c r="P8" s="220">
        <v>0.81221850380378124</v>
      </c>
      <c r="Q8" s="220">
        <v>0.82868420966358181</v>
      </c>
      <c r="R8" s="220">
        <v>0.83481255326045345</v>
      </c>
      <c r="S8" s="220"/>
      <c r="T8" s="594">
        <f t="shared" ref="T8:T9" si="0">(R8-Q8)*100</f>
        <v>0.61283435968716438</v>
      </c>
      <c r="U8" s="594">
        <f t="shared" ref="U8:U9" si="1">(R8-N8)*100</f>
        <v>8.8649683089969233</v>
      </c>
      <c r="V8" s="220"/>
    </row>
    <row r="9" spans="2:27" ht="13" customHeight="1">
      <c r="B9" s="610" t="str">
        <f>IF('Summary | Sumário'!D$6=Names!B$3,Names!AP8,Names!AQ8)</f>
        <v>Activity rate (%)</v>
      </c>
      <c r="C9" s="653">
        <v>0.56237926524285164</v>
      </c>
      <c r="D9" s="653">
        <v>0.62116523060416806</v>
      </c>
      <c r="E9" s="653">
        <v>0.60222146281490041</v>
      </c>
      <c r="F9" s="653">
        <v>0.5897590629551539</v>
      </c>
      <c r="G9" s="653">
        <v>0.57289515405374036</v>
      </c>
      <c r="H9" s="653">
        <v>0.53987227006203786</v>
      </c>
      <c r="I9" s="653">
        <v>0.51808075804888554</v>
      </c>
      <c r="J9" s="653">
        <v>0.5170823478593517</v>
      </c>
      <c r="K9" s="653">
        <v>0.51169540656008916</v>
      </c>
      <c r="L9" s="653">
        <v>0.51027315483726376</v>
      </c>
      <c r="M9" s="653">
        <v>0.51508036114824318</v>
      </c>
      <c r="N9" s="653">
        <v>0.52187633586527493</v>
      </c>
      <c r="O9" s="653">
        <v>0.52675446009797233</v>
      </c>
      <c r="P9" s="653">
        <v>0.54029333880914043</v>
      </c>
      <c r="Q9" s="653">
        <v>0.54893166122033754</v>
      </c>
      <c r="R9" s="653">
        <v>0.5531028662539843</v>
      </c>
      <c r="S9" s="221"/>
      <c r="T9" s="654">
        <f t="shared" si="0"/>
        <v>0.41712050336467632</v>
      </c>
      <c r="U9" s="654">
        <f t="shared" si="1"/>
        <v>3.1226530388709373</v>
      </c>
      <c r="V9" s="221"/>
    </row>
    <row r="10" spans="2:27" ht="13" customHeight="1">
      <c r="B10" s="175" t="str">
        <f>IF('Summary | Sumário'!D$6=Names!B$3,Names!AP9,Names!AQ9)</f>
        <v>Headcount</v>
      </c>
      <c r="C10" s="216">
        <v>1628</v>
      </c>
      <c r="D10" s="216">
        <v>2128</v>
      </c>
      <c r="E10" s="216">
        <v>2452</v>
      </c>
      <c r="F10" s="216">
        <v>2972</v>
      </c>
      <c r="G10" s="216">
        <v>3447</v>
      </c>
      <c r="H10" s="216">
        <v>3900</v>
      </c>
      <c r="I10" s="216">
        <v>3805</v>
      </c>
      <c r="J10" s="216">
        <v>4047</v>
      </c>
      <c r="K10" s="216">
        <v>4057</v>
      </c>
      <c r="L10" s="216">
        <v>4081</v>
      </c>
      <c r="M10" s="216">
        <v>3828</v>
      </c>
      <c r="N10" s="216">
        <v>3433</v>
      </c>
      <c r="O10" s="216">
        <v>3266</v>
      </c>
      <c r="P10" s="216">
        <v>3319</v>
      </c>
      <c r="Q10" s="216">
        <v>3336</v>
      </c>
      <c r="R10" s="216">
        <v>3653</v>
      </c>
      <c r="S10" s="216"/>
      <c r="T10" s="593">
        <f>R10/Q10-1</f>
        <v>9.5023980815347686E-2</v>
      </c>
      <c r="U10" s="593">
        <f>R10/N10-1</f>
        <v>6.4083891639965085E-2</v>
      </c>
      <c r="V10" s="216"/>
    </row>
    <row r="11" spans="2:27" ht="13" customHeight="1">
      <c r="B11" s="610" t="str">
        <f>IF('Summary | Sumário'!D$6=Names!B$3,Names!AP10,Names!AQ10)</f>
        <v>Active clients per employee (thousands)</v>
      </c>
      <c r="C11" s="655">
        <f>C7*1000/C10</f>
        <v>1.4021486486486485</v>
      </c>
      <c r="D11" s="655">
        <f t="shared" ref="D11:N11" si="2">D7*1000/D10</f>
        <v>2.4681766917293233</v>
      </c>
      <c r="E11" s="655">
        <f t="shared" si="2"/>
        <v>2.5010807504078301</v>
      </c>
      <c r="F11" s="655">
        <f t="shared" si="2"/>
        <v>2.3765053835800805</v>
      </c>
      <c r="G11" s="655">
        <f t="shared" si="2"/>
        <v>2.3111261966927765</v>
      </c>
      <c r="H11" s="655">
        <f t="shared" si="2"/>
        <v>2.2631612820512821</v>
      </c>
      <c r="I11" s="655">
        <f t="shared" si="2"/>
        <v>2.5289965834428383</v>
      </c>
      <c r="J11" s="655">
        <f t="shared" si="2"/>
        <v>2.6479389671361502</v>
      </c>
      <c r="K11" s="655">
        <f t="shared" si="2"/>
        <v>2.8714010352477199</v>
      </c>
      <c r="L11" s="655">
        <f t="shared" si="2"/>
        <v>3.0836569468267578</v>
      </c>
      <c r="M11" s="655">
        <f t="shared" si="2"/>
        <v>3.5372434691745038</v>
      </c>
      <c r="N11" s="655">
        <f t="shared" si="2"/>
        <v>4.2222274978153216</v>
      </c>
      <c r="O11" s="655">
        <f t="shared" ref="O11:P11" si="3">O7*1000/O10</f>
        <v>4.7376668707899565</v>
      </c>
      <c r="P11" s="655">
        <f t="shared" si="3"/>
        <v>4.942872551973486</v>
      </c>
      <c r="Q11" s="655">
        <f t="shared" ref="Q11:R11" si="4">Q7*1000/Q10</f>
        <v>5.2199346522781775</v>
      </c>
      <c r="R11" s="655">
        <f t="shared" si="4"/>
        <v>5.0375004106214076</v>
      </c>
      <c r="S11" s="222"/>
      <c r="T11" s="653">
        <f>R11/Q11-1</f>
        <v>-3.4949525963346773E-2</v>
      </c>
      <c r="U11" s="653">
        <f>R11/N11-1</f>
        <v>0.1930907117695404</v>
      </c>
      <c r="V11" s="222"/>
    </row>
    <row r="12" spans="2:27" ht="13" customHeight="1">
      <c r="B12" s="223"/>
      <c r="S12" s="657"/>
    </row>
    <row r="13" spans="2:27" ht="13" customHeight="1">
      <c r="B13" s="223"/>
      <c r="S13" s="657"/>
    </row>
    <row r="14" spans="2:27" ht="13" customHeight="1">
      <c r="B14" s="223"/>
      <c r="S14" s="657"/>
    </row>
    <row r="15" spans="2:27" ht="13" customHeight="1">
      <c r="S15" s="657"/>
    </row>
    <row r="16" spans="2:27" ht="13" customHeight="1">
      <c r="B16" s="224"/>
      <c r="S16" s="657"/>
    </row>
    <row r="17" spans="2:19" ht="13" customHeight="1">
      <c r="B17" s="225"/>
      <c r="S17" s="657"/>
    </row>
    <row r="19" spans="2:19" ht="13" customHeight="1">
      <c r="B19" s="643"/>
    </row>
    <row r="20" spans="2:19" ht="13" customHeight="1">
      <c r="B20" s="643"/>
    </row>
    <row r="21" spans="2:19" ht="13" customHeight="1">
      <c r="B21" s="643"/>
    </row>
    <row r="22" spans="2:19" ht="13" customHeight="1">
      <c r="B22" s="643"/>
      <c r="D22" s="227"/>
    </row>
    <row r="23" spans="2:19" ht="13" customHeight="1">
      <c r="B23" s="643"/>
      <c r="J23" s="226"/>
    </row>
    <row r="24" spans="2:19" ht="13" customHeight="1">
      <c r="B24" s="643"/>
    </row>
    <row r="25" spans="2:19" ht="13" customHeight="1">
      <c r="B25" s="643"/>
    </row>
  </sheetData>
  <sheetProtection algorithmName="SHA-512" hashValue="QjRA3bvMHvNSHO4O++j29nXmitLUNdJwCuu/9/fhTIGPccjryOp9m4Fo9n5y86/810Cs/bCAc9t5XAzb0ktXEg==" saltValue="tWFr5o7rGrW8CV1kYZb6NA==" spinCount="100000" sheet="1" formatCells="0" formatColumns="0" formatRows="0" insertColumns="0" insertRows="0" insertHyperlinks="0" deleteColumns="0" deleteRows="0" sort="0" autoFilter="0" pivotTables="0"/>
  <mergeCells count="1">
    <mergeCell ref="B19:B25"/>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Z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01" customWidth="1"/>
    <col min="2" max="2" width="68.33203125" style="201" customWidth="1"/>
    <col min="3" max="16" width="10.83203125" style="201"/>
    <col min="17" max="17" width="5.83203125" style="201" customWidth="1"/>
    <col min="18" max="19" width="10.83203125" style="201"/>
    <col min="20" max="20" width="5.83203125" style="201" customWidth="1"/>
    <col min="21" max="21" width="129.6640625" style="201" bestFit="1" customWidth="1"/>
    <col min="22" max="16384" width="10.83203125" style="201"/>
  </cols>
  <sheetData>
    <row r="1" spans="2:26" ht="13" customHeight="1">
      <c r="C1" s="202"/>
      <c r="D1" s="202"/>
      <c r="E1" s="202"/>
      <c r="F1" s="202"/>
      <c r="G1" s="202"/>
      <c r="H1" s="202"/>
      <c r="I1" s="202"/>
      <c r="J1" s="202"/>
      <c r="K1" s="202"/>
      <c r="L1" s="202"/>
      <c r="M1" s="202"/>
      <c r="N1" s="202"/>
      <c r="O1" s="202"/>
      <c r="P1" s="202"/>
      <c r="Q1" s="202"/>
      <c r="R1" s="202"/>
      <c r="S1" s="202"/>
      <c r="T1" s="202"/>
      <c r="U1" s="202"/>
    </row>
    <row r="2" spans="2:26" s="208" customFormat="1" ht="13" customHeight="1">
      <c r="B2" s="384" t="str">
        <f>IF('Summary | Sumário'!D$6=Names!B$3,Names!BR1,Names!BS1)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385" t="str">
        <f>IF('Summary | Sumário'!D$6=Names!B$3,Names!E17,Names!F17)</f>
        <v>2Q24</v>
      </c>
      <c r="Q2" s="496"/>
      <c r="R2" s="180" t="str">
        <f>IF('Summary | Sumário'!$D$6=Names!$B$3,Names!$I$24,Names!$J$24)</f>
        <v>QoQ Variation</v>
      </c>
      <c r="S2" s="180" t="str">
        <f>IF('Summary | Sumário'!$D$6=Names!$B$3,Names!$I$25,Names!$J$25)</f>
        <v>YoY Variation</v>
      </c>
      <c r="T2" s="180"/>
      <c r="U2" s="204"/>
      <c r="V2" s="206"/>
      <c r="W2" s="207"/>
      <c r="Y2" s="209"/>
      <c r="Z2" s="210"/>
    </row>
    <row r="3" spans="2:26" ht="13" customHeight="1">
      <c r="B3" s="14"/>
      <c r="C3" s="213"/>
      <c r="D3" s="213"/>
      <c r="E3" s="213"/>
      <c r="F3" s="213"/>
      <c r="G3" s="213"/>
      <c r="H3" s="213"/>
      <c r="I3" s="213"/>
      <c r="J3" s="213"/>
      <c r="K3" s="213"/>
      <c r="L3" s="213"/>
      <c r="M3" s="213"/>
      <c r="N3" s="213"/>
      <c r="O3" s="213"/>
      <c r="P3" s="213"/>
      <c r="Q3" s="213"/>
      <c r="R3" s="213"/>
      <c r="S3" s="213"/>
      <c r="T3" s="213"/>
      <c r="U3" s="213"/>
    </row>
    <row r="4" spans="2:26" ht="13" customHeight="1">
      <c r="B4" s="454" t="str">
        <f>IF('Summary | Sumário'!D$6=Names!B$3,Names!BR4,Names!BS4)</f>
        <v>Banking Accounts</v>
      </c>
      <c r="C4" s="382"/>
      <c r="D4" s="382"/>
      <c r="E4" s="382"/>
      <c r="F4" s="382"/>
      <c r="G4" s="382"/>
      <c r="H4" s="382"/>
      <c r="I4" s="382"/>
      <c r="J4" s="382"/>
      <c r="K4" s="382"/>
      <c r="L4" s="382"/>
      <c r="M4" s="382"/>
      <c r="N4" s="382"/>
      <c r="O4" s="382"/>
      <c r="P4" s="382"/>
      <c r="Q4" s="382"/>
      <c r="R4" s="382"/>
      <c r="S4" s="382"/>
      <c r="T4" s="382"/>
      <c r="U4" s="605" t="str">
        <f>IF('Summary | Sumário'!D$6=Names!B$3,Names!BR2,Names!BS2)</f>
        <v>Source</v>
      </c>
    </row>
    <row r="5" spans="2:26" ht="13" customHeight="1">
      <c r="B5" s="608" t="str">
        <f>IF('Summary | Sumário'!D$6=Names!B$3,Names!BR5,Names!BS5)</f>
        <v>Individual with Banking Accounts</v>
      </c>
      <c r="C5" s="609">
        <v>180.230211</v>
      </c>
      <c r="D5" s="609">
        <v>181.31761900000001</v>
      </c>
      <c r="E5" s="609">
        <v>182.49014099999999</v>
      </c>
      <c r="F5" s="609">
        <v>182.21805499999999</v>
      </c>
      <c r="G5" s="609">
        <v>183.36628300000001</v>
      </c>
      <c r="H5" s="609">
        <v>184.76697899999999</v>
      </c>
      <c r="I5" s="609">
        <v>186.43217199999998</v>
      </c>
      <c r="J5" s="609">
        <v>188.33574200000001</v>
      </c>
      <c r="K5" s="609">
        <v>190.285642</v>
      </c>
      <c r="L5" s="609">
        <v>191.557106</v>
      </c>
      <c r="M5" s="609">
        <v>192.98458300000001</v>
      </c>
      <c r="N5" s="609">
        <v>194.119812</v>
      </c>
      <c r="O5" s="609">
        <v>196.06822599999998</v>
      </c>
      <c r="P5" s="609">
        <v>197.62343799999999</v>
      </c>
      <c r="Q5" s="215"/>
      <c r="R5" s="623">
        <f>P5/O5-1</f>
        <v>7.9319940396667121E-3</v>
      </c>
      <c r="S5" s="623">
        <f>P5/L5-1</f>
        <v>3.1668530218868396E-2</v>
      </c>
      <c r="T5" s="215"/>
      <c r="U5" s="631" t="str">
        <f>Names!BT5</f>
        <v>Estatísticas do CCS - Banco Central do Brasil</v>
      </c>
      <c r="V5" s="632"/>
    </row>
    <row r="6" spans="2:26" ht="13" customHeight="1">
      <c r="B6" s="175" t="str">
        <f>IF('Summary | Sumário'!D$6=Names!B$3,Names!BR6,Names!BS6)</f>
        <v>Business with Banking Accounts</v>
      </c>
      <c r="C6" s="215">
        <v>13.669084999999999</v>
      </c>
      <c r="D6" s="215">
        <v>14.088994000000001</v>
      </c>
      <c r="E6" s="215">
        <v>14.457945</v>
      </c>
      <c r="F6" s="215">
        <v>14.997128</v>
      </c>
      <c r="G6" s="215">
        <v>15.612392</v>
      </c>
      <c r="H6" s="215">
        <v>16.169655000000002</v>
      </c>
      <c r="I6" s="215">
        <v>16.966272</v>
      </c>
      <c r="J6" s="215">
        <v>17.540289000000001</v>
      </c>
      <c r="K6" s="215">
        <v>18.049762999999999</v>
      </c>
      <c r="L6" s="215">
        <v>18.617251</v>
      </c>
      <c r="M6" s="215">
        <v>19.128495999999998</v>
      </c>
      <c r="N6" s="215">
        <v>19.621282000000001</v>
      </c>
      <c r="O6" s="215">
        <v>20.171491999999997</v>
      </c>
      <c r="P6" s="215">
        <v>20.718002000000002</v>
      </c>
      <c r="Q6" s="216"/>
      <c r="R6" s="593">
        <f>P6/O6-1</f>
        <v>2.709318676080108E-2</v>
      </c>
      <c r="S6" s="593">
        <f>P6/L6-1</f>
        <v>0.11283894706044428</v>
      </c>
      <c r="T6" s="216"/>
      <c r="U6" s="633" t="str">
        <f>Names!BT6</f>
        <v>Estatísticas do CCS - Banco Central do Brasil</v>
      </c>
      <c r="V6" s="632"/>
    </row>
    <row r="7" spans="2:26" ht="13" customHeight="1">
      <c r="B7" s="610"/>
      <c r="C7" s="611"/>
      <c r="D7" s="611"/>
      <c r="E7" s="611"/>
      <c r="F7" s="611"/>
      <c r="G7" s="611"/>
      <c r="H7" s="611"/>
      <c r="I7" s="611"/>
      <c r="J7" s="611"/>
      <c r="K7" s="611"/>
      <c r="L7" s="611"/>
      <c r="M7" s="611"/>
      <c r="N7" s="611"/>
      <c r="O7" s="611"/>
      <c r="P7" s="611"/>
      <c r="Q7" s="217"/>
      <c r="R7" s="611"/>
      <c r="S7" s="611"/>
      <c r="T7" s="217"/>
      <c r="U7" s="612"/>
      <c r="V7" s="218"/>
    </row>
    <row r="8" spans="2:26" ht="13" customHeight="1">
      <c r="B8" s="454" t="str">
        <f>IF('Summary | Sumário'!D$6=Names!B$3,Names!BR9,Names!BS9)</f>
        <v>TPV</v>
      </c>
      <c r="C8" s="219"/>
      <c r="D8" s="219"/>
      <c r="E8" s="219"/>
      <c r="F8" s="219"/>
      <c r="G8" s="219"/>
      <c r="H8" s="219"/>
      <c r="I8" s="219"/>
      <c r="J8" s="219"/>
      <c r="K8" s="219"/>
      <c r="L8" s="219"/>
      <c r="M8" s="219"/>
      <c r="N8" s="219"/>
      <c r="O8" s="219"/>
      <c r="P8" s="219"/>
      <c r="Q8" s="219"/>
      <c r="R8" s="219"/>
      <c r="S8" s="219"/>
      <c r="T8" s="219"/>
      <c r="U8" s="606"/>
    </row>
    <row r="9" spans="2:26" ht="13" customHeight="1">
      <c r="B9" s="608" t="str">
        <f>IF('Summary | Sumário'!D$6=Names!B$3,Names!BR10,Names!BS10)</f>
        <v>PIX</v>
      </c>
      <c r="C9" s="609"/>
      <c r="D9" s="609"/>
      <c r="E9" s="609"/>
      <c r="F9" s="609"/>
      <c r="G9" s="609"/>
      <c r="H9" s="609"/>
      <c r="I9" s="609"/>
      <c r="J9" s="609"/>
      <c r="K9" s="609"/>
      <c r="L9" s="609"/>
      <c r="M9" s="609"/>
      <c r="N9" s="609"/>
      <c r="O9" s="609"/>
      <c r="P9" s="609"/>
      <c r="Q9" s="215"/>
      <c r="R9" s="609"/>
      <c r="S9" s="609"/>
      <c r="T9" s="215"/>
      <c r="U9" s="631" t="str">
        <f>Names!BT11</f>
        <v>Sistema de Pagamentos Brasileiro (SPB) - Estatísticas do Pix - Banco Central do Brasil</v>
      </c>
      <c r="V9" s="632"/>
    </row>
    <row r="10" spans="2:26" ht="13" customHeight="1">
      <c r="B10" s="603" t="str">
        <f>IF('Summary | Sumário'!D$6=Names!B$3,Names!BR11,Names!BS11)</f>
        <v>PIX Transactions</v>
      </c>
      <c r="C10" s="627">
        <v>727.64367799999991</v>
      </c>
      <c r="D10" s="627">
        <v>1579.9677749999998</v>
      </c>
      <c r="E10" s="627">
        <v>2432.0838009999998</v>
      </c>
      <c r="F10" s="627">
        <v>3239.403785</v>
      </c>
      <c r="G10" s="627">
        <v>3618.2862179999997</v>
      </c>
      <c r="H10" s="627">
        <v>4628.8793930000002</v>
      </c>
      <c r="I10" s="627">
        <v>5530.5009110000001</v>
      </c>
      <c r="J10" s="627">
        <v>6575.9385599999996</v>
      </c>
      <c r="K10" s="627">
        <v>6882.7202810000008</v>
      </c>
      <c r="L10" s="627">
        <v>8136.4115810000003</v>
      </c>
      <c r="M10" s="627">
        <v>9706.8342559999983</v>
      </c>
      <c r="N10" s="627">
        <v>11473.387352</v>
      </c>
      <c r="O10" s="627">
        <v>12020.651478</v>
      </c>
      <c r="P10" s="627">
        <v>13623.234329999999</v>
      </c>
      <c r="Q10" s="221"/>
      <c r="R10" s="221">
        <f>P10/O10-1</f>
        <v>0.13331913456878941</v>
      </c>
      <c r="S10" s="221">
        <f>P10/L10-1</f>
        <v>0.67435412950504214</v>
      </c>
      <c r="T10" s="221"/>
      <c r="U10" s="634"/>
      <c r="V10" s="632"/>
    </row>
    <row r="11" spans="2:26" ht="13" customHeight="1">
      <c r="B11" s="613" t="str">
        <f>IF('Summary | Sumário'!D$6=Names!B$3,Names!BR12,Names!BS12)</f>
        <v>PIX TPV (R$)</v>
      </c>
      <c r="C11" s="614">
        <v>545865.52816126042</v>
      </c>
      <c r="D11" s="614">
        <v>962345.47765108012</v>
      </c>
      <c r="E11" s="614">
        <v>1351068.3827956303</v>
      </c>
      <c r="F11" s="614">
        <v>1662837.6549495156</v>
      </c>
      <c r="G11" s="614">
        <v>1806516.4732325375</v>
      </c>
      <c r="H11" s="614">
        <v>2223822.2405896918</v>
      </c>
      <c r="I11" s="614">
        <v>2578950.3366389298</v>
      </c>
      <c r="J11" s="614">
        <v>2865663.1767627192</v>
      </c>
      <c r="K11" s="614">
        <v>2959895.7995207496</v>
      </c>
      <c r="L11" s="614">
        <v>3333287.8986781244</v>
      </c>
      <c r="M11" s="614">
        <v>3771040.8591022328</v>
      </c>
      <c r="N11" s="614">
        <v>4402723.7532800706</v>
      </c>
      <c r="O11" s="614">
        <v>4498296.7634392958</v>
      </c>
      <c r="P11" s="614">
        <v>5283406.6412520343</v>
      </c>
      <c r="Q11" s="216"/>
      <c r="R11" s="624">
        <f>P11/O11-1</f>
        <v>0.17453492268314941</v>
      </c>
      <c r="S11" s="624">
        <f>P11/L11-1</f>
        <v>0.58504359714840848</v>
      </c>
      <c r="T11" s="216"/>
      <c r="U11" s="635"/>
      <c r="V11" s="632"/>
    </row>
    <row r="12" spans="2:26" ht="13" customHeight="1">
      <c r="B12" s="175"/>
      <c r="C12" s="222"/>
      <c r="D12" s="222"/>
      <c r="E12" s="222"/>
      <c r="F12" s="222"/>
      <c r="G12" s="222"/>
      <c r="H12" s="222"/>
      <c r="I12" s="222"/>
      <c r="J12" s="222"/>
      <c r="K12" s="222"/>
      <c r="L12" s="222"/>
      <c r="M12" s="222"/>
      <c r="N12" s="222"/>
      <c r="O12" s="222"/>
      <c r="P12" s="222"/>
      <c r="Q12" s="222"/>
      <c r="R12" s="222"/>
      <c r="S12" s="222"/>
      <c r="T12" s="222"/>
      <c r="U12" s="634"/>
      <c r="V12" s="632"/>
    </row>
    <row r="13" spans="2:26" ht="13" customHeight="1">
      <c r="B13" s="615" t="str">
        <f>IF('Summary | Sumário'!D$6=Names!B$3,Names!BR14,Names!BS14)</f>
        <v>Cards</v>
      </c>
      <c r="C13" s="286">
        <f>SUM(C14:C15)</f>
        <v>551594.81716864998</v>
      </c>
      <c r="D13" s="286">
        <f t="shared" ref="D13:O13" si="0">SUM(D14:D15)</f>
        <v>612846.06840559002</v>
      </c>
      <c r="E13" s="286">
        <f t="shared" si="0"/>
        <v>692371.84696538001</v>
      </c>
      <c r="F13" s="286">
        <f t="shared" si="0"/>
        <v>804700.99335999996</v>
      </c>
      <c r="G13" s="286">
        <f t="shared" si="0"/>
        <v>759580.80351282004</v>
      </c>
      <c r="H13" s="286">
        <f t="shared" si="0"/>
        <v>838978.6327822</v>
      </c>
      <c r="I13" s="286">
        <f t="shared" si="0"/>
        <v>859690.55681608</v>
      </c>
      <c r="J13" s="286">
        <f t="shared" si="0"/>
        <v>935571.04112141998</v>
      </c>
      <c r="K13" s="286">
        <f t="shared" si="0"/>
        <v>866587.21779132006</v>
      </c>
      <c r="L13" s="286">
        <f t="shared" si="0"/>
        <v>901443.90171081002</v>
      </c>
      <c r="M13" s="286">
        <f t="shared" si="0"/>
        <v>939364.28888279013</v>
      </c>
      <c r="N13" s="286">
        <f t="shared" si="0"/>
        <v>1027659.1749756201</v>
      </c>
      <c r="O13" s="286">
        <f t="shared" si="0"/>
        <v>964955.67656156002</v>
      </c>
      <c r="P13" s="281" t="s">
        <v>889</v>
      </c>
      <c r="R13" s="281"/>
      <c r="S13" s="281"/>
      <c r="U13" s="636" t="str">
        <f>Names!BT15</f>
        <v>Associação Brasileira das Empresas de Cartões de Crédito e Serviços - Sistema de Informações – Monitor Abecs</v>
      </c>
      <c r="V13" s="632"/>
    </row>
    <row r="14" spans="2:26" ht="13" customHeight="1">
      <c r="B14" s="223" t="str">
        <f>IF('Summary | Sumário'!D$6=Names!B$3,Names!BR15,Names!BS15)</f>
        <v>Credit Cards TPV (R$)</v>
      </c>
      <c r="C14" s="627">
        <v>328732.62769512</v>
      </c>
      <c r="D14" s="627">
        <v>371188.10881687998</v>
      </c>
      <c r="E14" s="627">
        <v>422362.66261727002</v>
      </c>
      <c r="F14" s="627">
        <v>497588.82791405002</v>
      </c>
      <c r="G14" s="627">
        <v>479099.28373640002</v>
      </c>
      <c r="H14" s="627">
        <v>531307.87166443001</v>
      </c>
      <c r="I14" s="627">
        <v>548190.46782451996</v>
      </c>
      <c r="J14" s="627">
        <v>589132.52756351</v>
      </c>
      <c r="K14" s="627">
        <v>555194.36013382999</v>
      </c>
      <c r="L14" s="627">
        <v>580490.58106495999</v>
      </c>
      <c r="M14" s="627">
        <v>608077.80291872006</v>
      </c>
      <c r="N14" s="627">
        <v>664644.18698012002</v>
      </c>
      <c r="O14" s="627">
        <v>635249.28854787</v>
      </c>
      <c r="P14" s="627" t="s">
        <v>889</v>
      </c>
      <c r="R14" s="468" t="str">
        <f>IFERROR(P14/O14-1,"n.a.")</f>
        <v>n.a.</v>
      </c>
      <c r="S14" s="468" t="str">
        <f>IFERROR(P14/L14-1,"n.a.")</f>
        <v>n.a.</v>
      </c>
      <c r="U14" s="607"/>
    </row>
    <row r="15" spans="2:26" ht="13" customHeight="1">
      <c r="B15" s="618" t="str">
        <f>IF('Summary | Sumário'!D$6=Names!B$3,Names!BR16,Names!BS16)</f>
        <v>Debt Card TPV (R$)</v>
      </c>
      <c r="C15" s="614">
        <v>222862.18947352996</v>
      </c>
      <c r="D15" s="614">
        <v>241657.95958871001</v>
      </c>
      <c r="E15" s="614">
        <v>270009.18434810999</v>
      </c>
      <c r="F15" s="614">
        <v>307112.16544595</v>
      </c>
      <c r="G15" s="614">
        <v>280481.51977642003</v>
      </c>
      <c r="H15" s="614">
        <v>307670.76111776999</v>
      </c>
      <c r="I15" s="614">
        <v>311500.08899156004</v>
      </c>
      <c r="J15" s="614">
        <v>346438.51355790999</v>
      </c>
      <c r="K15" s="614">
        <v>311392.85765749001</v>
      </c>
      <c r="L15" s="614">
        <v>320953.32064585004</v>
      </c>
      <c r="M15" s="614">
        <v>331286.48596407002</v>
      </c>
      <c r="N15" s="614">
        <v>363014.98799550004</v>
      </c>
      <c r="O15" s="614">
        <v>329706.38801369001</v>
      </c>
      <c r="P15" s="614" t="s">
        <v>889</v>
      </c>
      <c r="R15" s="626" t="str">
        <f>IFERROR(P15/O15-1,"n.a.")</f>
        <v>n.a.</v>
      </c>
      <c r="S15" s="626" t="str">
        <f>IFERROR(P15/L15-1,"n.a.")</f>
        <v>n.a.</v>
      </c>
      <c r="U15" s="619"/>
    </row>
    <row r="16" spans="2:26" ht="13" customHeight="1">
      <c r="R16" s="202"/>
      <c r="S16" s="202"/>
      <c r="U16" s="257"/>
    </row>
    <row r="17" spans="2:22" ht="13" customHeight="1">
      <c r="B17" s="620" t="str">
        <f>IF('Summary | Sumário'!D$6=Names!B$3,Names!BR18,Names!BS18)</f>
        <v>Loan Portfolio (R$)</v>
      </c>
      <c r="C17" s="616"/>
      <c r="D17" s="616"/>
      <c r="E17" s="616"/>
      <c r="F17" s="616"/>
      <c r="G17" s="616"/>
      <c r="H17" s="616"/>
      <c r="I17" s="616"/>
      <c r="J17" s="616"/>
      <c r="K17" s="616"/>
      <c r="L17" s="616"/>
      <c r="M17" s="616"/>
      <c r="N17" s="616"/>
      <c r="O17" s="616"/>
      <c r="P17" s="616"/>
      <c r="R17" s="281"/>
      <c r="S17" s="281"/>
      <c r="U17" s="617"/>
    </row>
    <row r="18" spans="2:22" ht="13" customHeight="1">
      <c r="B18" s="602" t="str">
        <f>IF('Summary | Sumário'!D$6=Names!B$3,Names!BR20,Names!BS20)</f>
        <v>Total Loan Portfolio</v>
      </c>
      <c r="C18" s="628">
        <v>3665826</v>
      </c>
      <c r="D18" s="628">
        <v>3786218</v>
      </c>
      <c r="E18" s="628">
        <v>4007693</v>
      </c>
      <c r="F18" s="628">
        <v>4250123</v>
      </c>
      <c r="G18" s="628">
        <v>4361729</v>
      </c>
      <c r="H18" s="628">
        <v>4530587</v>
      </c>
      <c r="I18" s="628">
        <v>4720766</v>
      </c>
      <c r="J18" s="628">
        <v>4904576</v>
      </c>
      <c r="K18" s="628">
        <v>4966956</v>
      </c>
      <c r="L18" s="628">
        <v>5025329</v>
      </c>
      <c r="M18" s="628">
        <v>5154196</v>
      </c>
      <c r="N18" s="628">
        <v>5321774</v>
      </c>
      <c r="O18" s="628">
        <v>5425367</v>
      </c>
      <c r="P18" s="628">
        <v>5537443</v>
      </c>
      <c r="Q18" s="215"/>
      <c r="R18" s="625">
        <f t="shared" ref="R18:R23" si="1">P18/O18-1</f>
        <v>2.065777301332794E-2</v>
      </c>
      <c r="S18" s="625">
        <f t="shared" ref="S18:S23" si="2">P18/L18-1</f>
        <v>0.10190656173953982</v>
      </c>
      <c r="T18" s="215"/>
      <c r="U18" s="637" t="str">
        <f>Names!BT20</f>
        <v>Banco Central do Brasil - SGS - Excluding BNDES resources</v>
      </c>
      <c r="V18" s="632"/>
    </row>
    <row r="19" spans="2:22" ht="13" customHeight="1">
      <c r="B19" s="621" t="str">
        <f>IF('Summary | Sumário'!D$6=Names!B$3,Names!BR22,Names!BS22)</f>
        <v>Credit Cards</v>
      </c>
      <c r="C19" s="614">
        <v>278610</v>
      </c>
      <c r="D19" s="614">
        <v>317579</v>
      </c>
      <c r="E19" s="614">
        <v>351862</v>
      </c>
      <c r="F19" s="614">
        <v>414773</v>
      </c>
      <c r="G19" s="614">
        <v>413819</v>
      </c>
      <c r="H19" s="614">
        <v>469222</v>
      </c>
      <c r="I19" s="614">
        <v>493089</v>
      </c>
      <c r="J19" s="614">
        <v>527816</v>
      </c>
      <c r="K19" s="614">
        <v>535027</v>
      </c>
      <c r="L19" s="614">
        <v>540525</v>
      </c>
      <c r="M19" s="614">
        <v>547583</v>
      </c>
      <c r="N19" s="614">
        <v>580074</v>
      </c>
      <c r="O19" s="614">
        <v>579665</v>
      </c>
      <c r="P19" s="614">
        <v>582075</v>
      </c>
      <c r="R19" s="626">
        <f t="shared" si="1"/>
        <v>4.1575737710575211E-3</v>
      </c>
      <c r="S19" s="626">
        <f t="shared" si="2"/>
        <v>7.686971000416265E-2</v>
      </c>
      <c r="U19" s="638" t="str">
        <f>Names!BT22</f>
        <v>Banco Central do Brasil - SGS - Individual and Business (Pessoa Física e Pessoa Jurídica)</v>
      </c>
      <c r="V19" s="632"/>
    </row>
    <row r="20" spans="2:22" ht="13" customHeight="1">
      <c r="B20" s="604" t="str">
        <f>IF('Summary | Sumário'!D$6=Names!B$3,Names!BR23,Names!BS23)</f>
        <v>Personal</v>
      </c>
      <c r="C20" s="627">
        <v>612728</v>
      </c>
      <c r="D20" s="627">
        <v>650567</v>
      </c>
      <c r="E20" s="627">
        <v>691718</v>
      </c>
      <c r="F20" s="627">
        <v>724296</v>
      </c>
      <c r="G20" s="627">
        <v>748808</v>
      </c>
      <c r="H20" s="627">
        <v>786241</v>
      </c>
      <c r="I20" s="627">
        <v>80972</v>
      </c>
      <c r="J20" s="627">
        <v>837832</v>
      </c>
      <c r="K20" s="627">
        <v>859173</v>
      </c>
      <c r="L20" s="627">
        <v>866769</v>
      </c>
      <c r="M20" s="627">
        <v>880768</v>
      </c>
      <c r="N20" s="627">
        <v>891312</v>
      </c>
      <c r="O20" s="627">
        <v>932847</v>
      </c>
      <c r="P20" s="627">
        <v>954358</v>
      </c>
      <c r="R20" s="468">
        <f t="shared" si="1"/>
        <v>2.3059515654764384E-2</v>
      </c>
      <c r="S20" s="468">
        <f t="shared" si="2"/>
        <v>0.10105229882471578</v>
      </c>
      <c r="U20" s="639" t="str">
        <f>Names!BT23</f>
        <v>Banco Central do Brasil - SGS - Total Personal Loans (Crédito pessoal total)</v>
      </c>
      <c r="V20" s="632"/>
    </row>
    <row r="21" spans="2:22" ht="13" customHeight="1">
      <c r="B21" s="622" t="str">
        <f>IF('Summary | Sumário'!D$6=Names!B$3,Names!BR24,Names!BS24)</f>
        <v>Real Estate</v>
      </c>
      <c r="C21" s="614">
        <v>759254</v>
      </c>
      <c r="D21" s="614">
        <v>786037</v>
      </c>
      <c r="E21" s="614">
        <v>791963</v>
      </c>
      <c r="F21" s="614">
        <v>843692</v>
      </c>
      <c r="G21" s="614">
        <v>870530</v>
      </c>
      <c r="H21" s="614">
        <v>901028</v>
      </c>
      <c r="I21" s="614">
        <v>934095</v>
      </c>
      <c r="J21" s="614">
        <v>966479</v>
      </c>
      <c r="K21" s="614">
        <v>994735</v>
      </c>
      <c r="L21" s="614">
        <v>1025134</v>
      </c>
      <c r="M21" s="614">
        <v>1057696</v>
      </c>
      <c r="N21" s="614">
        <v>1090054</v>
      </c>
      <c r="O21" s="614">
        <v>1117064</v>
      </c>
      <c r="P21" s="614">
        <v>1152814</v>
      </c>
      <c r="R21" s="626">
        <f t="shared" si="1"/>
        <v>3.2003537845638252E-2</v>
      </c>
      <c r="S21" s="626">
        <f t="shared" si="2"/>
        <v>0.12454957108046361</v>
      </c>
      <c r="U21" s="640" t="str">
        <f>Names!BT24</f>
        <v>Banco Central do Brasil - SGS - Total Real Estate Loans (Nonearmarked and Earmarked) / Crédito Imobiliário Total (Recursos Livres e Direcionados)</v>
      </c>
      <c r="V21" s="632"/>
    </row>
    <row r="22" spans="2:22" ht="13" customHeight="1">
      <c r="B22" s="604" t="str">
        <f>IF('Summary | Sumário'!D$6=Names!B$3,Names!BR25,Names!BS25)</f>
        <v>Business</v>
      </c>
      <c r="C22" s="627">
        <v>1383322</v>
      </c>
      <c r="D22" s="627">
        <v>1396461</v>
      </c>
      <c r="E22" s="627">
        <v>1466777</v>
      </c>
      <c r="F22" s="627">
        <v>1545830</v>
      </c>
      <c r="G22" s="627">
        <v>1563233</v>
      </c>
      <c r="H22" s="627">
        <v>1607896</v>
      </c>
      <c r="I22" s="627">
        <v>1655380</v>
      </c>
      <c r="J22" s="627">
        <v>1706046</v>
      </c>
      <c r="K22" s="627">
        <v>1681260</v>
      </c>
      <c r="L22" s="627">
        <v>1690807</v>
      </c>
      <c r="M22" s="627">
        <v>1715538</v>
      </c>
      <c r="N22" s="627">
        <v>1779256</v>
      </c>
      <c r="O22" s="627">
        <v>1785876</v>
      </c>
      <c r="P22" s="627">
        <v>1820945</v>
      </c>
      <c r="R22" s="468">
        <f t="shared" si="1"/>
        <v>1.9636861685805806E-2</v>
      </c>
      <c r="S22" s="468">
        <f t="shared" si="2"/>
        <v>7.6967980378600309E-2</v>
      </c>
      <c r="U22" s="639" t="str">
        <f>Names!BT25</f>
        <v>Banco Central do Brasil - SGS - Total non-financial corporations, excluding cards, real estate and BNDES (Pessoas jurídicas total, excluindo cartões e imobiliário e BNDES)</v>
      </c>
      <c r="V22" s="632"/>
    </row>
    <row r="23" spans="2:22" ht="13" customHeight="1">
      <c r="B23" s="622" t="str">
        <f>IF('Summary | Sumário'!D$6=Names!B$3,Names!BR26,Names!BS26)</f>
        <v>Others</v>
      </c>
      <c r="C23" s="614">
        <f t="shared" ref="C23:O23" si="3">C18-SUM(C19:C22)</f>
        <v>631912</v>
      </c>
      <c r="D23" s="614">
        <f t="shared" si="3"/>
        <v>635574</v>
      </c>
      <c r="E23" s="614">
        <f t="shared" si="3"/>
        <v>705373</v>
      </c>
      <c r="F23" s="614">
        <f t="shared" si="3"/>
        <v>721532</v>
      </c>
      <c r="G23" s="614">
        <f t="shared" si="3"/>
        <v>765339</v>
      </c>
      <c r="H23" s="614">
        <f t="shared" si="3"/>
        <v>766200</v>
      </c>
      <c r="I23" s="614">
        <f t="shared" si="3"/>
        <v>1557230</v>
      </c>
      <c r="J23" s="614">
        <f t="shared" si="3"/>
        <v>866403</v>
      </c>
      <c r="K23" s="614">
        <f t="shared" si="3"/>
        <v>896761</v>
      </c>
      <c r="L23" s="614">
        <f t="shared" si="3"/>
        <v>902094</v>
      </c>
      <c r="M23" s="614">
        <f t="shared" si="3"/>
        <v>952611</v>
      </c>
      <c r="N23" s="614">
        <f t="shared" si="3"/>
        <v>981078</v>
      </c>
      <c r="O23" s="614">
        <f t="shared" si="3"/>
        <v>1009915</v>
      </c>
      <c r="P23" s="614">
        <f>P18-SUM(P19:P22)</f>
        <v>1027251</v>
      </c>
      <c r="R23" s="626">
        <f t="shared" si="1"/>
        <v>1.7165801082269283E-2</v>
      </c>
      <c r="S23" s="626">
        <f t="shared" si="2"/>
        <v>0.13874053036601497</v>
      </c>
      <c r="U23" s="616"/>
    </row>
    <row r="24" spans="2:22" ht="13" customHeight="1">
      <c r="B24" s="250"/>
    </row>
    <row r="25" spans="2:22" ht="13" customHeight="1">
      <c r="B25" s="250"/>
    </row>
    <row r="26" spans="2:22" ht="13" customHeight="1">
      <c r="B26" s="250" t="str">
        <f>IF('Summary | Sumário'!D$6=Names!B$3,Names!BR29,Names!BS29)</f>
        <v>Note 1: Excluding transactions made outised the SPI</v>
      </c>
      <c r="P26" s="332"/>
    </row>
    <row r="27" spans="2:22" ht="13" customHeight="1">
      <c r="B27" s="201" t="str">
        <f>IF('Summary | Sumário'!D$6=Names!B$3,Names!BR30,Names!BS30)</f>
        <v>Note 2: Including both debit and prepaid cards</v>
      </c>
    </row>
    <row r="33" spans="3:16" ht="13" customHeight="1">
      <c r="C33"/>
      <c r="D33"/>
      <c r="E33"/>
      <c r="F33"/>
      <c r="G33"/>
      <c r="H33"/>
      <c r="I33"/>
      <c r="J33"/>
      <c r="K33"/>
      <c r="L33"/>
      <c r="M33"/>
      <c r="N33"/>
      <c r="O33"/>
      <c r="P33"/>
    </row>
  </sheetData>
  <sheetProtection algorithmName="SHA-512" hashValue="VktwStIbYtFNidQ99XvionTDhUwhd3HbM6uq8jWhoXFvU4bwDvxIUBomtVEWfAFFnMrKGxnTwpo03PHpsgMO4Q==" saltValue="qk3cYnk1dCcSmflmPX88oA==" spinCount="100000" sheet="1" formatCells="0" formatColumns="0" formatRows="0" insertColumns="0" insertRows="0" insertHyperlinks="0" deleteColumns="0" deleteRows="0" sort="0" autoFilter="0" pivotTables="0"/>
  <hyperlinks>
    <hyperlink ref="U5" r:id="rId1" display="https://www.bcb.gov.br/acessoinformacao/ccsestatisticas" xr:uid="{7F4CBBEA-AFE8-6D45-934C-93BBE883EBAE}"/>
    <hyperlink ref="U6" r:id="rId2" display="https://www.bcb.gov.br/acessoinformacao/ccsestatisticas" xr:uid="{A536EC5D-0833-A747-A798-0DC1FDD495E3}"/>
    <hyperlink ref="U9" r:id="rId3" display="https://www.bcb.gov.br/estabilidadefinanceira/estatisticaspix" xr:uid="{B5CAA6F5-5771-4E46-897A-5F7E3E1DC323}"/>
    <hyperlink ref="U13" r:id="rId4" display="https://www.abecs.org.br/graficos" xr:uid="{93A15D28-D8DB-6A46-9A74-73E1E6281D14}"/>
    <hyperlink ref="U18:U22" r:id="rId5" display="https://www3.bcb.gov.br/sgspub/localizarseries/localizarSeries.do?method=prepararTelaLocalizarSeries" xr:uid="{10EF0A63-3747-0F42-B4EB-B111141E63B0}"/>
  </hyperlinks>
  <pageMargins left="0.511811024" right="0.511811024" top="0.78740157499999996" bottom="0.78740157499999996" header="0.31496062000000002" footer="0.31496062000000002"/>
  <pageSetup paperSize="9" orientation="portrait" horizontalDpi="0" verticalDpi="0"/>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2:Y66"/>
  <sheetViews>
    <sheetView showGridLines="0" zoomScaleNormal="100" workbookViewId="0"/>
  </sheetViews>
  <sheetFormatPr baseColWidth="10" defaultColWidth="10.83203125" defaultRowHeight="15" customHeight="1"/>
  <cols>
    <col min="1" max="1" width="3.33203125" style="62" customWidth="1"/>
    <col min="2" max="2" width="2.1640625" style="62" customWidth="1"/>
    <col min="3" max="3" width="43.6640625" style="62" customWidth="1"/>
    <col min="4" max="4" width="16.83203125" style="62" bestFit="1" customWidth="1"/>
    <col min="5" max="5" width="14" style="64" bestFit="1" customWidth="1"/>
    <col min="6" max="6" width="2" style="64" customWidth="1"/>
    <col min="7" max="7" width="8.83203125" style="62" customWidth="1"/>
    <col min="8" max="8" width="2.83203125" style="62" customWidth="1"/>
    <col min="9" max="9" width="59.33203125" style="62" bestFit="1" customWidth="1"/>
    <col min="10" max="16" width="9.83203125" style="62" customWidth="1"/>
    <col min="17" max="17" width="10.33203125" style="62" bestFit="1" customWidth="1"/>
    <col min="18" max="18" width="2.5" style="62" customWidth="1"/>
    <col min="19" max="19" width="8.83203125" style="62" customWidth="1"/>
    <col min="20" max="20" width="10.83203125" style="62" customWidth="1"/>
    <col min="21" max="21" width="8.83203125" style="62" customWidth="1"/>
    <col min="22" max="22" width="10.83203125" style="62" customWidth="1"/>
    <col min="23" max="23" width="2.83203125" style="62" customWidth="1"/>
    <col min="24" max="25" width="10.83203125" style="62"/>
    <col min="26" max="26" width="8.83203125" style="62" customWidth="1"/>
    <col min="27" max="27" width="10.83203125" style="62"/>
    <col min="28" max="28" width="8.83203125" style="62" customWidth="1"/>
    <col min="29" max="29" width="3.5" style="62" customWidth="1"/>
    <col min="30" max="16384" width="10.83203125" style="62"/>
  </cols>
  <sheetData>
    <row r="2" spans="2:25" ht="8" customHeight="1">
      <c r="B2" s="59"/>
      <c r="C2" s="59"/>
      <c r="D2" s="59"/>
      <c r="E2" s="70"/>
      <c r="F2" s="70"/>
      <c r="G2" s="59"/>
      <c r="H2" s="59"/>
      <c r="I2" s="59"/>
      <c r="J2" s="59"/>
      <c r="K2" s="59"/>
      <c r="L2" s="59"/>
      <c r="M2" s="59"/>
      <c r="N2" s="59"/>
      <c r="O2" s="59"/>
      <c r="P2" s="59"/>
      <c r="Q2" s="59"/>
      <c r="R2" s="59"/>
      <c r="S2" s="59"/>
      <c r="T2" s="59"/>
      <c r="U2" s="59"/>
      <c r="V2" s="59"/>
      <c r="W2" s="59"/>
    </row>
    <row r="3" spans="2:25" ht="15" customHeight="1">
      <c r="B3" s="59"/>
      <c r="C3" s="644" t="str">
        <f>IF('Summary | Sumário'!D6=Names!B3,Names!BP1,Names!BQ1)</f>
        <v>Managerial KPIs Effects in 2Q24 Financial Statements</v>
      </c>
      <c r="D3" s="644"/>
      <c r="E3" s="644"/>
      <c r="F3" s="644"/>
      <c r="G3" s="644"/>
      <c r="H3" s="644"/>
      <c r="I3" s="644"/>
      <c r="J3" s="644"/>
      <c r="K3" s="644"/>
      <c r="L3" s="644"/>
      <c r="M3" s="644"/>
      <c r="N3" s="644"/>
      <c r="O3" s="644"/>
      <c r="P3" s="644"/>
      <c r="Q3" s="644"/>
      <c r="R3" s="644"/>
      <c r="S3" s="644"/>
      <c r="T3" s="644"/>
      <c r="U3" s="644"/>
      <c r="V3" s="644"/>
      <c r="W3" s="59"/>
    </row>
    <row r="4" spans="2:25" ht="15" customHeight="1">
      <c r="B4" s="59"/>
      <c r="C4" s="644"/>
      <c r="D4" s="644"/>
      <c r="E4" s="644"/>
      <c r="F4" s="644"/>
      <c r="G4" s="644"/>
      <c r="H4" s="644"/>
      <c r="I4" s="644"/>
      <c r="J4" s="644"/>
      <c r="K4" s="644"/>
      <c r="L4" s="644"/>
      <c r="M4" s="644"/>
      <c r="N4" s="644"/>
      <c r="O4" s="644"/>
      <c r="P4" s="644"/>
      <c r="Q4" s="644"/>
      <c r="R4" s="644"/>
      <c r="S4" s="644"/>
      <c r="T4" s="644"/>
      <c r="U4" s="644"/>
      <c r="V4" s="644"/>
      <c r="W4" s="59"/>
    </row>
    <row r="5" spans="2:25" ht="77" customHeight="1">
      <c r="B5" s="59"/>
      <c r="C5" s="645" t="str">
        <f>IF('Summary | Sumário'!D6=Names!B3,Names!BP2,Names!BQ2)</f>
        <v>Instructions for Use:
1. Read the disclaimer bellow before using this sheet.
2. The simulation is pre-set with Q2'24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645"/>
      <c r="E5" s="645"/>
      <c r="F5" s="645"/>
      <c r="G5" s="645"/>
      <c r="H5" s="645"/>
      <c r="I5" s="645"/>
      <c r="J5" s="645"/>
      <c r="K5" s="645"/>
      <c r="L5" s="645"/>
      <c r="M5" s="645"/>
      <c r="N5" s="645"/>
      <c r="O5" s="645"/>
      <c r="P5" s="645"/>
      <c r="Q5" s="645"/>
      <c r="R5" s="645"/>
      <c r="S5" s="645"/>
      <c r="T5" s="645"/>
      <c r="U5" s="645"/>
      <c r="V5" s="645"/>
      <c r="W5" s="645"/>
    </row>
    <row r="6" spans="2:25" ht="8" customHeight="1">
      <c r="B6" s="59"/>
      <c r="C6" s="72"/>
      <c r="D6" s="72"/>
      <c r="E6" s="72"/>
      <c r="F6" s="72"/>
      <c r="G6" s="72"/>
      <c r="H6" s="72"/>
      <c r="I6" s="72"/>
      <c r="J6" s="72"/>
      <c r="K6" s="72"/>
      <c r="L6" s="72"/>
      <c r="M6" s="72"/>
      <c r="N6" s="72"/>
      <c r="O6" s="72"/>
      <c r="P6" s="72"/>
      <c r="Q6" s="59"/>
      <c r="R6" s="59"/>
      <c r="S6" s="59"/>
      <c r="T6" s="59"/>
      <c r="U6" s="59"/>
      <c r="V6" s="59"/>
      <c r="W6" s="59"/>
    </row>
    <row r="7" spans="2:25" ht="15" customHeight="1">
      <c r="C7" s="67"/>
      <c r="D7" s="67"/>
      <c r="E7" s="67"/>
      <c r="F7" s="67"/>
      <c r="G7" s="67"/>
      <c r="H7" s="67"/>
      <c r="I7" s="67"/>
      <c r="J7" s="67"/>
      <c r="K7" s="67"/>
      <c r="L7" s="67"/>
      <c r="M7" s="67"/>
      <c r="N7" s="67"/>
      <c r="O7" s="67"/>
      <c r="P7" s="67"/>
    </row>
    <row r="8" spans="2:25" ht="15" customHeight="1">
      <c r="B8" s="42"/>
      <c r="C8" s="31"/>
      <c r="D8" s="31"/>
      <c r="E8" s="31"/>
      <c r="F8" s="31"/>
      <c r="G8" s="68"/>
      <c r="H8" s="31"/>
      <c r="I8" s="31"/>
      <c r="J8" s="31"/>
      <c r="K8" s="31"/>
      <c r="L8" s="31"/>
      <c r="M8" s="31"/>
      <c r="N8" s="31"/>
      <c r="O8" s="31"/>
      <c r="P8" s="31"/>
      <c r="Q8" s="42"/>
      <c r="R8" s="42"/>
      <c r="S8" s="647" t="str">
        <f>IF('Summary | Sumário'!$D$6=Names!$B$3,Names!BP53,Names!BQ53)</f>
        <v>Variation %</v>
      </c>
      <c r="T8" s="647"/>
      <c r="U8" s="647"/>
      <c r="V8" s="647"/>
      <c r="W8" s="42"/>
    </row>
    <row r="9" spans="2:25" ht="15" customHeight="1">
      <c r="B9" s="42"/>
      <c r="C9" s="384" t="str">
        <f>IF('Summary | Sumário'!$D$6=Names!$B$3,Names!BP3,Names!BQ3)</f>
        <v>KPI Inputs</v>
      </c>
      <c r="D9" s="462" t="str">
        <f>IF('Summary | Sumário'!$D$6=Names!$B$3,Names!BP18,Names!BQ18)</f>
        <v>Input Values:</v>
      </c>
      <c r="E9" s="44" t="str">
        <f>IF('Summary | Sumário'!$D$6=Names!$B$3,Names!BP19,Names!BQ19)</f>
        <v>2Q24 Actual</v>
      </c>
      <c r="F9" s="31"/>
      <c r="H9" s="42"/>
      <c r="I9" s="384" t="str">
        <f>IF('Summary | Sumário'!$D$6=Names!$B$3,Names!BP22,Names!BQ22)</f>
        <v>Managerial Income Statement (R$ Millions)</v>
      </c>
      <c r="J9" s="44" t="str">
        <f>IF('Summary | Sumário'!D6=Names!B3,Names!C13,Names!D13)</f>
        <v>4Q22</v>
      </c>
      <c r="K9" s="44" t="str">
        <f>IF('Summary | Sumário'!D6=Names!B3,Names!C14,Names!D14)</f>
        <v>1Q23</v>
      </c>
      <c r="L9" s="44" t="str">
        <f>IF('Summary | Sumário'!D6=Names!B3,Names!C15,Names!D15)</f>
        <v>2Q23</v>
      </c>
      <c r="M9" s="44" t="str">
        <f>IF('Summary | Sumário'!D6=Names!B3,Names!C16,Names!D16)</f>
        <v>3Q23</v>
      </c>
      <c r="N9" s="44" t="str">
        <f>IF('Summary | Sumário'!D6=Names!B3,Names!C17,Names!D17)</f>
        <v>4Q23</v>
      </c>
      <c r="O9" s="44" t="str">
        <f>IF('Summary | Sumário'!D6=Names!B3,Names!C19,Names!D19)</f>
        <v>1Q24</v>
      </c>
      <c r="P9" s="44" t="str">
        <f>IF('Summary | Sumário'!D6=Names!B3,Names!C20,Names!D20)</f>
        <v>2Q24</v>
      </c>
      <c r="Q9" s="463" t="str">
        <f>_xlfn.CONCAT(IF('Summary | Sumário'!D6=Names!B3,Names!C20,Names!D20),"S")</f>
        <v>2Q24S</v>
      </c>
      <c r="R9" s="45"/>
      <c r="S9" s="156" t="str">
        <f>IF('Summary | Sumário'!$D$6=Names!$B$3,Names!BP55,Names!BQ55)</f>
        <v>Δ QoQS</v>
      </c>
      <c r="T9" s="156" t="str">
        <f>IF('Summary | Sumário'!$D$6=Names!$B$3,Names!BP56,Names!BQ56)</f>
        <v>Δ QoQ Actual</v>
      </c>
      <c r="U9" s="156" t="str">
        <f>IF('Summary | Sumário'!$D$6=Names!$B$3,Names!BP57,Names!BQ57)</f>
        <v>ΔYoYS</v>
      </c>
      <c r="V9" s="156" t="str">
        <f>IF('Summary | Sumário'!$D$6=Names!$B$3,Names!BP58,Names!BQ58)</f>
        <v>ΔYoY Actual</v>
      </c>
      <c r="W9" s="42"/>
    </row>
    <row r="10" spans="2:25" ht="15" customHeight="1">
      <c r="B10" s="42"/>
      <c r="C10" s="61" t="str">
        <f>IF('Summary | Sumário'!$D$6=Names!$B$3,Names!BP4,Names!BQ4)</f>
        <v>Income Statement</v>
      </c>
      <c r="D10" s="157"/>
      <c r="E10" s="157"/>
      <c r="F10" s="158"/>
      <c r="H10" s="42"/>
      <c r="I10" s="46" t="str">
        <f>IF('Summary | Sumário'!$D$6=Names!$B$3,Names!BP23,Names!BQ23)</f>
        <v>Interest income + income from securites and derivatives</v>
      </c>
      <c r="J10" s="47">
        <f>('3. IS | DRE'!O4+'3. IS | DRE'!O6)/1000</f>
        <v>1266.703082</v>
      </c>
      <c r="K10" s="47">
        <f>('3. IS | DRE'!P4+'3. IS | DRE'!P6)/1000</f>
        <v>1384.3328220000001</v>
      </c>
      <c r="L10" s="47">
        <f>('3. IS | DRE'!Q4+'3. IS | DRE'!Q6)/1000</f>
        <v>1494.2809999999999</v>
      </c>
      <c r="M10" s="47">
        <f>('3. IS | DRE'!R4+'3. IS | DRE'!R6)/1000</f>
        <v>1588.9550887400001</v>
      </c>
      <c r="N10" s="47">
        <f>('3. IS | DRE'!S4+'3. IS | DRE'!S6)/1000</f>
        <v>1628.0930892599999</v>
      </c>
      <c r="O10" s="47">
        <f>('3. IS | DRE'!T4+'3. IS | DRE'!T6)/1000</f>
        <v>1732.912</v>
      </c>
      <c r="P10" s="47">
        <f>('3. IS | DRE'!U4+'3. IS | DRE'!U6)/1000</f>
        <v>1802.3113320838538</v>
      </c>
      <c r="Q10" s="48">
        <f>Q12-Q11</f>
        <v>1802.3113320838538</v>
      </c>
      <c r="R10" s="47"/>
      <c r="S10" s="159">
        <f>Q10/O10-1</f>
        <v>4.004781090087306E-2</v>
      </c>
      <c r="T10" s="159">
        <f>P10/O10-1</f>
        <v>4.004781090087306E-2</v>
      </c>
      <c r="U10" s="159">
        <f>Q10/L10-1</f>
        <v>0.20613949590729841</v>
      </c>
      <c r="V10" s="159">
        <f>L10/P10-1</f>
        <v>-0.17090850320943474</v>
      </c>
      <c r="W10" s="42"/>
    </row>
    <row r="11" spans="2:25" ht="15" customHeight="1">
      <c r="B11" s="42"/>
      <c r="C11" s="42" t="str">
        <f>IF('Summary | Sumário'!$D$6=Names!$B$3,Names!BP5,Names!BQ5)</f>
        <v>Cost of funding (%)</v>
      </c>
      <c r="D11" s="160">
        <f t="shared" ref="D11:D16" si="0">E11</f>
        <v>6.7521620663529999E-2</v>
      </c>
      <c r="E11" s="69">
        <f>'5. Funding'!U23</f>
        <v>6.7521620663529999E-2</v>
      </c>
      <c r="F11" s="56"/>
      <c r="H11" s="42"/>
      <c r="I11" s="49" t="str">
        <f>IF('Summary | Sumário'!$D$6=Names!$B$3,Names!BP24,Names!BQ24)</f>
        <v>Interest expenses</v>
      </c>
      <c r="J11" s="50">
        <f>'3. IS | DRE'!O5/1000</f>
        <v>-591.36</v>
      </c>
      <c r="K11" s="50">
        <f>'3. IS | DRE'!P5/1000</f>
        <v>-672.77099999999996</v>
      </c>
      <c r="L11" s="50">
        <f>'3. IS | DRE'!Q5/1000</f>
        <v>-692.20600000000002</v>
      </c>
      <c r="M11" s="50">
        <f>'3. IS | DRE'!R5/1000</f>
        <v>-770.39800000000002</v>
      </c>
      <c r="N11" s="50">
        <f>'3. IS | DRE'!S5/1000</f>
        <v>-752.19800500000008</v>
      </c>
      <c r="O11" s="50">
        <f>'3. IS | DRE'!T5/1000</f>
        <v>-762.24689030000013</v>
      </c>
      <c r="P11" s="50">
        <f>'3. IS | DRE'!U5/1000</f>
        <v>-772.64300000000003</v>
      </c>
      <c r="Q11" s="48">
        <f>-(D11)*AVERAGE(Q40,O40)/4*1000</f>
        <v>-772.64299999999992</v>
      </c>
      <c r="R11" s="50"/>
      <c r="S11" s="161">
        <f>Q11/O11-1</f>
        <v>1.3638769580166077E-2</v>
      </c>
      <c r="T11" s="161">
        <f>P11/O11-1</f>
        <v>1.3638769580166077E-2</v>
      </c>
      <c r="U11" s="161">
        <f>Q11/L11-1</f>
        <v>0.11620384683172325</v>
      </c>
      <c r="V11" s="161">
        <f>L11/P11-1</f>
        <v>-0.10410629488651291</v>
      </c>
      <c r="W11" s="42"/>
    </row>
    <row r="12" spans="2:25" ht="15" customHeight="1">
      <c r="B12" s="42"/>
      <c r="C12" s="42" t="str">
        <f>IF('Summary | Sumário'!$D$6=Names!$B$3,Names!BP6,Names!BQ6)</f>
        <v>NIM (%) 2.0 - IEP only</v>
      </c>
      <c r="D12" s="160">
        <f t="shared" si="0"/>
        <v>9.2300945548336719E-2</v>
      </c>
      <c r="E12" s="69">
        <f>'7.2. NIMs'!U28</f>
        <v>9.2300945548336719E-2</v>
      </c>
      <c r="F12" s="56"/>
      <c r="H12" s="42"/>
      <c r="I12" s="51" t="str">
        <f>IF('Summary | Sumário'!$D$6=Names!$B$3,Names!BP25,Names!BQ25)</f>
        <v>Net interest income</v>
      </c>
      <c r="J12" s="36">
        <f>SUM(J10:J11)</f>
        <v>675.34308199999998</v>
      </c>
      <c r="K12" s="36">
        <f t="shared" ref="K12:O12" si="1">SUM(K10:K11)</f>
        <v>711.56182200000012</v>
      </c>
      <c r="L12" s="36">
        <f t="shared" si="1"/>
        <v>802.07499999999993</v>
      </c>
      <c r="M12" s="36">
        <f t="shared" si="1"/>
        <v>818.55708874000004</v>
      </c>
      <c r="N12" s="36">
        <f t="shared" si="1"/>
        <v>875.89508425999986</v>
      </c>
      <c r="O12" s="36">
        <f t="shared" si="1"/>
        <v>970.6651096999999</v>
      </c>
      <c r="P12" s="36">
        <f t="shared" ref="P12" si="2">SUM(P10:P11)</f>
        <v>1029.6683320838538</v>
      </c>
      <c r="Q12" s="39">
        <f>(D12*AVERAGE(Q34,O34)/4)*1000</f>
        <v>1029.6683320838538</v>
      </c>
      <c r="R12" s="36"/>
      <c r="S12" s="162">
        <f>Q12/O12-1</f>
        <v>6.078638429899863E-2</v>
      </c>
      <c r="T12" s="162">
        <f>P12/O12-1</f>
        <v>6.078638429899863E-2</v>
      </c>
      <c r="U12" s="162">
        <f>Q12/L12-1</f>
        <v>0.28375567382583156</v>
      </c>
      <c r="V12" s="162">
        <f>P12/L12-1</f>
        <v>0.28375567382583156</v>
      </c>
      <c r="W12" s="42"/>
    </row>
    <row r="13" spans="2:25" ht="15" customHeight="1">
      <c r="B13" s="42"/>
      <c r="C13" s="42" t="str">
        <f>IF('Summary | Sumário'!$D$6=Names!$B$3,Names!BP7,Names!BQ7)</f>
        <v>Net fee income growth (%, QoQ)</v>
      </c>
      <c r="D13" s="160">
        <f t="shared" si="0"/>
        <v>4.3359784759921194E-2</v>
      </c>
      <c r="E13" s="69">
        <f>P14/O14-1</f>
        <v>4.3359784759921194E-2</v>
      </c>
      <c r="F13" s="56"/>
      <c r="H13" s="42"/>
      <c r="I13" s="49"/>
      <c r="J13" s="52"/>
      <c r="K13" s="52"/>
      <c r="L13" s="52"/>
      <c r="M13" s="52"/>
      <c r="N13" s="52"/>
      <c r="O13" s="52"/>
      <c r="P13" s="52"/>
      <c r="Q13" s="53"/>
      <c r="R13" s="52"/>
      <c r="S13" s="163"/>
      <c r="T13" s="163"/>
      <c r="U13" s="163"/>
      <c r="V13" s="163"/>
      <c r="W13" s="42"/>
    </row>
    <row r="14" spans="2:25" ht="15" customHeight="1">
      <c r="B14" s="42"/>
      <c r="C14" s="42" t="str">
        <f>IF('Summary | Sumário'!$D$6=Names!$B$3,Names!BP8,Names!BQ8)</f>
        <v>Cost of risk (%)</v>
      </c>
      <c r="D14" s="160">
        <f t="shared" si="0"/>
        <v>4.9691590005832766E-2</v>
      </c>
      <c r="E14" s="69">
        <f>'7.6. Cost of Risk'!U10</f>
        <v>4.9691590005832766E-2</v>
      </c>
      <c r="F14" s="56"/>
      <c r="H14" s="42"/>
      <c r="I14" s="46" t="str">
        <f>IF('Summary | Sumário'!$D$6=Names!$B$3,Names!BP27,Names!BQ27)</f>
        <v>Net fee revenue + other revenues</v>
      </c>
      <c r="J14" s="54">
        <f>('3. IS | DRE'!O9+'3. IS | DRE'!O10+'3. IS | DRE'!O11)/1000</f>
        <v>326.50900000000001</v>
      </c>
      <c r="K14" s="54">
        <f>('3. IS | DRE'!P9+'3. IS | DRE'!P10+'3. IS | DRE'!P11)/1000</f>
        <v>312.55200000000002</v>
      </c>
      <c r="L14" s="54">
        <f>('3. IS | DRE'!Q9+'3. IS | DRE'!Q10+'3. IS | DRE'!Q11)/1000</f>
        <v>347.959</v>
      </c>
      <c r="M14" s="54">
        <f>('3. IS | DRE'!R9+'3. IS | DRE'!R10+'3. IS | DRE'!R11)/1000</f>
        <v>446.93850028000003</v>
      </c>
      <c r="N14" s="54">
        <f>('3. IS | DRE'!S9+'3. IS | DRE'!S10+'3. IS | DRE'!S11)/1000</f>
        <v>437.03809971999993</v>
      </c>
      <c r="O14" s="54">
        <f>('3. IS | DRE'!T9+'3. IS | DRE'!T10+'3. IS | DRE'!T11)/1000</f>
        <v>430.27439485153224</v>
      </c>
      <c r="P14" s="54">
        <f>('3. IS | DRE'!U9+'3. IS | DRE'!U10+'3. IS | DRE'!U11)/1000</f>
        <v>448.93099999999998</v>
      </c>
      <c r="Q14" s="53">
        <f>O14*(1+D13)</f>
        <v>448.93100000000004</v>
      </c>
      <c r="R14" s="54"/>
      <c r="S14" s="164">
        <f>Q14/O14-1</f>
        <v>4.3359784759921194E-2</v>
      </c>
      <c r="T14" s="164">
        <f>P14/O14-1</f>
        <v>4.3359784759921194E-2</v>
      </c>
      <c r="U14" s="164">
        <f>Q14/L14-1</f>
        <v>0.29018361358665823</v>
      </c>
      <c r="V14" s="164">
        <f>P14/L14-1</f>
        <v>0.29018361358665823</v>
      </c>
      <c r="W14" s="42"/>
    </row>
    <row r="15" spans="2:25" ht="15" customHeight="1">
      <c r="B15" s="42"/>
      <c r="C15" s="42" t="str">
        <f>IF('Summary | Sumário'!$D$6=Names!$B$3,Names!BP9,Names!BQ9)</f>
        <v>Efficiency ratio (%)</v>
      </c>
      <c r="D15" s="160">
        <f t="shared" si="0"/>
        <v>0.47859478999957056</v>
      </c>
      <c r="E15" s="69">
        <f>'7.3. Efficiency | Eficiência'!U14</f>
        <v>0.47859478999957056</v>
      </c>
      <c r="F15" s="56"/>
      <c r="H15" s="42"/>
      <c r="I15" s="55" t="str">
        <f>IF('Summary | Sumário'!$D$6=Names!$B$3,Names!BP28,Names!BQ28)</f>
        <v>Revenues</v>
      </c>
      <c r="J15" s="38">
        <f>J12+SUM(J14:J14)</f>
        <v>1001.852082</v>
      </c>
      <c r="K15" s="38">
        <f t="shared" ref="K15:O15" si="3">K12+SUM(K14:K14)</f>
        <v>1024.1138220000003</v>
      </c>
      <c r="L15" s="38">
        <f t="shared" si="3"/>
        <v>1150.0339999999999</v>
      </c>
      <c r="M15" s="38">
        <f t="shared" si="3"/>
        <v>1265.4955890200001</v>
      </c>
      <c r="N15" s="38">
        <f t="shared" si="3"/>
        <v>1312.9331839799997</v>
      </c>
      <c r="O15" s="38">
        <f t="shared" si="3"/>
        <v>1400.9395045515321</v>
      </c>
      <c r="P15" s="38">
        <f t="shared" ref="P15" si="4">P12+SUM(P14:P14)</f>
        <v>1478.5993320838538</v>
      </c>
      <c r="Q15" s="39">
        <f>SUM(Q12,Q14)</f>
        <v>1478.5993320838538</v>
      </c>
      <c r="R15" s="38"/>
      <c r="S15" s="165">
        <f>Q15/O15-1</f>
        <v>5.5434104956003871E-2</v>
      </c>
      <c r="T15" s="165">
        <f>P15/O15-1</f>
        <v>5.5434104956003871E-2</v>
      </c>
      <c r="U15" s="165">
        <f>Q15/L15-1</f>
        <v>0.28570053762223901</v>
      </c>
      <c r="V15" s="165">
        <f>P15/L15-1</f>
        <v>0.28570053762223901</v>
      </c>
      <c r="W15" s="42"/>
      <c r="Y15" s="119"/>
    </row>
    <row r="16" spans="2:25" ht="15" customHeight="1">
      <c r="B16" s="42"/>
      <c r="C16" s="42" t="str">
        <f>IF('Summary | Sumário'!$D$6=Names!$B$3,Names!BP10,Names!BQ10)</f>
        <v>Tax expenses as % of total revenues</v>
      </c>
      <c r="D16" s="160">
        <f t="shared" si="0"/>
        <v>6.7237958142376486E-2</v>
      </c>
      <c r="E16" s="69">
        <f>-'3. IS | DRE'!U20/'3. IS | DRE'!U12</f>
        <v>6.7237958142376486E-2</v>
      </c>
      <c r="F16" s="56"/>
      <c r="H16" s="42"/>
      <c r="I16" s="46"/>
      <c r="J16" s="54"/>
      <c r="K16" s="54"/>
      <c r="L16" s="54"/>
      <c r="M16" s="54"/>
      <c r="N16" s="54"/>
      <c r="O16" s="54"/>
      <c r="P16" s="54"/>
      <c r="Q16" s="53"/>
      <c r="R16" s="54"/>
      <c r="S16" s="164"/>
      <c r="T16" s="164"/>
      <c r="U16" s="164"/>
      <c r="V16" s="164"/>
      <c r="W16" s="42"/>
    </row>
    <row r="17" spans="2:23" ht="15" customHeight="1">
      <c r="B17" s="42"/>
      <c r="C17" s="61" t="str">
        <f>IF('Summary | Sumário'!$D$6=Names!$B$3,Names!BP11,Names!BQ11)</f>
        <v>Balance Sheet</v>
      </c>
      <c r="D17" s="157"/>
      <c r="E17" s="166"/>
      <c r="F17" s="158"/>
      <c r="H17" s="42"/>
      <c r="I17" s="49" t="str">
        <f>IF('Summary | Sumário'!$D$6=Names!$B$3,Names!BP30,Names!BQ30)</f>
        <v>Impairment losses on financial assets</v>
      </c>
      <c r="J17" s="52">
        <f>'3. IS | DRE'!O14/1000</f>
        <v>-264.714</v>
      </c>
      <c r="K17" s="52">
        <f>'3. IS | DRE'!P14/1000</f>
        <v>-350.68099999999998</v>
      </c>
      <c r="L17" s="52">
        <f>'3. IS | DRE'!Q14/1000</f>
        <v>-398.56</v>
      </c>
      <c r="M17" s="52">
        <f>'3. IS | DRE'!R14/1000</f>
        <v>-407.899</v>
      </c>
      <c r="N17" s="52">
        <f>'3. IS | DRE'!S14/1000</f>
        <v>-384.44400000000002</v>
      </c>
      <c r="O17" s="52">
        <f>'3. IS | DRE'!T14/1000</f>
        <v>-411.048</v>
      </c>
      <c r="P17" s="52">
        <f>'3. IS | DRE'!U14/1000</f>
        <v>-421.24799999999999</v>
      </c>
      <c r="Q17" s="53">
        <f>-(D14*AVERAGE(Q35,O35)/4)*1000</f>
        <v>-421.2480000000001</v>
      </c>
      <c r="R17" s="52"/>
      <c r="S17" s="163">
        <f>Q17/O17-1</f>
        <v>2.4814620190342973E-2</v>
      </c>
      <c r="T17" s="163">
        <f>P17/O17-1</f>
        <v>2.4814620190342751E-2</v>
      </c>
      <c r="U17" s="163">
        <f>Q17/L17-1</f>
        <v>5.6924929747089736E-2</v>
      </c>
      <c r="V17" s="163">
        <f>P17/L17-1</f>
        <v>5.6924929747089514E-2</v>
      </c>
      <c r="W17" s="42"/>
    </row>
    <row r="18" spans="2:23" ht="15" customHeight="1">
      <c r="B18" s="42"/>
      <c r="C18" s="42" t="str">
        <f>IF('Summary | Sumário'!$D$6=Names!$B$3,Names!BP12,Names!BQ12)</f>
        <v>IEP growth (%, QoQ)</v>
      </c>
      <c r="D18" s="75">
        <f>E18</f>
        <v>6.9779660852593128E-2</v>
      </c>
      <c r="E18" s="69">
        <f>P34/O34-1</f>
        <v>6.9779660852593128E-2</v>
      </c>
      <c r="F18" s="56"/>
      <c r="H18" s="42"/>
      <c r="I18" s="51" t="str">
        <f>IF('Summary | Sumário'!$D$6=Names!$B$3,Names!BP31,Names!BQ31)</f>
        <v>Net result of losses</v>
      </c>
      <c r="J18" s="36">
        <f t="shared" ref="J18" si="5">J15+J17</f>
        <v>737.13808199999994</v>
      </c>
      <c r="K18" s="36">
        <f t="shared" ref="K18:O18" si="6">K15+K17</f>
        <v>673.43282200000021</v>
      </c>
      <c r="L18" s="36">
        <f t="shared" si="6"/>
        <v>751.47399999999993</v>
      </c>
      <c r="M18" s="36">
        <f t="shared" si="6"/>
        <v>857.59658902000012</v>
      </c>
      <c r="N18" s="36">
        <f t="shared" si="6"/>
        <v>928.48918397999978</v>
      </c>
      <c r="O18" s="36">
        <f t="shared" si="6"/>
        <v>989.89150455153208</v>
      </c>
      <c r="P18" s="36">
        <f t="shared" ref="P18" si="7">P15+P17</f>
        <v>1057.3513320838538</v>
      </c>
      <c r="Q18" s="39">
        <f>Q15+Q17</f>
        <v>1057.3513320838538</v>
      </c>
      <c r="R18" s="36"/>
      <c r="S18" s="162">
        <f>Q18/O18-1</f>
        <v>6.8148708441420736E-2</v>
      </c>
      <c r="T18" s="162">
        <f>P18/O18-1</f>
        <v>6.8148708441420736E-2</v>
      </c>
      <c r="U18" s="162">
        <f>Q18/L18-1</f>
        <v>0.40703648041562834</v>
      </c>
      <c r="V18" s="162">
        <f>P18/L18-1</f>
        <v>0.40703648041562834</v>
      </c>
      <c r="W18" s="42"/>
    </row>
    <row r="19" spans="2:23" ht="15" customHeight="1">
      <c r="B19" s="42"/>
      <c r="C19" s="42" t="str">
        <f>IF('Summary | Sumário'!$D$6=Names!$B$3,Names!BP13,Names!BQ13)</f>
        <v>Funding growth (%, QoQ)</v>
      </c>
      <c r="D19" s="75">
        <f t="shared" ref="D19" si="8">E19</f>
        <v>9.0810750490577519E-2</v>
      </c>
      <c r="E19" s="69">
        <f>P40/O40-1</f>
        <v>9.0810750490577519E-2</v>
      </c>
      <c r="F19" s="56"/>
      <c r="H19" s="42"/>
      <c r="I19" s="49"/>
      <c r="J19" s="52"/>
      <c r="K19" s="52"/>
      <c r="L19" s="52"/>
      <c r="M19" s="52"/>
      <c r="N19" s="52"/>
      <c r="O19" s="52"/>
      <c r="P19" s="52"/>
      <c r="Q19" s="53"/>
      <c r="R19" s="52"/>
      <c r="S19" s="163"/>
      <c r="T19" s="163"/>
      <c r="U19" s="163"/>
      <c r="V19" s="163"/>
      <c r="W19" s="42"/>
    </row>
    <row r="20" spans="2:23" ht="15" customHeight="1">
      <c r="B20" s="42"/>
      <c r="C20" s="42"/>
      <c r="D20" s="42"/>
      <c r="E20" s="57"/>
      <c r="F20" s="57"/>
      <c r="H20" s="42"/>
      <c r="I20" s="46" t="str">
        <f>IF('Summary | Sumário'!$D$6=Names!$B$3,Names!BP33,Names!BQ33)</f>
        <v>Operational expenses</v>
      </c>
      <c r="J20" s="54">
        <f>('3. IS | DRE'!O18+'3. IS | DRE'!O19+'3. IS | DRE'!O21)/1000</f>
        <v>-685.26400000000001</v>
      </c>
      <c r="K20" s="54">
        <f>('3. IS | DRE'!P18+'3. IS | DRE'!P19+'3. IS | DRE'!P21)/1000</f>
        <v>-595.60400000000004</v>
      </c>
      <c r="L20" s="54">
        <f>('3. IS | DRE'!Q18+'3. IS | DRE'!Q19+'3. IS | DRE'!Q21)/1000</f>
        <v>-575.24699999999996</v>
      </c>
      <c r="M20" s="54">
        <f>('3. IS | DRE'!R18+'3. IS | DRE'!R19+'3. IS | DRE'!R21)/1000</f>
        <v>-614.12900000000002</v>
      </c>
      <c r="N20" s="54">
        <f>('3. IS | DRE'!S18+'3. IS | DRE'!S19+'3. IS | DRE'!S21)/1000</f>
        <v>-627.54700000000003</v>
      </c>
      <c r="O20" s="54">
        <f>('3. IS | DRE'!T18+'3. IS | DRE'!T19+'3. IS | DRE'!T21)/1000</f>
        <v>-627.60699999999997</v>
      </c>
      <c r="P20" s="54">
        <f>('3. IS | DRE'!U18+'3. IS | DRE'!U19+'3. IS | DRE'!U21)/1000</f>
        <v>-660.06899999999996</v>
      </c>
      <c r="Q20" s="53">
        <f>-D15*SUM(Q12,Q14,Q21)</f>
        <v>-660.06900000000007</v>
      </c>
      <c r="R20" s="54"/>
      <c r="S20" s="164">
        <f>Q20/O20-1</f>
        <v>5.1723451140602394E-2</v>
      </c>
      <c r="T20" s="164">
        <f>P20/O20-1</f>
        <v>5.1723451140602394E-2</v>
      </c>
      <c r="U20" s="164">
        <f>Q20/L20-1</f>
        <v>0.14745318098138727</v>
      </c>
      <c r="V20" s="164">
        <f>P20/L20-1</f>
        <v>0.14745318098138704</v>
      </c>
      <c r="W20" s="42"/>
    </row>
    <row r="21" spans="2:23" ht="15" customHeight="1">
      <c r="H21" s="42"/>
      <c r="I21" s="49" t="str">
        <f>IF('Summary | Sumário'!$D$6=Names!$B$3,Names!BP34,Names!BQ34)</f>
        <v>Tax expenses</v>
      </c>
      <c r="J21" s="52">
        <f>('3. IS | DRE'!O20)/1000</f>
        <v>-68.751000000000005</v>
      </c>
      <c r="K21" s="52">
        <f>('3. IS | DRE'!P20)/1000</f>
        <v>-68.870999999999995</v>
      </c>
      <c r="L21" s="52">
        <f>('3. IS | DRE'!Q20)/1000</f>
        <v>-72.462999999999994</v>
      </c>
      <c r="M21" s="52">
        <f>('3. IS | DRE'!R20)/1000</f>
        <v>-94.072000000000003</v>
      </c>
      <c r="N21" s="52">
        <f>('3. IS | DRE'!S20)/1000</f>
        <v>-91.177999999999997</v>
      </c>
      <c r="O21" s="52">
        <f>('3. IS | DRE'!T20)/1000</f>
        <v>-86.331000000000003</v>
      </c>
      <c r="P21" s="52">
        <f>('3. IS | DRE'!U20)/1000</f>
        <v>-99.418000000000006</v>
      </c>
      <c r="Q21" s="53">
        <f>-D16*Q15</f>
        <v>-99.417999999999992</v>
      </c>
      <c r="R21" s="52"/>
      <c r="S21" s="163">
        <f>Q21/O21-1</f>
        <v>0.15159096964010588</v>
      </c>
      <c r="T21" s="163">
        <f>P21/O21-1</f>
        <v>0.1515909696401061</v>
      </c>
      <c r="U21" s="163">
        <f>Q21/L21-1</f>
        <v>0.3719829430191961</v>
      </c>
      <c r="V21" s="163">
        <f>P21/L21-1</f>
        <v>0.3719829430191961</v>
      </c>
      <c r="W21" s="42"/>
    </row>
    <row r="22" spans="2:23" ht="15" customHeight="1">
      <c r="H22" s="42"/>
      <c r="I22" s="46" t="str">
        <f>IF('Summary | Sumário'!$D$6=Names!$B$3,Names!BP35,Names!BQ35)</f>
        <v>Other expenses</v>
      </c>
      <c r="J22" s="54">
        <f>'3. IS | DRE'!O22/1000</f>
        <v>-3.43</v>
      </c>
      <c r="K22" s="54">
        <f>'3. IS | DRE'!P22/1000</f>
        <v>-3.0609999999999999</v>
      </c>
      <c r="L22" s="54">
        <f>'3. IS | DRE'!Q22/1000</f>
        <v>-23.465</v>
      </c>
      <c r="M22" s="54">
        <f>'3. IS | DRE'!R22/1000</f>
        <v>-4.0708986899999982</v>
      </c>
      <c r="N22" s="54">
        <f>'3. IS | DRE'!S22/1000</f>
        <v>-1.4431013100000019</v>
      </c>
      <c r="O22" s="54">
        <f>'3. IS | DRE'!T22/1000</f>
        <v>-2.2229999999999999</v>
      </c>
      <c r="P22" s="54">
        <f>'3. IS | DRE'!U22/1000</f>
        <v>-0.25700000000000001</v>
      </c>
      <c r="Q22" s="53">
        <f>IF(D12=0,0,P22)</f>
        <v>-0.25700000000000001</v>
      </c>
      <c r="R22" s="54"/>
      <c r="S22" s="164">
        <f>Q22/O22-1</f>
        <v>-0.88439046333783178</v>
      </c>
      <c r="T22" s="164">
        <f>P22/O22-1</f>
        <v>-0.88439046333783178</v>
      </c>
      <c r="U22" s="164">
        <f>Q22/L22-1</f>
        <v>-0.98904751757937348</v>
      </c>
      <c r="V22" s="164">
        <f>P22/L22-1</f>
        <v>-0.98904751757937348</v>
      </c>
      <c r="W22" s="42"/>
    </row>
    <row r="23" spans="2:23" ht="15" customHeight="1">
      <c r="B23" s="59"/>
      <c r="C23" s="59"/>
      <c r="D23" s="59"/>
      <c r="E23" s="70"/>
      <c r="F23" s="71"/>
      <c r="H23" s="42"/>
      <c r="I23" s="55" t="str">
        <f>IF('Summary | Sumário'!$D$6=Names!$B$3,Names!BP36,Names!BQ36)</f>
        <v>Profit / (loss) before income tax</v>
      </c>
      <c r="J23" s="38">
        <f t="shared" ref="J23:Q23" si="9">J18+SUM(J20:J22)</f>
        <v>-20.306917999999996</v>
      </c>
      <c r="K23" s="38">
        <f t="shared" si="9"/>
        <v>5.8968220000001565</v>
      </c>
      <c r="L23" s="38">
        <f t="shared" si="9"/>
        <v>80.298999999999978</v>
      </c>
      <c r="M23" s="38">
        <f t="shared" si="9"/>
        <v>145.32469033000007</v>
      </c>
      <c r="N23" s="38">
        <f t="shared" si="9"/>
        <v>208.32108266999978</v>
      </c>
      <c r="O23" s="38">
        <f t="shared" si="9"/>
        <v>273.73050455153214</v>
      </c>
      <c r="P23" s="38">
        <f t="shared" ref="P23" si="10">P18+SUM(P20:P22)</f>
        <v>297.60733208385386</v>
      </c>
      <c r="Q23" s="39">
        <f t="shared" si="9"/>
        <v>297.60733208385375</v>
      </c>
      <c r="R23" s="38"/>
      <c r="S23" s="165">
        <f>Q23/O23-1</f>
        <v>8.7227499804745312E-2</v>
      </c>
      <c r="T23" s="165">
        <f>P23/O23-1</f>
        <v>8.7227499804745756E-2</v>
      </c>
      <c r="U23" s="165">
        <f>Q23/L23-1</f>
        <v>2.7062395806156219</v>
      </c>
      <c r="V23" s="165">
        <f>P23/L23-1</f>
        <v>2.7062395806156232</v>
      </c>
      <c r="W23" s="42"/>
    </row>
    <row r="24" spans="2:23" ht="15" customHeight="1">
      <c r="B24" s="42"/>
      <c r="C24" s="384" t="str">
        <f>IF('Summary | Sumário'!$D$6=Names!$B$3,Names!BP14,Names!BQ14)</f>
        <v>KPI Outputs</v>
      </c>
      <c r="D24" s="462" t="str">
        <f>IF('Summary | Sumário'!$D$6=Names!$B$3,Names!BP20,Names!BQ20)</f>
        <v>Output</v>
      </c>
      <c r="E24" s="44" t="str">
        <f>IF('Summary | Sumário'!$D$6=Names!$B$3,Names!BP21,Names!BQ21)</f>
        <v>2Q24 Actual</v>
      </c>
      <c r="F24" s="33"/>
      <c r="H24" s="42"/>
      <c r="I24" s="43"/>
      <c r="J24" s="28"/>
      <c r="K24" s="28"/>
      <c r="L24" s="28"/>
      <c r="M24" s="28"/>
      <c r="N24" s="28"/>
      <c r="O24" s="28"/>
      <c r="P24" s="28"/>
      <c r="Q24" s="40"/>
      <c r="R24" s="28"/>
      <c r="S24" s="167"/>
      <c r="T24" s="167"/>
      <c r="U24" s="167"/>
      <c r="V24" s="167"/>
      <c r="W24" s="42"/>
    </row>
    <row r="25" spans="2:23" ht="15" customHeight="1">
      <c r="B25" s="42"/>
      <c r="C25" s="32" t="str">
        <f>IF('Summary | Sumário'!$D$6=Names!$B$3,Names!BP15,Names!BQ15)</f>
        <v>ROEA (%)</v>
      </c>
      <c r="D25" s="120">
        <f>Q26*4/(AVERAGE(Q42,N42)*1000)</f>
        <v>0.10992901152095871</v>
      </c>
      <c r="E25" s="34">
        <f>P26*4/(AVERAGE(P42,O42)*1000)</f>
        <v>0.10389104160060834</v>
      </c>
      <c r="F25" s="34"/>
      <c r="H25" s="42"/>
      <c r="I25" s="49" t="str">
        <f>IF('Summary | Sumário'!$D$6=Names!$B$3,Names!BP38,Names!BQ38)</f>
        <v>Income tax and social contribution</v>
      </c>
      <c r="J25" s="52">
        <f>'3. IS | DRE'!O25/1000</f>
        <v>49.12</v>
      </c>
      <c r="K25" s="52">
        <f>'3. IS | DRE'!P25/1000</f>
        <v>18.318999999999999</v>
      </c>
      <c r="L25" s="52">
        <f>'3. IS | DRE'!Q25/1000</f>
        <v>-16.126999999999999</v>
      </c>
      <c r="M25" s="52">
        <f>'3. IS | DRE'!R25/1000</f>
        <v>-41.194000000000003</v>
      </c>
      <c r="N25" s="52">
        <f>'3. IS | DRE'!S25/1000</f>
        <v>-48.579000000000001</v>
      </c>
      <c r="O25" s="52">
        <f>'3. IS | DRE'!T25/1000</f>
        <v>-78.512</v>
      </c>
      <c r="P25" s="52">
        <f>'3. IS | DRE'!U25/1000</f>
        <v>-74.942999999999998</v>
      </c>
      <c r="Q25" s="53">
        <f>IF(Q23&lt;=P23,P25,P25+((P23-Q23)*0.38))</f>
        <v>-74.942999999999998</v>
      </c>
      <c r="R25" s="52"/>
      <c r="S25" s="163">
        <f>Q25/O25-1</f>
        <v>-4.5458019156307317E-2</v>
      </c>
      <c r="T25" s="163">
        <f>P25/O25-1</f>
        <v>-4.5458019156307317E-2</v>
      </c>
      <c r="U25" s="163">
        <f>Q25/L25-1</f>
        <v>3.6470515284925904</v>
      </c>
      <c r="V25" s="163">
        <f>P25/L25-1</f>
        <v>3.6470515284925904</v>
      </c>
      <c r="W25" s="42"/>
    </row>
    <row r="26" spans="2:23" ht="15" customHeight="1">
      <c r="B26" s="42"/>
      <c r="C26" s="32" t="str">
        <f>IF('Summary | Sumário'!$D$6=Names!$B$3,Names!BP16,Names!BQ16)</f>
        <v>ROAA (%)</v>
      </c>
      <c r="D26" s="73">
        <f>(Q26*4)/(AVERAGE(N37,Q37)*1000)</f>
        <v>1.4034359317913374E-2</v>
      </c>
      <c r="E26" s="34">
        <f>(P26*4)/(AVERAGE(P37,O37)*1000)</f>
        <v>1.3816926780366461E-2</v>
      </c>
      <c r="F26" s="34"/>
      <c r="H26" s="42"/>
      <c r="I26" s="51" t="str">
        <f>IF('Summary | Sumário'!$D$6=Names!$B$3,Names!BP39,Names!BQ39)</f>
        <v>Profit / (loss) for the period</v>
      </c>
      <c r="J26" s="36">
        <f>J23+J25</f>
        <v>28.813082000000001</v>
      </c>
      <c r="K26" s="36">
        <f t="shared" ref="K26:M26" si="11">K23+K25</f>
        <v>24.215822000000156</v>
      </c>
      <c r="L26" s="36">
        <f t="shared" si="11"/>
        <v>64.171999999999983</v>
      </c>
      <c r="M26" s="36">
        <f t="shared" si="11"/>
        <v>104.13069033000006</v>
      </c>
      <c r="N26" s="36">
        <f>N23+N25</f>
        <v>159.74208266999977</v>
      </c>
      <c r="O26" s="36">
        <f>O23+O25</f>
        <v>195.21850455153213</v>
      </c>
      <c r="P26" s="36">
        <f>P23+P25</f>
        <v>222.66433208385388</v>
      </c>
      <c r="Q26" s="39">
        <f>Q23+Q25</f>
        <v>222.66433208385376</v>
      </c>
      <c r="R26" s="36"/>
      <c r="S26" s="162">
        <f>Q26/O26-1</f>
        <v>0.14059029698732628</v>
      </c>
      <c r="T26" s="162">
        <f>P26/O26-1</f>
        <v>0.14059029698732695</v>
      </c>
      <c r="U26" s="162">
        <f>Q26/L26-1</f>
        <v>2.4698050876371909</v>
      </c>
      <c r="V26" s="162">
        <f>P26/L26-1</f>
        <v>2.4698050876371926</v>
      </c>
      <c r="W26" s="42"/>
    </row>
    <row r="27" spans="2:23" ht="15" customHeight="1">
      <c r="B27" s="42"/>
      <c r="C27" s="32" t="str">
        <f>IF('Summary | Sumário'!$D$6=Names!$B$3,Names!BP17,Names!BQ17)</f>
        <v>Fee income ratio (%)</v>
      </c>
      <c r="D27" s="73">
        <f>Q14/Q15</f>
        <v>0.30361910103618284</v>
      </c>
      <c r="E27" s="34">
        <f>P14/P15</f>
        <v>0.30361910103618278</v>
      </c>
      <c r="F27" s="34"/>
      <c r="H27" s="42"/>
      <c r="I27" s="41"/>
      <c r="J27" s="41"/>
      <c r="K27" s="41"/>
      <c r="L27" s="41"/>
      <c r="M27" s="41"/>
      <c r="N27" s="41"/>
      <c r="O27" s="41"/>
      <c r="P27" s="41"/>
      <c r="Q27" s="58"/>
      <c r="R27" s="59"/>
      <c r="S27" s="59"/>
      <c r="T27" s="59"/>
      <c r="U27" s="41"/>
      <c r="V27" s="41"/>
      <c r="W27" s="42"/>
    </row>
    <row r="28" spans="2:23" ht="15" customHeight="1">
      <c r="B28" s="59"/>
      <c r="C28" s="59"/>
      <c r="D28" s="59"/>
      <c r="E28" s="70"/>
      <c r="F28" s="70"/>
      <c r="I28" s="37"/>
      <c r="J28" s="37"/>
      <c r="K28" s="37"/>
      <c r="L28" s="37"/>
      <c r="M28" s="37"/>
      <c r="N28" s="37"/>
      <c r="O28" s="37"/>
      <c r="P28" s="37"/>
      <c r="Q28" s="63"/>
      <c r="U28" s="37"/>
      <c r="V28" s="37"/>
    </row>
    <row r="29" spans="2:23" ht="15" customHeight="1">
      <c r="I29" s="37"/>
      <c r="J29" s="37"/>
      <c r="K29" s="37"/>
      <c r="L29" s="37"/>
      <c r="M29" s="37"/>
      <c r="N29" s="37"/>
      <c r="O29" s="37"/>
      <c r="P29" s="37"/>
      <c r="Q29" s="63"/>
      <c r="U29" s="37"/>
      <c r="V29" s="37"/>
    </row>
    <row r="30" spans="2:23" ht="15" customHeight="1">
      <c r="I30" s="37"/>
      <c r="J30" s="37"/>
      <c r="K30" s="37"/>
      <c r="L30" s="37"/>
      <c r="M30" s="37"/>
      <c r="N30" s="37"/>
      <c r="O30" s="37"/>
      <c r="P30" s="37"/>
      <c r="Q30" s="63"/>
      <c r="U30" s="37"/>
      <c r="V30" s="37"/>
    </row>
    <row r="31" spans="2:23" ht="15" customHeight="1">
      <c r="H31" s="42"/>
      <c r="I31" s="29"/>
      <c r="J31" s="31"/>
      <c r="K31" s="31"/>
      <c r="L31" s="31"/>
      <c r="M31" s="31"/>
      <c r="N31" s="31"/>
      <c r="O31" s="31"/>
      <c r="P31" s="31"/>
      <c r="Q31" s="60"/>
      <c r="R31" s="42"/>
      <c r="S31" s="647" t="str">
        <f>S8</f>
        <v>Variation %</v>
      </c>
      <c r="T31" s="647"/>
      <c r="U31" s="647"/>
      <c r="V31" s="647"/>
      <c r="W31" s="42"/>
    </row>
    <row r="32" spans="2:23" ht="15" customHeight="1">
      <c r="H32" s="42"/>
      <c r="I32" s="384" t="str">
        <f>IF('Summary | Sumário'!$D$6=Names!$B$3,Names!BP41,Names!BQ41)</f>
        <v>Managerial Balance Sheet (R$ Billions)</v>
      </c>
      <c r="J32" s="44" t="str">
        <f t="shared" ref="J32:Q32" si="12">J9</f>
        <v>4Q22</v>
      </c>
      <c r="K32" s="44" t="str">
        <f t="shared" si="12"/>
        <v>1Q23</v>
      </c>
      <c r="L32" s="44" t="str">
        <f t="shared" si="12"/>
        <v>2Q23</v>
      </c>
      <c r="M32" s="44" t="str">
        <f t="shared" si="12"/>
        <v>3Q23</v>
      </c>
      <c r="N32" s="44" t="str">
        <f t="shared" si="12"/>
        <v>4Q23</v>
      </c>
      <c r="O32" s="44" t="str">
        <f t="shared" si="12"/>
        <v>1Q24</v>
      </c>
      <c r="P32" s="44" t="str">
        <f>P9</f>
        <v>2Q24</v>
      </c>
      <c r="Q32" s="463" t="str">
        <f t="shared" si="12"/>
        <v>2Q24S</v>
      </c>
      <c r="R32" s="45"/>
      <c r="S32" s="156" t="str">
        <f>S9</f>
        <v>Δ QoQS</v>
      </c>
      <c r="T32" s="156" t="str">
        <f>T9</f>
        <v>Δ QoQ Actual</v>
      </c>
      <c r="U32" s="156" t="str">
        <f>U9</f>
        <v>ΔYoYS</v>
      </c>
      <c r="V32" s="156" t="str">
        <f>V9</f>
        <v>ΔYoY Actual</v>
      </c>
      <c r="W32" s="42"/>
    </row>
    <row r="33" spans="2:23" ht="15" customHeight="1">
      <c r="H33" s="42"/>
      <c r="I33" s="116" t="str">
        <f>IF('Summary | Sumário'!$D$6=Names!$B$3,Names!BP42,Names!BQ42)</f>
        <v>Assets</v>
      </c>
      <c r="J33" s="42"/>
      <c r="K33" s="42"/>
      <c r="L33" s="42"/>
      <c r="M33" s="42"/>
      <c r="N33" s="42"/>
      <c r="O33" s="42"/>
      <c r="P33" s="42"/>
      <c r="Q33" s="121"/>
      <c r="R33" s="42"/>
      <c r="S33" s="159"/>
      <c r="T33" s="159"/>
      <c r="U33" s="159"/>
      <c r="V33" s="159"/>
      <c r="W33" s="42"/>
    </row>
    <row r="34" spans="2:23" ht="15" customHeight="1">
      <c r="H34" s="42"/>
      <c r="I34" s="124" t="str">
        <f>IF('Summary | Sumário'!$D$6=Names!$B$3,Names!BP43,Names!BQ43)</f>
        <v>Interest earning portfolio (IEP)</v>
      </c>
      <c r="J34" s="125">
        <f>'7.2. NIMs'!O21/1000000</f>
        <v>32.675539000000001</v>
      </c>
      <c r="K34" s="125">
        <f>'7.2. NIMs'!P21/1000000</f>
        <v>32.997445387827476</v>
      </c>
      <c r="L34" s="125">
        <f>'7.2. NIMs'!Q21/1000000</f>
        <v>34.350141767574591</v>
      </c>
      <c r="M34" s="125">
        <f>'7.2. NIMs'!R21/1000000</f>
        <v>36.92061634433</v>
      </c>
      <c r="N34" s="125">
        <f>'7.2. NIMs'!S21/1000000</f>
        <v>41.001388191909996</v>
      </c>
      <c r="O34" s="125">
        <f>'7.2. NIMs'!T21/1000000</f>
        <v>43.117848082490198</v>
      </c>
      <c r="P34" s="125">
        <f>'7.2. NIMs'!U21/1000000</f>
        <v>46.126596898379994</v>
      </c>
      <c r="Q34" s="122">
        <f>O34*(1+D18)</f>
        <v>46.126596898379994</v>
      </c>
      <c r="R34" s="125"/>
      <c r="S34" s="168">
        <f>Q34/O34-1</f>
        <v>6.9779660852593128E-2</v>
      </c>
      <c r="T34" s="168">
        <f>P34/O34-1</f>
        <v>6.9779660852593128E-2</v>
      </c>
      <c r="U34" s="168">
        <f>Q34/L34-1</f>
        <v>0.34283570677783892</v>
      </c>
      <c r="V34" s="168">
        <f>P34/K34-1</f>
        <v>0.39788387725904895</v>
      </c>
      <c r="W34" s="42"/>
    </row>
    <row r="35" spans="2:23" ht="15" customHeight="1">
      <c r="H35" s="42"/>
      <c r="I35" s="118" t="str">
        <f>IF('Summary | Sumário'!$D$6=Names!$B$3,Names!BP63,Names!BQ63)</f>
        <v>Gross loans and advances to customers</v>
      </c>
      <c r="J35" s="30">
        <f>'7.6. Cost of Risk'!O8/1000000</f>
        <v>24.543993</v>
      </c>
      <c r="K35" s="30">
        <f>'7.6. Cost of Risk'!P8/1000000</f>
        <v>25.129297999999999</v>
      </c>
      <c r="L35" s="30">
        <f>'7.6. Cost of Risk'!Q8/1000000</f>
        <v>26.474360000000001</v>
      </c>
      <c r="M35" s="30">
        <f>'7.6. Cost of Risk'!R8/1000000</f>
        <v>28.258742999999999</v>
      </c>
      <c r="N35" s="30">
        <f>'7.6. Cost of Risk'!S8/1000000</f>
        <v>31.020837</v>
      </c>
      <c r="O35" s="30">
        <f>'7.6. Cost of Risk'!T8/1000000</f>
        <v>32.143623531950205</v>
      </c>
      <c r="P35" s="30">
        <f>'7.6. Cost of Risk'!U8/1000000</f>
        <v>35.674371416580001</v>
      </c>
      <c r="Q35" s="122">
        <f>P35/P34*Q34</f>
        <v>35.674371416580001</v>
      </c>
      <c r="R35" s="30"/>
      <c r="S35" s="169">
        <f>Q35/O35-1</f>
        <v>0.10984287073672006</v>
      </c>
      <c r="T35" s="169">
        <f>P35/O35-1</f>
        <v>0.10984287073672006</v>
      </c>
      <c r="U35" s="169">
        <f>Q35/L35-1</f>
        <v>0.34750647103763788</v>
      </c>
      <c r="V35" s="169">
        <f>P35/L35-1</f>
        <v>0.34750647103763788</v>
      </c>
      <c r="W35" s="42"/>
    </row>
    <row r="36" spans="2:23" ht="15" customHeight="1">
      <c r="D36" s="65"/>
      <c r="H36" s="42"/>
      <c r="I36" s="124" t="str">
        <f>IF('Summary | Sumário'!$D$6=Names!$B$3,Names!BP44,Names!BQ44)</f>
        <v>Other assets</v>
      </c>
      <c r="J36" s="125">
        <f>J37-J34</f>
        <v>13.667560999999999</v>
      </c>
      <c r="K36" s="125">
        <f t="shared" ref="K36:N36" si="13">K37-K34</f>
        <v>14.703648612172522</v>
      </c>
      <c r="L36" s="125">
        <f t="shared" si="13"/>
        <v>15.65318723242541</v>
      </c>
      <c r="M36" s="125">
        <f t="shared" si="13"/>
        <v>18.15822365567</v>
      </c>
      <c r="N36" s="125">
        <f t="shared" si="13"/>
        <v>19.350408603000005</v>
      </c>
      <c r="O36" s="125">
        <f t="shared" ref="O36:P36" si="14">O37-O34</f>
        <v>19.231330695039105</v>
      </c>
      <c r="P36" s="125">
        <f t="shared" si="14"/>
        <v>20.446862837456685</v>
      </c>
      <c r="Q36" s="122">
        <f>P36</f>
        <v>20.446862837456685</v>
      </c>
      <c r="R36" s="125"/>
      <c r="S36" s="168">
        <f>Q36/O36-1</f>
        <v>6.3205826039439694E-2</v>
      </c>
      <c r="T36" s="168">
        <f>P36/O36-1</f>
        <v>6.3205826039439694E-2</v>
      </c>
      <c r="U36" s="168">
        <f>Q36/L36-1</f>
        <v>0.30624278198763433</v>
      </c>
      <c r="V36" s="168">
        <f>P36/L36-1</f>
        <v>0.30624278198763433</v>
      </c>
      <c r="W36" s="42"/>
    </row>
    <row r="37" spans="2:23" ht="15" customHeight="1">
      <c r="D37" s="74"/>
      <c r="H37" s="42"/>
      <c r="I37" s="51" t="str">
        <f>IF('Summary | Sumário'!$D$6=Names!$B$3,Names!BP45,Names!BQ45)</f>
        <v>Total assets</v>
      </c>
      <c r="J37" s="36">
        <f>'2. BS | BP'!O17/1000000</f>
        <v>46.3431</v>
      </c>
      <c r="K37" s="36">
        <f>'2. BS | BP'!P17/1000000</f>
        <v>47.701093999999998</v>
      </c>
      <c r="L37" s="36">
        <f>'2. BS | BP'!Q17/1000000</f>
        <v>50.003329000000001</v>
      </c>
      <c r="M37" s="36">
        <f>'2. BS | BP'!R17/1000000</f>
        <v>55.07884</v>
      </c>
      <c r="N37" s="36">
        <f>'2. BS | BP'!S17/1000000</f>
        <v>60.351796794910001</v>
      </c>
      <c r="O37" s="36">
        <f>'2. BS | BP'!T17/1000000</f>
        <v>62.349178777529303</v>
      </c>
      <c r="P37" s="36">
        <f>'2. BS | BP'!U17/1000000</f>
        <v>66.573459735836678</v>
      </c>
      <c r="Q37" s="123">
        <f>Q34+Q36</f>
        <v>66.573459735836678</v>
      </c>
      <c r="R37" s="36"/>
      <c r="S37" s="162">
        <f>Q37/O37-1</f>
        <v>6.7751990341047064E-2</v>
      </c>
      <c r="T37" s="162">
        <f>P37/O37-1</f>
        <v>6.7751990341047064E-2</v>
      </c>
      <c r="U37" s="162">
        <f>Q37/L37-1</f>
        <v>0.3313805513996213</v>
      </c>
      <c r="V37" s="162">
        <f>P37/L37-1</f>
        <v>0.3313805513996213</v>
      </c>
      <c r="W37" s="42"/>
    </row>
    <row r="38" spans="2:23" ht="15" customHeight="1">
      <c r="H38" s="42"/>
      <c r="I38" s="126"/>
      <c r="J38" s="126"/>
      <c r="K38" s="126"/>
      <c r="L38" s="126"/>
      <c r="M38" s="126"/>
      <c r="N38" s="126"/>
      <c r="O38" s="126"/>
      <c r="P38" s="126"/>
      <c r="Q38" s="121"/>
      <c r="R38" s="126"/>
      <c r="S38" s="126"/>
      <c r="T38" s="126"/>
      <c r="U38" s="126"/>
      <c r="V38" s="126"/>
      <c r="W38" s="42"/>
    </row>
    <row r="39" spans="2:23" ht="15" customHeight="1">
      <c r="H39" s="42"/>
      <c r="I39" s="116" t="str">
        <f>IF('Summary | Sumário'!$D$6=Names!$B$3,Names!BP47,Names!BQ47)</f>
        <v>Liabilities + equity</v>
      </c>
      <c r="J39" s="42"/>
      <c r="K39" s="42"/>
      <c r="L39" s="42"/>
      <c r="M39" s="42"/>
      <c r="N39" s="42"/>
      <c r="O39" s="42"/>
      <c r="P39" s="42"/>
      <c r="Q39" s="121"/>
      <c r="R39" s="42"/>
      <c r="S39" s="159"/>
      <c r="T39" s="159"/>
      <c r="U39" s="159"/>
      <c r="V39" s="159"/>
      <c r="W39" s="42"/>
    </row>
    <row r="40" spans="2:23" ht="15" customHeight="1">
      <c r="H40" s="42"/>
      <c r="I40" s="124" t="str">
        <f>IF('Summary | Sumário'!$D$6=Names!$B$3,Names!BP48,Names!BQ48)</f>
        <v>Total funding</v>
      </c>
      <c r="J40" s="125">
        <f>'5. Funding'!O15/1000000</f>
        <v>32.516818000000001</v>
      </c>
      <c r="K40" s="125">
        <f>'5. Funding'!P15/1000000</f>
        <v>33.532685000000001</v>
      </c>
      <c r="L40" s="125">
        <f>'5. Funding'!Q15/1000000</f>
        <v>35.665087040739998</v>
      </c>
      <c r="M40" s="125">
        <f>'5. Funding'!R15/1000000</f>
        <v>39.571626560479999</v>
      </c>
      <c r="N40" s="125">
        <f>'5. Funding'!S15/1000000</f>
        <v>43.513032000000003</v>
      </c>
      <c r="O40" s="125">
        <f>'5. Funding'!T15/1000000</f>
        <v>43.783581005715945</v>
      </c>
      <c r="P40" s="125">
        <f>'5. Funding'!U15/1000000</f>
        <v>47.759600856010003</v>
      </c>
      <c r="Q40" s="122">
        <f>P40/P34*Q34</f>
        <v>47.75960085601001</v>
      </c>
      <c r="R40" s="125"/>
      <c r="S40" s="168">
        <f>Q40/O40-1</f>
        <v>9.0810750490577741E-2</v>
      </c>
      <c r="T40" s="168">
        <f>P40/O40-1</f>
        <v>9.0810750490577519E-2</v>
      </c>
      <c r="U40" s="168">
        <f>Q40/L40-1</f>
        <v>0.33911353704126745</v>
      </c>
      <c r="V40" s="168">
        <f>P40/L40-1</f>
        <v>0.33911353704126723</v>
      </c>
      <c r="W40" s="42"/>
    </row>
    <row r="41" spans="2:23" ht="15" customHeight="1">
      <c r="H41" s="42"/>
      <c r="I41" s="46" t="str">
        <f>IF('Summary | Sumário'!$D$6=Names!$B$3,Names!BP49,Names!BQ49)</f>
        <v>Other liabilities</v>
      </c>
      <c r="J41" s="30">
        <f>J43-J40-J42</f>
        <v>6.7371779999999992</v>
      </c>
      <c r="K41" s="30">
        <f t="shared" ref="K41:N41" si="15">K43-K40-K42</f>
        <v>7.0285029999999971</v>
      </c>
      <c r="L41" s="30">
        <f t="shared" si="15"/>
        <v>7.0205839592600032</v>
      </c>
      <c r="M41" s="30">
        <f t="shared" si="15"/>
        <v>8.13898643952</v>
      </c>
      <c r="N41" s="30">
        <f t="shared" si="15"/>
        <v>9.2420737949099987</v>
      </c>
      <c r="O41" s="30">
        <f t="shared" ref="O41:P41" si="16">O43-O40-O42</f>
        <v>10.027144770907325</v>
      </c>
      <c r="P41" s="30">
        <f t="shared" si="16"/>
        <v>10.206322878920636</v>
      </c>
      <c r="Q41" s="122">
        <f>Q43-Q40-Q42</f>
        <v>10.206322878920629</v>
      </c>
      <c r="R41" s="30"/>
      <c r="S41" s="169">
        <f>Q41/O41-1</f>
        <v>1.7869304982328416E-2</v>
      </c>
      <c r="T41" s="169">
        <f>P41/O41-1</f>
        <v>1.7869304982329304E-2</v>
      </c>
      <c r="U41" s="169">
        <f>Q41/L41-1</f>
        <v>0.45377121591982417</v>
      </c>
      <c r="V41" s="169">
        <f>P41/L41-1</f>
        <v>0.45377121591982528</v>
      </c>
      <c r="W41" s="42"/>
    </row>
    <row r="42" spans="2:23" ht="15" customHeight="1">
      <c r="H42" s="42"/>
      <c r="I42" s="124" t="str">
        <f>IF('Summary | Sumário'!$D$6=Names!$B$3,Names!BP50,Names!BQ50)</f>
        <v>Equity</v>
      </c>
      <c r="J42" s="125">
        <f>'2. BS | BP'!O38/1000000</f>
        <v>7.0891039999999998</v>
      </c>
      <c r="K42" s="125">
        <f>'2. BS | BP'!P38/1000000</f>
        <v>7.1399059999999999</v>
      </c>
      <c r="L42" s="125">
        <f>'2. BS | BP'!Q38/1000000</f>
        <v>7.3176579999999998</v>
      </c>
      <c r="M42" s="125">
        <f>'2. BS | BP'!R38/1000000</f>
        <v>7.3682270000000001</v>
      </c>
      <c r="N42" s="125">
        <f>'2. BS | BP'!S38/1000000</f>
        <v>7.5966909999999999</v>
      </c>
      <c r="O42" s="125">
        <f>'2. BS | BP'!T38/1000000</f>
        <v>8.5384530009060331</v>
      </c>
      <c r="P42" s="125">
        <f>'2. BS | BP'!U38/1000000</f>
        <v>8.6075360009060393</v>
      </c>
      <c r="Q42" s="122">
        <f>P42+(Q26-P26)/1000</f>
        <v>8.6075360009060393</v>
      </c>
      <c r="R42" s="125"/>
      <c r="S42" s="168">
        <f>Q42/O42-1</f>
        <v>8.090809891753814E-3</v>
      </c>
      <c r="T42" s="168">
        <f>P42/O42-1</f>
        <v>8.090809891753814E-3</v>
      </c>
      <c r="U42" s="168">
        <f>Q42/L42-1</f>
        <v>0.17626923817784856</v>
      </c>
      <c r="V42" s="168">
        <f>P42/L42-1</f>
        <v>0.17626923817784856</v>
      </c>
      <c r="W42" s="42"/>
    </row>
    <row r="43" spans="2:23" ht="15" customHeight="1">
      <c r="H43" s="42"/>
      <c r="I43" s="51" t="str">
        <f>IF('Summary | Sumário'!$D$6=Names!$B$3,Names!BP51,Names!BQ51)</f>
        <v>Total liabilities</v>
      </c>
      <c r="J43" s="36">
        <f>J37</f>
        <v>46.3431</v>
      </c>
      <c r="K43" s="36">
        <f t="shared" ref="K43:N43" si="17">K37</f>
        <v>47.701093999999998</v>
      </c>
      <c r="L43" s="36">
        <f t="shared" si="17"/>
        <v>50.003329000000001</v>
      </c>
      <c r="M43" s="36">
        <f t="shared" si="17"/>
        <v>55.07884</v>
      </c>
      <c r="N43" s="36">
        <f t="shared" si="17"/>
        <v>60.351796794910001</v>
      </c>
      <c r="O43" s="36">
        <f t="shared" ref="O43:P43" si="18">O37</f>
        <v>62.349178777529303</v>
      </c>
      <c r="P43" s="36">
        <f t="shared" si="18"/>
        <v>66.573459735836678</v>
      </c>
      <c r="Q43" s="123">
        <f>Q37</f>
        <v>66.573459735836678</v>
      </c>
      <c r="R43" s="117"/>
      <c r="S43" s="170">
        <f>Q43/O43-1</f>
        <v>6.7751990341047064E-2</v>
      </c>
      <c r="T43" s="170">
        <f>P43/O43-1</f>
        <v>6.7751990341047064E-2</v>
      </c>
      <c r="U43" s="170">
        <f>Q43/L43-1</f>
        <v>0.3313805513996213</v>
      </c>
      <c r="V43" s="170">
        <f>P43/L43-1</f>
        <v>0.3313805513996213</v>
      </c>
      <c r="W43" s="42"/>
    </row>
    <row r="44" spans="2:23" ht="15" customHeight="1">
      <c r="H44" s="42"/>
      <c r="I44" s="42"/>
      <c r="J44" s="42"/>
      <c r="K44" s="42"/>
      <c r="L44" s="42"/>
      <c r="M44" s="42"/>
      <c r="N44" s="42"/>
      <c r="O44" s="42"/>
      <c r="P44" s="42"/>
      <c r="Q44" s="42"/>
      <c r="R44" s="42"/>
      <c r="S44" s="42"/>
      <c r="T44" s="42"/>
      <c r="U44" s="42"/>
      <c r="V44" s="42"/>
      <c r="W44" s="42"/>
    </row>
    <row r="46" spans="2:23" ht="15" customHeight="1">
      <c r="B46" s="59"/>
      <c r="C46" s="59"/>
      <c r="D46" s="59"/>
      <c r="E46" s="70"/>
      <c r="F46" s="70"/>
      <c r="G46" s="59"/>
      <c r="H46" s="59"/>
      <c r="I46" s="59"/>
      <c r="J46" s="59"/>
      <c r="K46" s="59"/>
      <c r="L46" s="59"/>
      <c r="M46" s="59"/>
      <c r="N46" s="59"/>
      <c r="O46" s="59"/>
      <c r="P46" s="59"/>
      <c r="Q46" s="59"/>
      <c r="R46" s="59"/>
      <c r="S46" s="59"/>
      <c r="T46" s="59"/>
      <c r="U46" s="59"/>
      <c r="V46" s="59"/>
      <c r="W46" s="59"/>
    </row>
    <row r="47" spans="2:23" ht="49" customHeight="1">
      <c r="B47" s="59"/>
      <c r="C47" s="648" t="str">
        <f>IF('Summary | Sumário'!$D$6=Names!$B$3,Names!BP60,Names!BQ60)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648"/>
      <c r="E47" s="648"/>
      <c r="F47" s="648"/>
      <c r="G47" s="648"/>
      <c r="H47" s="648"/>
      <c r="I47" s="648"/>
      <c r="J47" s="648"/>
      <c r="K47" s="648"/>
      <c r="L47" s="648"/>
      <c r="M47" s="648"/>
      <c r="N47" s="648"/>
      <c r="O47" s="648"/>
      <c r="P47" s="648"/>
      <c r="Q47" s="648"/>
      <c r="R47" s="648"/>
      <c r="S47" s="648"/>
      <c r="T47" s="648"/>
      <c r="U47" s="648"/>
      <c r="V47" s="648"/>
      <c r="W47" s="648"/>
    </row>
    <row r="48" spans="2:23" ht="15" customHeight="1">
      <c r="B48" s="59"/>
      <c r="C48" s="59"/>
      <c r="D48" s="59"/>
      <c r="E48" s="70"/>
      <c r="F48" s="70"/>
      <c r="G48" s="59"/>
      <c r="H48" s="59"/>
      <c r="I48" s="59"/>
      <c r="J48" s="59"/>
      <c r="K48" s="59"/>
      <c r="L48" s="59"/>
      <c r="M48" s="59"/>
      <c r="N48" s="59"/>
      <c r="O48" s="59"/>
      <c r="P48" s="59"/>
      <c r="Q48" s="59"/>
      <c r="R48" s="59"/>
      <c r="S48" s="59"/>
      <c r="T48" s="59"/>
      <c r="U48" s="59"/>
      <c r="V48" s="59"/>
      <c r="W48" s="59"/>
    </row>
    <row r="64" spans="9:9" ht="15" customHeight="1">
      <c r="I64" s="65"/>
    </row>
    <row r="66" spans="3:18" ht="15" customHeight="1">
      <c r="C66" s="646"/>
      <c r="D66" s="646"/>
      <c r="E66" s="646"/>
      <c r="F66" s="646"/>
      <c r="G66" s="646"/>
      <c r="H66" s="646"/>
      <c r="I66" s="646"/>
      <c r="J66" s="646"/>
      <c r="K66" s="646"/>
      <c r="L66" s="646"/>
      <c r="M66" s="646"/>
      <c r="N66" s="646"/>
      <c r="O66" s="646"/>
      <c r="P66" s="646"/>
      <c r="Q66" s="646"/>
      <c r="R66" s="66"/>
    </row>
  </sheetData>
  <sheetProtection algorithmName="SHA-512" hashValue="sQfRd+UHe8LLLYTxrmHqOK0mcysjR8pB9Mjmohu/fRDaHOr8ETaZ8TFC8PlDcT0Qs2mv0WcWHnFLcNegDcL1Og==" saltValue="KJWCl2zcDwEEWMRqPRONbg==" spinCount="100000" sheet="1" formatCells="0" formatColumns="0" formatRows="0" insertColumns="0" insertRows="0" insertHyperlinks="0" deleteColumns="0" deleteRows="0" sort="0" autoFilter="0" pivotTables="0"/>
  <mergeCells count="6">
    <mergeCell ref="C3:V4"/>
    <mergeCell ref="C5:W5"/>
    <mergeCell ref="C66:Q66"/>
    <mergeCell ref="S8:V8"/>
    <mergeCell ref="S31:V31"/>
    <mergeCell ref="C47:W47"/>
  </mergeCells>
  <pageMargins left="0.511811024" right="0.511811024" top="0.78740157499999996" bottom="0.78740157499999996" header="0.31496062000000002" footer="0.31496062000000002"/>
  <pageSetup paperSize="9" orientation="portrait" horizontalDpi="0" verticalDpi="0"/>
  <ignoredErrors>
    <ignoredError sqref="G64 J64:N64 D64:E64 D27 Q19 Q41 Q23:Q24 J26:M26 Q43 Q13 J12:N12 Q10 Q16 Q20 Q26 Q38:Q39 Q37 J38:N39 J15:N16 J13:N13 J43:N43 J23:N24 J41:N41 J18:N19 J36:N36" unlockedFormula="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2387ac-e78b-4690-a915-72ca2ef0e251">
      <UserInfo>
        <DisplayName/>
        <AccountId xsi:nil="true"/>
        <AccountType/>
      </UserInfo>
    </SharedWithUsers>
    <lcf76f155ced4ddcb4097134ff3c332f xmlns="5d9f6fee-b6ef-4fa4-8eca-ab2ea167719e">
      <Terms xmlns="http://schemas.microsoft.com/office/infopath/2007/PartnerControls"/>
    </lcf76f155ced4ddcb4097134ff3c332f>
    <TaxCatchAll xmlns="732387ac-e78b-4690-a915-72ca2ef0e2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E818A26B56FC449FC3FC4B33B773FD" ma:contentTypeVersion="16" ma:contentTypeDescription="Create a new document." ma:contentTypeScope="" ma:versionID="df4f162508ec91738c646fc934dde22c">
  <xsd:schema xmlns:xsd="http://www.w3.org/2001/XMLSchema" xmlns:xs="http://www.w3.org/2001/XMLSchema" xmlns:p="http://schemas.microsoft.com/office/2006/metadata/properties" xmlns:ns2="5d9f6fee-b6ef-4fa4-8eca-ab2ea167719e" xmlns:ns3="732387ac-e78b-4690-a915-72ca2ef0e251" targetNamespace="http://schemas.microsoft.com/office/2006/metadata/properties" ma:root="true" ma:fieldsID="654138d876e56177fb2dbeaa804090c0" ns2:_="" ns3:_="">
    <xsd:import namespace="5d9f6fee-b6ef-4fa4-8eca-ab2ea167719e"/>
    <xsd:import namespace="732387ac-e78b-4690-a915-72ca2ef0e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f6fee-b6ef-4fa4-8eca-ab2ea1677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387ac-e78b-4690-a915-72ca2ef0e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12c62a7-6304-4677-961b-98b31ee99232}" ma:internalName="TaxCatchAll" ma:showField="CatchAllData" ma:web="732387ac-e78b-4690-a915-72ca2ef0e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2DE5B4-D031-4212-9547-CB6B5BD9375B}">
  <ds:schemaRefs>
    <ds:schemaRef ds:uri="http://purl.org/dc/elements/1.1/"/>
    <ds:schemaRef ds:uri="http://purl.org/dc/dcmitype/"/>
    <ds:schemaRef ds:uri="5d9f6fee-b6ef-4fa4-8eca-ab2ea167719e"/>
    <ds:schemaRef ds:uri="732387ac-e78b-4690-a915-72ca2ef0e25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01D00CC8-D47D-44DB-804F-D65C18AC6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f6fee-b6ef-4fa4-8eca-ab2ea167719e"/>
    <ds:schemaRef ds:uri="732387ac-e78b-4690-a915-72ca2ef0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CD487-4B02-4B36-BF83-23F3D0CAF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Names</vt:lpstr>
      <vt:lpstr>Summary | Sumário</vt:lpstr>
      <vt:lpstr>1. Highlights</vt:lpstr>
      <vt:lpstr>2. BS | BP</vt:lpstr>
      <vt:lpstr>3. IS | DRE</vt:lpstr>
      <vt:lpstr>4. Credit | Crédito</vt:lpstr>
      <vt:lpstr>5. Funding</vt:lpstr>
      <vt:lpstr>6. Fee Revenue | R. de Serviços</vt:lpstr>
      <vt:lpstr>7. Financial KPIs (Financeiros)</vt:lpstr>
      <vt:lpstr>7.1. Tier I Ratio | Basileia</vt:lpstr>
      <vt:lpstr>7.2. NIMs</vt:lpstr>
      <vt:lpstr>7.3. Efficiency | Eficiência</vt:lpstr>
      <vt:lpstr>7.4. CTS | Custo de servir</vt:lpstr>
      <vt:lpstr>7.5. ARPAC</vt:lpstr>
      <vt:lpstr>7.6. Cost of Risk</vt:lpstr>
      <vt:lpstr>1. Inter Invest</vt:lpstr>
      <vt:lpstr>2. Inter Seguros</vt:lpstr>
      <vt:lpstr>3. Inter Shop</vt:lpstr>
      <vt:lpstr>4. Digital Acou. | Conta Dig.</vt:lpstr>
      <vt:lpstr>5. Oper. KPIs | KPIs Oper.</vt:lpstr>
      <vt:lpstr>1. Market Data | Dado de Mer.</vt:lpstr>
      <vt:lpstr>2. Simulation | Simulação</vt:lpstr>
      <vt:lpstr>3. Disclaimer</vt:lpstr>
      <vt:lpstr>4. Glossary | Glossário</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2024-08-06T21:59:41Z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0x0101003BE818A26B56FC449FC3FC4B33B773FD</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