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mc:AlternateContent xmlns:mc="http://schemas.openxmlformats.org/markup-compatibility/2006">
    <mc:Choice Requires="x15">
      <x15ac:absPath xmlns:x15ac="http://schemas.microsoft.com/office/spreadsheetml/2010/11/ac" url="https://intermediumsa.sharepoint.com/sites/TimeRI855/Documentos Compartilhados/General/Inter&amp;Co IR Base/Séries Históricas/1. Website Version/4Q23/"/>
    </mc:Choice>
  </mc:AlternateContent>
  <xr:revisionPtr revIDLastSave="9071" documentId="8_{384940E5-FA30-704D-B26D-C0008B6E3CE8}" xr6:coauthVersionLast="47" xr6:coauthVersionMax="47" xr10:uidLastSave="{23D43264-A7CD-FF46-9352-A95AC1D27091}"/>
  <bookViews>
    <workbookView xWindow="-780" yWindow="-20240" windowWidth="33600" windowHeight="18720" tabRatio="502" activeTab="1" xr2:uid="{00000000-000D-0000-FFFF-FFFF00000000}"/>
  </bookViews>
  <sheets>
    <sheet name="Names" sheetId="40" state="hidden" r:id="rId1"/>
    <sheet name="Summary | Sumário" sheetId="13" r:id="rId2"/>
    <sheet name="1. Highlights" sheetId="48" r:id="rId3"/>
    <sheet name="2. BS | BP" sheetId="20" r:id="rId4"/>
    <sheet name="3. IS | DRE" sheetId="18" r:id="rId5"/>
    <sheet name="4. Credit | Crédito" sheetId="19" r:id="rId6"/>
    <sheet name="5. Funding" sheetId="41" r:id="rId7"/>
    <sheet name="6. Fee Revenue | R. de Serviços" sheetId="35" r:id="rId8"/>
    <sheet name="7. Financial KPIs (Financeiros)" sheetId="28" r:id="rId9"/>
    <sheet name="7.1. Tier I Ratio | Basileia" sheetId="42" r:id="rId10"/>
    <sheet name="7.2. NIMs" sheetId="36" r:id="rId11"/>
    <sheet name="7.3. Efficiency | Eficiência" sheetId="37" r:id="rId12"/>
    <sheet name="7.4. CTS | Custo de servir" sheetId="38" r:id="rId13"/>
    <sheet name="7.5. ARPAC" sheetId="39" r:id="rId14"/>
    <sheet name="7.6. Cost of Risk" sheetId="51" r:id="rId15"/>
    <sheet name="1. Inter Invest" sheetId="31" r:id="rId16"/>
    <sheet name="2. Inter Seguros" sheetId="30" r:id="rId17"/>
    <sheet name="3. Inter Shop" sheetId="29" r:id="rId18"/>
    <sheet name="4. Digital Acou. | Conta Dig." sheetId="32" r:id="rId19"/>
    <sheet name="5. Oper. KPIs | KPIs Oper." sheetId="23" r:id="rId20"/>
    <sheet name="1. Simulation | Simulação" sheetId="52" r:id="rId21"/>
    <sheet name="2. Disclaimer" sheetId="46" r:id="rId22"/>
    <sheet name="3. Glossary | Glossário" sheetId="44"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41" l="1"/>
  <c r="G18" i="41"/>
  <c r="G8" i="28"/>
  <c r="G9" i="28"/>
  <c r="S5" i="28"/>
  <c r="K45" i="36"/>
  <c r="K44" i="36" s="1"/>
  <c r="B56" i="36"/>
  <c r="B55" i="36"/>
  <c r="B54" i="36"/>
  <c r="B53" i="36"/>
  <c r="B52" i="36"/>
  <c r="B51" i="36"/>
  <c r="B50" i="36"/>
  <c r="B49" i="36"/>
  <c r="B48" i="36"/>
  <c r="B47" i="36"/>
  <c r="B46" i="36"/>
  <c r="B45" i="36"/>
  <c r="B44" i="36"/>
  <c r="B43" i="36"/>
  <c r="B41" i="36"/>
  <c r="B40" i="36"/>
  <c r="B39" i="36"/>
  <c r="B38" i="36"/>
  <c r="B37" i="36"/>
  <c r="B36" i="36"/>
  <c r="B35" i="36"/>
  <c r="B34" i="36"/>
  <c r="B33" i="36"/>
  <c r="B32" i="36"/>
  <c r="B31" i="36"/>
  <c r="B30" i="36"/>
  <c r="B102" i="19"/>
  <c r="B101" i="19"/>
  <c r="B100" i="19"/>
  <c r="J21" i="48"/>
  <c r="P9" i="52"/>
  <c r="O9" i="52"/>
  <c r="O32" i="52" s="1"/>
  <c r="E9" i="52"/>
  <c r="P2" i="23"/>
  <c r="J45" i="36" l="1"/>
  <c r="J44" i="36" s="1"/>
  <c r="H45" i="36"/>
  <c r="H44" i="36" s="1"/>
  <c r="R45" i="36"/>
  <c r="R44" i="36" s="1"/>
  <c r="G45" i="36"/>
  <c r="G44" i="36" s="1"/>
  <c r="P45" i="36"/>
  <c r="P44" i="36" s="1"/>
  <c r="C45" i="36"/>
  <c r="C44" i="36" s="1"/>
  <c r="S45" i="36"/>
  <c r="S44" i="36" s="1"/>
  <c r="M45" i="36"/>
  <c r="M44" i="36" s="1"/>
  <c r="L45" i="36"/>
  <c r="L44" i="36" s="1"/>
  <c r="F45" i="36"/>
  <c r="F44" i="36" s="1"/>
  <c r="O45" i="36"/>
  <c r="O44" i="36" s="1"/>
  <c r="N45" i="36"/>
  <c r="N44" i="36" s="1"/>
  <c r="I45" i="36"/>
  <c r="I44" i="36" s="1"/>
  <c r="Q45" i="36"/>
  <c r="Q44" i="36" s="1"/>
  <c r="E45" i="36"/>
  <c r="E44" i="36" s="1"/>
  <c r="D45" i="36"/>
  <c r="D44" i="36" s="1"/>
  <c r="P2" i="32"/>
  <c r="O2" i="29"/>
  <c r="P2" i="30"/>
  <c r="P2" i="31"/>
  <c r="G2" i="51"/>
  <c r="S2" i="51"/>
  <c r="G16" i="51" s="1"/>
  <c r="G2" i="39"/>
  <c r="S2" i="39"/>
  <c r="G2" i="38"/>
  <c r="S2" i="38"/>
  <c r="G2" i="37"/>
  <c r="S2" i="37"/>
  <c r="G2" i="36"/>
  <c r="S2" i="36"/>
  <c r="S2" i="42"/>
  <c r="G2" i="42"/>
  <c r="G21" i="42"/>
  <c r="G20" i="42"/>
  <c r="G19" i="42"/>
  <c r="G18" i="42"/>
  <c r="G17" i="42"/>
  <c r="G15" i="42"/>
  <c r="G14" i="42"/>
  <c r="G13" i="42"/>
  <c r="G11" i="42"/>
  <c r="G10" i="42"/>
  <c r="G9" i="42"/>
  <c r="G8" i="42"/>
  <c r="G7" i="42"/>
  <c r="G6" i="42"/>
  <c r="G5" i="42"/>
  <c r="G5" i="28"/>
  <c r="G2" i="28"/>
  <c r="S14" i="28"/>
  <c r="S2" i="28"/>
  <c r="B32" i="35"/>
  <c r="G2" i="35"/>
  <c r="S2" i="35"/>
  <c r="G2" i="41"/>
  <c r="S2" i="41"/>
  <c r="G2" i="18"/>
  <c r="S2" i="18"/>
  <c r="G2" i="20"/>
  <c r="F2" i="20"/>
  <c r="S2" i="20"/>
  <c r="B2" i="48"/>
  <c r="J2" i="48"/>
  <c r="G31" i="35" l="1"/>
  <c r="S31" i="35"/>
  <c r="G51" i="36"/>
  <c r="G53" i="36"/>
  <c r="S32" i="36"/>
  <c r="S51" i="36"/>
  <c r="S53" i="36"/>
  <c r="G55" i="36"/>
  <c r="S55" i="36"/>
  <c r="G32" i="36"/>
  <c r="P2" i="19"/>
  <c r="C18" i="52"/>
  <c r="C13" i="52"/>
  <c r="S36" i="36" l="1"/>
  <c r="S50" i="36"/>
  <c r="G36" i="36"/>
  <c r="G50" i="36"/>
  <c r="R5" i="28"/>
  <c r="Q5" i="28"/>
  <c r="E5" i="28"/>
  <c r="F5" i="28"/>
  <c r="B34" i="35"/>
  <c r="B17" i="41"/>
  <c r="B23" i="41"/>
  <c r="B25" i="41"/>
  <c r="B25" i="48"/>
  <c r="G31" i="36" l="1"/>
  <c r="S31" i="36"/>
  <c r="B90" i="19"/>
  <c r="B76" i="19"/>
  <c r="B9" i="30" l="1"/>
  <c r="B74" i="19" l="1"/>
  <c r="B98" i="19"/>
  <c r="I21" i="48"/>
  <c r="K21" i="48" s="1"/>
  <c r="D75" i="19"/>
  <c r="E75" i="19"/>
  <c r="F75" i="19"/>
  <c r="G75" i="19"/>
  <c r="H75" i="19"/>
  <c r="C75" i="19"/>
  <c r="B69" i="19"/>
  <c r="B77" i="19"/>
  <c r="B75" i="19"/>
  <c r="B73" i="19"/>
  <c r="B72" i="19"/>
  <c r="B71" i="19"/>
  <c r="B70" i="19"/>
  <c r="B68" i="19"/>
  <c r="B88" i="19"/>
  <c r="B10" i="51"/>
  <c r="B9" i="51"/>
  <c r="B8" i="51"/>
  <c r="B7" i="51"/>
  <c r="B6" i="51"/>
  <c r="B5" i="51"/>
  <c r="B4" i="51"/>
  <c r="B49" i="19"/>
  <c r="B50" i="19"/>
  <c r="B51" i="19"/>
  <c r="B52" i="19"/>
  <c r="B53" i="19"/>
  <c r="B56" i="19"/>
  <c r="B57" i="19"/>
  <c r="B58" i="19"/>
  <c r="B97" i="19"/>
  <c r="B96" i="19"/>
  <c r="B95" i="19"/>
  <c r="B94" i="19"/>
  <c r="B93" i="19"/>
  <c r="B92" i="19"/>
  <c r="B89" i="19"/>
  <c r="B87" i="19"/>
  <c r="B86" i="19"/>
  <c r="B85" i="19"/>
  <c r="B84" i="19"/>
  <c r="B83" i="19"/>
  <c r="B82" i="19"/>
  <c r="B81" i="19"/>
  <c r="B80" i="19"/>
  <c r="B79" i="19"/>
  <c r="B64" i="19"/>
  <c r="P86" i="19" s="1"/>
  <c r="B65" i="19"/>
  <c r="B61" i="19"/>
  <c r="B62" i="19"/>
  <c r="B63" i="19"/>
  <c r="P83" i="19" s="1"/>
  <c r="B59" i="19"/>
  <c r="B60" i="19"/>
  <c r="B54" i="19"/>
  <c r="B55" i="19"/>
  <c r="N9" i="52" l="1"/>
  <c r="M9" i="52"/>
  <c r="L9" i="52"/>
  <c r="K9" i="52"/>
  <c r="J9" i="52"/>
  <c r="O2" i="23"/>
  <c r="O2" i="32"/>
  <c r="N2" i="29"/>
  <c r="O2" i="30"/>
  <c r="O2" i="31"/>
  <c r="R2" i="51"/>
  <c r="S17" i="51" s="1"/>
  <c r="S15" i="51" s="1"/>
  <c r="R2" i="39"/>
  <c r="R2" i="38"/>
  <c r="R2" i="37"/>
  <c r="R2" i="36"/>
  <c r="R2" i="42"/>
  <c r="R2" i="28"/>
  <c r="R2" i="35"/>
  <c r="B36" i="41"/>
  <c r="B27" i="41"/>
  <c r="B24" i="41"/>
  <c r="B22" i="41"/>
  <c r="B21" i="41"/>
  <c r="B20" i="41"/>
  <c r="B19" i="41"/>
  <c r="B18" i="41"/>
  <c r="S18" i="41" l="1"/>
  <c r="R32" i="36"/>
  <c r="R51" i="36"/>
  <c r="R53" i="36"/>
  <c r="R55" i="36"/>
  <c r="B9" i="41"/>
  <c r="G9" i="41" s="1"/>
  <c r="B14" i="41"/>
  <c r="G14" i="41" s="1"/>
  <c r="B13" i="41"/>
  <c r="G13" i="41" s="1"/>
  <c r="B12" i="41"/>
  <c r="B11" i="41"/>
  <c r="B10" i="41"/>
  <c r="G10" i="41" s="1"/>
  <c r="B15" i="41"/>
  <c r="B8" i="41"/>
  <c r="G8" i="41" s="1"/>
  <c r="B7" i="41"/>
  <c r="G7" i="41" s="1"/>
  <c r="B6" i="41"/>
  <c r="G6" i="41" s="1"/>
  <c r="B5" i="41"/>
  <c r="B4" i="41"/>
  <c r="B46" i="41"/>
  <c r="G5" i="41" l="1"/>
  <c r="G12" i="41"/>
  <c r="S11" i="41"/>
  <c r="G11" i="41" s="1"/>
  <c r="R36" i="36"/>
  <c r="R50" i="36"/>
  <c r="R2" i="41"/>
  <c r="O2" i="19"/>
  <c r="R2" i="18"/>
  <c r="S35" i="36" l="1"/>
  <c r="S41" i="36" s="1"/>
  <c r="S15" i="41"/>
  <c r="J19" i="48" s="1"/>
  <c r="R31" i="36"/>
  <c r="R18" i="41"/>
  <c r="O83" i="19"/>
  <c r="O86" i="19"/>
  <c r="O40" i="52" l="1"/>
  <c r="S21" i="41"/>
  <c r="G15" i="41"/>
  <c r="G21" i="41" s="1"/>
  <c r="R11" i="41"/>
  <c r="R15" i="41" s="1"/>
  <c r="I19" i="48" s="1"/>
  <c r="R2" i="20"/>
  <c r="I2" i="48"/>
  <c r="B28" i="37"/>
  <c r="B26" i="37"/>
  <c r="B27" i="37"/>
  <c r="N40" i="52" l="1"/>
  <c r="E19" i="52" s="1"/>
  <c r="S22" i="41"/>
  <c r="S20" i="41" s="1"/>
  <c r="S23" i="41" s="1"/>
  <c r="R21" i="41"/>
  <c r="B13" i="48"/>
  <c r="E11" i="52" l="1"/>
  <c r="B38" i="48"/>
  <c r="B37" i="48"/>
  <c r="B36" i="48"/>
  <c r="B35" i="48"/>
  <c r="B34" i="48"/>
  <c r="B33" i="48"/>
  <c r="B31" i="48"/>
  <c r="B30" i="48"/>
  <c r="B29" i="48"/>
  <c r="B28" i="48"/>
  <c r="B26" i="48"/>
  <c r="B24" i="48"/>
  <c r="B23" i="48"/>
  <c r="B21" i="48"/>
  <c r="B20" i="48"/>
  <c r="B19" i="48"/>
  <c r="B18" i="48"/>
  <c r="B17" i="48"/>
  <c r="B15" i="48"/>
  <c r="B14" i="48"/>
  <c r="B12" i="48"/>
  <c r="B11" i="48"/>
  <c r="B9" i="48"/>
  <c r="B8" i="48"/>
  <c r="B7" i="48"/>
  <c r="B6" i="48"/>
  <c r="B5" i="48"/>
  <c r="B4" i="48"/>
  <c r="H2" i="48"/>
  <c r="G2" i="48"/>
  <c r="F2" i="48"/>
  <c r="E2" i="48"/>
  <c r="D2" i="48"/>
  <c r="C2" i="48"/>
  <c r="B32" i="37" l="1"/>
  <c r="B33" i="37"/>
  <c r="B34" i="37"/>
  <c r="B29" i="37"/>
  <c r="B30" i="37"/>
  <c r="B31" i="37"/>
  <c r="B25" i="37"/>
  <c r="B23" i="37"/>
  <c r="B17" i="37"/>
  <c r="B18" i="37"/>
  <c r="B19" i="37"/>
  <c r="B20" i="37"/>
  <c r="B21" i="37"/>
  <c r="B22" i="37"/>
  <c r="B16" i="37"/>
  <c r="J18" i="13" l="1"/>
  <c r="I35" i="52" l="1"/>
  <c r="D9" i="52" l="1"/>
  <c r="C3" i="52"/>
  <c r="B13" i="38"/>
  <c r="B10" i="37"/>
  <c r="C47" i="52"/>
  <c r="U9" i="52"/>
  <c r="U32" i="52" s="1"/>
  <c r="T9" i="52"/>
  <c r="T32" i="52" s="1"/>
  <c r="S9" i="52"/>
  <c r="S32" i="52" s="1"/>
  <c r="R9" i="52"/>
  <c r="R32" i="52" s="1"/>
  <c r="R8" i="52"/>
  <c r="R31" i="52" s="1"/>
  <c r="I33" i="52"/>
  <c r="I34" i="52"/>
  <c r="I36" i="52"/>
  <c r="I37" i="52"/>
  <c r="I39" i="52"/>
  <c r="I40" i="52"/>
  <c r="I41" i="52"/>
  <c r="I42" i="52"/>
  <c r="I43" i="52"/>
  <c r="I32" i="52"/>
  <c r="I12" i="52"/>
  <c r="I14" i="52"/>
  <c r="I15" i="52"/>
  <c r="I17" i="52"/>
  <c r="I18" i="52"/>
  <c r="I20" i="52"/>
  <c r="I21" i="52"/>
  <c r="I22" i="52"/>
  <c r="I23" i="52"/>
  <c r="I25" i="52"/>
  <c r="I26" i="52"/>
  <c r="I10" i="52"/>
  <c r="I11" i="52"/>
  <c r="I9" i="52"/>
  <c r="E24" i="52"/>
  <c r="D24" i="52"/>
  <c r="C24" i="52"/>
  <c r="C25" i="52"/>
  <c r="C26" i="52"/>
  <c r="C27" i="52"/>
  <c r="C9" i="52"/>
  <c r="C10" i="52"/>
  <c r="C11" i="52"/>
  <c r="C12" i="52"/>
  <c r="C14" i="52"/>
  <c r="C15" i="52"/>
  <c r="C16" i="52"/>
  <c r="C17" i="52"/>
  <c r="C19" i="52"/>
  <c r="C5" i="52"/>
  <c r="J32" i="52"/>
  <c r="P32" i="52"/>
  <c r="N32" i="52"/>
  <c r="M32" i="52"/>
  <c r="L32" i="52"/>
  <c r="K32" i="52"/>
  <c r="G10" i="13"/>
  <c r="J26" i="13"/>
  <c r="J28" i="13"/>
  <c r="J24" i="13"/>
  <c r="BI2" i="40"/>
  <c r="BI1" i="40"/>
  <c r="BG1" i="40"/>
  <c r="BG2" i="40" s="1"/>
  <c r="D21" i="48"/>
  <c r="E21" i="48"/>
  <c r="F21" i="48"/>
  <c r="L21" i="48" s="1"/>
  <c r="G21" i="48"/>
  <c r="H21" i="48"/>
  <c r="C21" i="48"/>
  <c r="B26" i="39" l="1"/>
  <c r="B12" i="39"/>
  <c r="G26" i="39" l="1"/>
  <c r="S26" i="39"/>
  <c r="G30" i="37"/>
  <c r="G19" i="37"/>
  <c r="S19" i="37"/>
  <c r="S30" i="37"/>
  <c r="R26" i="39"/>
  <c r="B20" i="51"/>
  <c r="B45" i="19"/>
  <c r="P89" i="19" s="1"/>
  <c r="O89" i="19" l="1"/>
  <c r="G34" i="13"/>
  <c r="B18" i="51"/>
  <c r="B17" i="51"/>
  <c r="B16" i="51"/>
  <c r="B15" i="51"/>
  <c r="B14" i="51"/>
  <c r="B13" i="51"/>
  <c r="B12" i="51"/>
  <c r="B2" i="51"/>
  <c r="B14" i="18"/>
  <c r="Q2" i="51"/>
  <c r="P2" i="51"/>
  <c r="O2" i="51"/>
  <c r="N2" i="51"/>
  <c r="M2" i="51"/>
  <c r="L2" i="51"/>
  <c r="K2" i="51"/>
  <c r="J2" i="51"/>
  <c r="I2" i="51"/>
  <c r="H2" i="51"/>
  <c r="F2" i="51"/>
  <c r="E2" i="51"/>
  <c r="D2" i="51"/>
  <c r="C2" i="51"/>
  <c r="B14" i="28"/>
  <c r="O17" i="52" l="1"/>
  <c r="J17" i="51"/>
  <c r="K17" i="51"/>
  <c r="N17" i="52"/>
  <c r="F16" i="51"/>
  <c r="G17" i="51" s="1"/>
  <c r="G15" i="51" s="1"/>
  <c r="I17" i="51"/>
  <c r="L17" i="51"/>
  <c r="H17" i="51"/>
  <c r="D17" i="51"/>
  <c r="M17" i="51"/>
  <c r="D15" i="51" l="1"/>
  <c r="E17" i="51"/>
  <c r="P17" i="51"/>
  <c r="P15" i="51" s="1"/>
  <c r="I15" i="51"/>
  <c r="C17" i="51"/>
  <c r="C15" i="51" s="1"/>
  <c r="J15" i="51"/>
  <c r="M15" i="51"/>
  <c r="N17" i="51"/>
  <c r="N15" i="51" s="1"/>
  <c r="K15" i="51"/>
  <c r="L15" i="51"/>
  <c r="H15" i="51"/>
  <c r="E16" i="51"/>
  <c r="F17" i="51" s="1"/>
  <c r="F15" i="51" s="1"/>
  <c r="O17" i="51"/>
  <c r="O15" i="51" s="1"/>
  <c r="Q17" i="51"/>
  <c r="Q15" i="51" s="1"/>
  <c r="R17" i="51"/>
  <c r="R15" i="51" s="1"/>
  <c r="E15" i="51" l="1"/>
  <c r="B20" i="39"/>
  <c r="B22" i="39" l="1"/>
  <c r="B8" i="39"/>
  <c r="B8" i="38"/>
  <c r="B7" i="37"/>
  <c r="S27" i="37" l="1"/>
  <c r="G27" i="37"/>
  <c r="R27" i="37"/>
  <c r="B12" i="18"/>
  <c r="J13" i="48" l="1"/>
  <c r="B21" i="18"/>
  <c r="B25" i="18"/>
  <c r="O25" i="52" l="1"/>
  <c r="N25" i="52"/>
  <c r="B15" i="18"/>
  <c r="B6" i="18"/>
  <c r="B11" i="18"/>
  <c r="B2" i="30" l="1"/>
  <c r="N2" i="23"/>
  <c r="N2" i="32"/>
  <c r="M2" i="29" l="1"/>
  <c r="N2" i="30"/>
  <c r="N2" i="31"/>
  <c r="Q2" i="39" l="1"/>
  <c r="Q2" i="38"/>
  <c r="Q2" i="37"/>
  <c r="Q2" i="36"/>
  <c r="Q2" i="42"/>
  <c r="Q2" i="28"/>
  <c r="P2" i="28"/>
  <c r="Q2" i="35"/>
  <c r="Q2" i="41"/>
  <c r="Q55" i="36" l="1"/>
  <c r="Q32" i="36"/>
  <c r="Q53" i="36"/>
  <c r="Q51" i="36"/>
  <c r="Q18" i="41"/>
  <c r="Q26" i="39"/>
  <c r="N2" i="19"/>
  <c r="Q2" i="18"/>
  <c r="Q2" i="20"/>
  <c r="P2" i="20"/>
  <c r="E6" i="13"/>
  <c r="G12" i="13"/>
  <c r="Q36" i="36" l="1"/>
  <c r="Q50" i="36"/>
  <c r="N83" i="19"/>
  <c r="N86" i="19"/>
  <c r="N89" i="19"/>
  <c r="Q11" i="41"/>
  <c r="Q15" i="41" s="1"/>
  <c r="H19" i="48" s="1"/>
  <c r="B4" i="23"/>
  <c r="B4" i="29"/>
  <c r="B4" i="30"/>
  <c r="B4" i="31"/>
  <c r="B11" i="31"/>
  <c r="B10" i="31"/>
  <c r="B9" i="31"/>
  <c r="B8" i="31"/>
  <c r="B7" i="31"/>
  <c r="B6" i="31"/>
  <c r="B5" i="31"/>
  <c r="B2" i="31"/>
  <c r="B4" i="28"/>
  <c r="R35" i="36" l="1"/>
  <c r="R41" i="36" s="1"/>
  <c r="P5" i="31"/>
  <c r="J26" i="48" s="1"/>
  <c r="Q31" i="36"/>
  <c r="R22" i="41"/>
  <c r="R20" i="41" s="1"/>
  <c r="R23" i="41" s="1"/>
  <c r="D11" i="52" s="1"/>
  <c r="M40" i="52"/>
  <c r="Q21" i="41"/>
  <c r="B10" i="30"/>
  <c r="B8" i="30"/>
  <c r="B7" i="30"/>
  <c r="B6" i="30"/>
  <c r="B5" i="30"/>
  <c r="B14" i="37"/>
  <c r="B13" i="37"/>
  <c r="B12" i="37"/>
  <c r="B11" i="37"/>
  <c r="B9" i="37"/>
  <c r="B8" i="37"/>
  <c r="B6" i="37"/>
  <c r="B5" i="37"/>
  <c r="B4" i="37"/>
  <c r="B2" i="37"/>
  <c r="B26" i="18"/>
  <c r="B23" i="18"/>
  <c r="B22" i="18"/>
  <c r="B20" i="18"/>
  <c r="B19" i="18"/>
  <c r="B18" i="18"/>
  <c r="B17" i="18"/>
  <c r="B10" i="18"/>
  <c r="B9" i="18"/>
  <c r="B7" i="18"/>
  <c r="B5" i="18"/>
  <c r="B4" i="18"/>
  <c r="B2" i="18"/>
  <c r="B12" i="23"/>
  <c r="B11" i="23"/>
  <c r="B10" i="23"/>
  <c r="B9" i="23"/>
  <c r="B8" i="23"/>
  <c r="B7" i="23"/>
  <c r="J5" i="48" s="1"/>
  <c r="B6" i="23"/>
  <c r="B5" i="23"/>
  <c r="J9" i="48" s="1"/>
  <c r="B2" i="23"/>
  <c r="B13" i="32"/>
  <c r="B12" i="32"/>
  <c r="B11" i="32"/>
  <c r="B10" i="32"/>
  <c r="B9" i="32"/>
  <c r="B7" i="32"/>
  <c r="B6" i="32"/>
  <c r="B5" i="32"/>
  <c r="B4" i="32"/>
  <c r="B2" i="32"/>
  <c r="M2" i="32"/>
  <c r="L2" i="32"/>
  <c r="K2" i="32"/>
  <c r="J2" i="32"/>
  <c r="I2" i="32"/>
  <c r="H2" i="32"/>
  <c r="G2" i="32"/>
  <c r="F2" i="32"/>
  <c r="E2" i="32"/>
  <c r="D2" i="32"/>
  <c r="C2" i="32"/>
  <c r="L2" i="29"/>
  <c r="K2" i="29"/>
  <c r="J2" i="29"/>
  <c r="I2" i="29"/>
  <c r="H2" i="29"/>
  <c r="G2" i="29"/>
  <c r="F2" i="29"/>
  <c r="E2" i="29"/>
  <c r="D2" i="29"/>
  <c r="C2" i="29"/>
  <c r="B11" i="29"/>
  <c r="B10" i="29"/>
  <c r="B9" i="29"/>
  <c r="B8" i="29"/>
  <c r="B7" i="29"/>
  <c r="B6" i="29"/>
  <c r="B5" i="29"/>
  <c r="J25" i="48" s="1"/>
  <c r="B2" i="29"/>
  <c r="M2" i="23"/>
  <c r="L2" i="23"/>
  <c r="K2" i="23"/>
  <c r="J2" i="23"/>
  <c r="I2" i="23"/>
  <c r="H2" i="23"/>
  <c r="G2" i="23"/>
  <c r="F2" i="23"/>
  <c r="E2" i="23"/>
  <c r="D2" i="23"/>
  <c r="C2" i="23"/>
  <c r="M2" i="30"/>
  <c r="L2" i="30"/>
  <c r="K2" i="30"/>
  <c r="J2" i="30"/>
  <c r="I2" i="30"/>
  <c r="H2" i="30"/>
  <c r="G2" i="30"/>
  <c r="F2" i="30"/>
  <c r="E2" i="30"/>
  <c r="D2" i="30"/>
  <c r="C2" i="30"/>
  <c r="M2" i="31"/>
  <c r="L2" i="31"/>
  <c r="K2" i="31"/>
  <c r="J2" i="31"/>
  <c r="I2" i="31"/>
  <c r="H2" i="31"/>
  <c r="G2" i="31"/>
  <c r="F2" i="31"/>
  <c r="E2" i="31"/>
  <c r="D2" i="31"/>
  <c r="C2" i="31"/>
  <c r="B31" i="39"/>
  <c r="B30" i="39"/>
  <c r="B29" i="39"/>
  <c r="B28" i="39"/>
  <c r="B27" i="39"/>
  <c r="B25" i="39"/>
  <c r="B24" i="39"/>
  <c r="B23" i="39"/>
  <c r="B21" i="39"/>
  <c r="B19" i="39"/>
  <c r="B18" i="39"/>
  <c r="B16" i="39"/>
  <c r="B15" i="39"/>
  <c r="B14" i="39"/>
  <c r="B13" i="39"/>
  <c r="B11" i="39"/>
  <c r="B10" i="39"/>
  <c r="B9" i="39"/>
  <c r="B7" i="39"/>
  <c r="B6" i="39"/>
  <c r="B5" i="39"/>
  <c r="B4" i="39"/>
  <c r="B2" i="39"/>
  <c r="P2" i="39"/>
  <c r="O2" i="39"/>
  <c r="N2" i="39"/>
  <c r="M2" i="39"/>
  <c r="L2" i="39"/>
  <c r="K2" i="39"/>
  <c r="J2" i="39"/>
  <c r="I2" i="39"/>
  <c r="H2" i="39"/>
  <c r="F2" i="39"/>
  <c r="E2" i="39"/>
  <c r="D2" i="39"/>
  <c r="C2" i="39"/>
  <c r="P2" i="38"/>
  <c r="O2" i="38"/>
  <c r="N2" i="38"/>
  <c r="M2" i="38"/>
  <c r="L2" i="38"/>
  <c r="K2" i="38"/>
  <c r="J2" i="38"/>
  <c r="I2" i="38"/>
  <c r="H2" i="38"/>
  <c r="F2" i="38"/>
  <c r="E2" i="38"/>
  <c r="D2" i="38"/>
  <c r="C2" i="38"/>
  <c r="P2" i="37"/>
  <c r="O2" i="37"/>
  <c r="N2" i="37"/>
  <c r="M2" i="37"/>
  <c r="L2" i="37"/>
  <c r="K2" i="37"/>
  <c r="J2" i="37"/>
  <c r="I2" i="37"/>
  <c r="H2" i="37"/>
  <c r="F2" i="37"/>
  <c r="E2" i="37"/>
  <c r="D2" i="37"/>
  <c r="C2" i="37"/>
  <c r="B14" i="38"/>
  <c r="B12" i="38"/>
  <c r="B11" i="38"/>
  <c r="B10" i="38"/>
  <c r="B9" i="38"/>
  <c r="B7" i="38"/>
  <c r="B6" i="38"/>
  <c r="B5" i="38"/>
  <c r="B4" i="38"/>
  <c r="B2" i="38"/>
  <c r="B28" i="36"/>
  <c r="B27" i="36"/>
  <c r="B26" i="36"/>
  <c r="B25" i="36"/>
  <c r="B24" i="36"/>
  <c r="B23" i="36"/>
  <c r="B22" i="36"/>
  <c r="B21" i="36"/>
  <c r="B20" i="36"/>
  <c r="B19" i="36"/>
  <c r="B18" i="36"/>
  <c r="B17" i="36"/>
  <c r="B16" i="36"/>
  <c r="B14" i="36"/>
  <c r="B13" i="36"/>
  <c r="B12" i="36"/>
  <c r="B11" i="36"/>
  <c r="B10" i="36"/>
  <c r="B9" i="36"/>
  <c r="B8" i="36"/>
  <c r="B7" i="36"/>
  <c r="B6" i="36"/>
  <c r="B5" i="36"/>
  <c r="B4" i="36"/>
  <c r="B2" i="36"/>
  <c r="P2" i="36"/>
  <c r="O2" i="36"/>
  <c r="N2" i="36"/>
  <c r="M2" i="36"/>
  <c r="L2" i="36"/>
  <c r="K2" i="36"/>
  <c r="J2" i="36"/>
  <c r="I2" i="36"/>
  <c r="H2" i="36"/>
  <c r="F2" i="36"/>
  <c r="E2" i="36"/>
  <c r="D2" i="36"/>
  <c r="C2" i="36"/>
  <c r="B21" i="42"/>
  <c r="B20" i="42"/>
  <c r="B19" i="42"/>
  <c r="B18" i="42"/>
  <c r="B17" i="42"/>
  <c r="B16" i="42"/>
  <c r="B15" i="42"/>
  <c r="B14" i="42"/>
  <c r="B13" i="42"/>
  <c r="B12" i="42"/>
  <c r="B11" i="42"/>
  <c r="B10" i="42"/>
  <c r="B9" i="42"/>
  <c r="B8" i="42"/>
  <c r="B7" i="42"/>
  <c r="B6" i="42"/>
  <c r="B5" i="42"/>
  <c r="B4" i="42"/>
  <c r="B2" i="42"/>
  <c r="P2" i="42"/>
  <c r="O2" i="42"/>
  <c r="N2" i="42"/>
  <c r="M2" i="42"/>
  <c r="L2" i="42"/>
  <c r="K2" i="42"/>
  <c r="J2" i="42"/>
  <c r="I2" i="42"/>
  <c r="H2" i="42"/>
  <c r="F2" i="42"/>
  <c r="E2" i="42"/>
  <c r="D2" i="42"/>
  <c r="C2" i="42"/>
  <c r="B13" i="28"/>
  <c r="B12" i="28"/>
  <c r="B11" i="28"/>
  <c r="B10" i="28"/>
  <c r="B9" i="28"/>
  <c r="B8" i="28"/>
  <c r="B7" i="28"/>
  <c r="B6" i="28"/>
  <c r="B5" i="28"/>
  <c r="B2" i="28"/>
  <c r="O2" i="28"/>
  <c r="N2" i="28"/>
  <c r="M2" i="28"/>
  <c r="L2" i="28"/>
  <c r="K2" i="28"/>
  <c r="J2" i="28"/>
  <c r="I2" i="28"/>
  <c r="H2" i="28"/>
  <c r="F2" i="28"/>
  <c r="E2" i="28"/>
  <c r="D2" i="28"/>
  <c r="C2" i="28"/>
  <c r="B33" i="35"/>
  <c r="B31" i="35"/>
  <c r="B30" i="35"/>
  <c r="B29" i="35"/>
  <c r="B28" i="35"/>
  <c r="B26" i="35"/>
  <c r="B25" i="35"/>
  <c r="B24" i="35"/>
  <c r="B23" i="35"/>
  <c r="B21" i="35"/>
  <c r="B20" i="35"/>
  <c r="B19" i="35"/>
  <c r="B18" i="35"/>
  <c r="B17" i="35"/>
  <c r="B16" i="35"/>
  <c r="B14" i="35"/>
  <c r="B13" i="35"/>
  <c r="B12" i="35"/>
  <c r="B11" i="35"/>
  <c r="B10" i="35"/>
  <c r="B9" i="35"/>
  <c r="B8" i="35"/>
  <c r="B7" i="35"/>
  <c r="B6" i="35"/>
  <c r="B5" i="35"/>
  <c r="B4" i="35"/>
  <c r="B2" i="35"/>
  <c r="P2" i="35"/>
  <c r="O2" i="35"/>
  <c r="N2" i="35"/>
  <c r="M2" i="35"/>
  <c r="L2" i="35"/>
  <c r="K2" i="35"/>
  <c r="J2" i="35"/>
  <c r="I2" i="35"/>
  <c r="H2" i="35"/>
  <c r="F2" i="35"/>
  <c r="E2" i="35"/>
  <c r="D2" i="35"/>
  <c r="C2" i="35"/>
  <c r="B44" i="41"/>
  <c r="B43" i="41"/>
  <c r="B42" i="41"/>
  <c r="B41" i="41"/>
  <c r="B40" i="41"/>
  <c r="B39" i="41"/>
  <c r="B38" i="41"/>
  <c r="B37" i="41"/>
  <c r="B34" i="41"/>
  <c r="B33" i="41"/>
  <c r="G33" i="41" s="1"/>
  <c r="B32" i="41"/>
  <c r="G32" i="41" s="1"/>
  <c r="B31" i="41"/>
  <c r="G31" i="41" s="1"/>
  <c r="B30" i="41"/>
  <c r="G30" i="41" s="1"/>
  <c r="B29" i="41"/>
  <c r="G29" i="41" s="1"/>
  <c r="B28" i="41"/>
  <c r="B2" i="41"/>
  <c r="P2" i="41"/>
  <c r="O2" i="41"/>
  <c r="N2" i="41"/>
  <c r="M2" i="41"/>
  <c r="L2" i="41"/>
  <c r="K2" i="41"/>
  <c r="J2" i="41"/>
  <c r="I2" i="41"/>
  <c r="H2" i="41"/>
  <c r="F2" i="41"/>
  <c r="E2" i="41"/>
  <c r="D2" i="41"/>
  <c r="C2" i="41"/>
  <c r="B66" i="19"/>
  <c r="B48" i="19"/>
  <c r="B47" i="19"/>
  <c r="P90" i="19" s="1"/>
  <c r="B46" i="19"/>
  <c r="B44" i="19"/>
  <c r="P88" i="19" s="1"/>
  <c r="B43" i="19"/>
  <c r="P87" i="19" s="1"/>
  <c r="B42" i="19"/>
  <c r="P85" i="19" s="1"/>
  <c r="P84" i="19" s="1"/>
  <c r="B41" i="19"/>
  <c r="P82" i="19" s="1"/>
  <c r="P81" i="19" s="1"/>
  <c r="B40" i="19"/>
  <c r="B39" i="19"/>
  <c r="B38" i="19"/>
  <c r="B36" i="19"/>
  <c r="B35" i="19"/>
  <c r="B34" i="19"/>
  <c r="B33" i="19"/>
  <c r="B32" i="19"/>
  <c r="B31" i="19"/>
  <c r="B30" i="19"/>
  <c r="B28" i="19"/>
  <c r="B27" i="19"/>
  <c r="B26" i="19"/>
  <c r="B25" i="19"/>
  <c r="B23" i="19"/>
  <c r="B22" i="19"/>
  <c r="B21" i="19"/>
  <c r="B20" i="19"/>
  <c r="B19" i="19"/>
  <c r="B17" i="19"/>
  <c r="B16" i="19"/>
  <c r="B15" i="19"/>
  <c r="B14" i="19"/>
  <c r="B12" i="19"/>
  <c r="B11" i="19"/>
  <c r="B10" i="19"/>
  <c r="P76" i="19" s="1"/>
  <c r="B9" i="19"/>
  <c r="B8" i="19"/>
  <c r="P72" i="19" s="1"/>
  <c r="B7" i="19"/>
  <c r="P71" i="19" s="1"/>
  <c r="B6" i="19"/>
  <c r="B5" i="19"/>
  <c r="B4" i="19"/>
  <c r="B2" i="19"/>
  <c r="L2" i="19"/>
  <c r="M2" i="19"/>
  <c r="K2" i="19"/>
  <c r="J2" i="19"/>
  <c r="I2" i="19"/>
  <c r="H2" i="19"/>
  <c r="G2" i="19"/>
  <c r="F2" i="19"/>
  <c r="E2" i="19"/>
  <c r="D2" i="19"/>
  <c r="C2" i="19"/>
  <c r="P2" i="18"/>
  <c r="O2" i="18"/>
  <c r="N2" i="18"/>
  <c r="M2" i="18"/>
  <c r="L2" i="18"/>
  <c r="K2" i="18"/>
  <c r="J2" i="18"/>
  <c r="I2" i="18"/>
  <c r="H2" i="18"/>
  <c r="F2" i="18"/>
  <c r="E2" i="18"/>
  <c r="D2" i="18"/>
  <c r="C2" i="18"/>
  <c r="B41" i="20"/>
  <c r="G41" i="20" s="1"/>
  <c r="B40" i="20"/>
  <c r="B38" i="20"/>
  <c r="J20" i="48" s="1"/>
  <c r="B37" i="20"/>
  <c r="G37" i="20" s="1"/>
  <c r="B36" i="20"/>
  <c r="G36" i="20" s="1"/>
  <c r="B35" i="20"/>
  <c r="G35" i="20" s="1"/>
  <c r="B34" i="20"/>
  <c r="G34" i="20" s="1"/>
  <c r="B33" i="20"/>
  <c r="G33" i="20" s="1"/>
  <c r="B32" i="20"/>
  <c r="B31" i="20"/>
  <c r="B29" i="20"/>
  <c r="G29" i="20" s="1"/>
  <c r="B28" i="20"/>
  <c r="G28" i="20" s="1"/>
  <c r="B27" i="20"/>
  <c r="G27" i="20" s="1"/>
  <c r="B26" i="20"/>
  <c r="G26" i="20" s="1"/>
  <c r="B25" i="20"/>
  <c r="G25" i="20" s="1"/>
  <c r="B24" i="20"/>
  <c r="G24" i="20" s="1"/>
  <c r="B23" i="20"/>
  <c r="G23" i="20" s="1"/>
  <c r="B22" i="20"/>
  <c r="G22" i="20" s="1"/>
  <c r="B21" i="20"/>
  <c r="G21" i="20" s="1"/>
  <c r="B20" i="20"/>
  <c r="G20" i="20" s="1"/>
  <c r="B19" i="20"/>
  <c r="B17" i="20"/>
  <c r="B16" i="20"/>
  <c r="G16" i="20" s="1"/>
  <c r="B15" i="20"/>
  <c r="G15" i="20" s="1"/>
  <c r="B14" i="20"/>
  <c r="G14" i="20" s="1"/>
  <c r="B13" i="20"/>
  <c r="G13" i="20" s="1"/>
  <c r="B12" i="20"/>
  <c r="G12" i="20" s="1"/>
  <c r="B11" i="20"/>
  <c r="G11" i="20" s="1"/>
  <c r="B10" i="20"/>
  <c r="G10" i="20" s="1"/>
  <c r="B9" i="20"/>
  <c r="G9" i="20" s="1"/>
  <c r="B8" i="20"/>
  <c r="G8" i="20" s="1"/>
  <c r="B7" i="20"/>
  <c r="G7" i="20" s="1"/>
  <c r="B6" i="20"/>
  <c r="G6" i="20" s="1"/>
  <c r="B5" i="20"/>
  <c r="G5" i="20" s="1"/>
  <c r="B4" i="20"/>
  <c r="B2" i="20"/>
  <c r="O2" i="20"/>
  <c r="N2" i="20"/>
  <c r="M2" i="20"/>
  <c r="L2" i="20"/>
  <c r="K2" i="20"/>
  <c r="J2" i="20"/>
  <c r="I2" i="20"/>
  <c r="H2" i="20"/>
  <c r="E2" i="20"/>
  <c r="D2" i="20"/>
  <c r="C2" i="20"/>
  <c r="P13" i="32" l="1"/>
  <c r="J24" i="48" s="1"/>
  <c r="O10" i="52"/>
  <c r="S28" i="37"/>
  <c r="S26" i="37" s="1"/>
  <c r="G28" i="37"/>
  <c r="G26" i="37" s="1"/>
  <c r="O11" i="52"/>
  <c r="O22" i="52"/>
  <c r="J6" i="48"/>
  <c r="P12" i="23"/>
  <c r="J14" i="48"/>
  <c r="S34" i="41"/>
  <c r="G28" i="41"/>
  <c r="G34" i="41" s="1"/>
  <c r="G40" i="41" s="1"/>
  <c r="S37" i="41"/>
  <c r="J15" i="48"/>
  <c r="G25" i="39"/>
  <c r="S25" i="39"/>
  <c r="M32" i="36"/>
  <c r="M55" i="36"/>
  <c r="M53" i="36"/>
  <c r="M51" i="36"/>
  <c r="F32" i="36"/>
  <c r="E51" i="36"/>
  <c r="K32" i="36"/>
  <c r="E53" i="36"/>
  <c r="K51" i="36"/>
  <c r="K53" i="36"/>
  <c r="K55" i="36"/>
  <c r="E55" i="36"/>
  <c r="S27" i="36"/>
  <c r="G27" i="36"/>
  <c r="C32" i="36"/>
  <c r="C51" i="36"/>
  <c r="C53" i="36"/>
  <c r="C55" i="36"/>
  <c r="D32" i="36"/>
  <c r="D51" i="36"/>
  <c r="D53" i="36"/>
  <c r="D55" i="36"/>
  <c r="E32" i="36"/>
  <c r="H55" i="36"/>
  <c r="H53" i="36"/>
  <c r="H51" i="36"/>
  <c r="H32" i="36"/>
  <c r="P53" i="36"/>
  <c r="P51" i="36"/>
  <c r="P55" i="36"/>
  <c r="P32" i="36"/>
  <c r="N55" i="36"/>
  <c r="N51" i="36"/>
  <c r="N32" i="36"/>
  <c r="N53" i="36"/>
  <c r="O53" i="36"/>
  <c r="O51" i="36"/>
  <c r="F51" i="36"/>
  <c r="O55" i="36"/>
  <c r="F55" i="36"/>
  <c r="F53" i="36"/>
  <c r="O32" i="36"/>
  <c r="G23" i="36"/>
  <c r="S23" i="36"/>
  <c r="L32" i="36"/>
  <c r="L51" i="36"/>
  <c r="L53" i="36"/>
  <c r="L55" i="36"/>
  <c r="I51" i="36"/>
  <c r="I55" i="36"/>
  <c r="I32" i="36"/>
  <c r="I53" i="36"/>
  <c r="J51" i="36"/>
  <c r="J53" i="36"/>
  <c r="J55" i="36"/>
  <c r="J32" i="36"/>
  <c r="G25" i="36"/>
  <c r="S25" i="36"/>
  <c r="P80" i="19"/>
  <c r="P23" i="19"/>
  <c r="J31" i="48" s="1"/>
  <c r="P5" i="19"/>
  <c r="P70" i="19"/>
  <c r="P74" i="19"/>
  <c r="P36" i="19"/>
  <c r="P35" i="19" s="1"/>
  <c r="P75" i="19" s="1"/>
  <c r="S21" i="35"/>
  <c r="S25" i="35" s="1"/>
  <c r="S26" i="35" s="1"/>
  <c r="S33" i="35" s="1"/>
  <c r="S30" i="35" s="1"/>
  <c r="O37" i="52"/>
  <c r="G17" i="20"/>
  <c r="O42" i="52"/>
  <c r="G38" i="20"/>
  <c r="S14" i="35"/>
  <c r="S32" i="20"/>
  <c r="G32" i="20" s="1"/>
  <c r="O5" i="31"/>
  <c r="I26" i="48" s="1"/>
  <c r="K26" i="48" s="1"/>
  <c r="N37" i="52"/>
  <c r="M37" i="52"/>
  <c r="K37" i="52"/>
  <c r="J37" i="52"/>
  <c r="L37" i="52"/>
  <c r="J17" i="52"/>
  <c r="J25" i="52"/>
  <c r="H18" i="41"/>
  <c r="I9" i="48"/>
  <c r="K9" i="48" s="1"/>
  <c r="Q17" i="37"/>
  <c r="I17" i="37"/>
  <c r="P17" i="37"/>
  <c r="H17" i="37"/>
  <c r="O17" i="37"/>
  <c r="F17" i="37"/>
  <c r="E17" i="37"/>
  <c r="D17" i="37"/>
  <c r="C17" i="37"/>
  <c r="M17" i="37"/>
  <c r="L17" i="37"/>
  <c r="K17" i="37"/>
  <c r="N17" i="37"/>
  <c r="J17" i="37"/>
  <c r="I18" i="41"/>
  <c r="I25" i="48"/>
  <c r="K25" i="48" s="1"/>
  <c r="N21" i="52"/>
  <c r="M21" i="52"/>
  <c r="L21" i="52"/>
  <c r="K21" i="52"/>
  <c r="J21" i="52"/>
  <c r="K28" i="37"/>
  <c r="R28" i="37"/>
  <c r="R26" i="37" s="1"/>
  <c r="J28" i="37"/>
  <c r="I28" i="37"/>
  <c r="O28" i="37"/>
  <c r="C28" i="37"/>
  <c r="N28" i="37"/>
  <c r="M28" i="37"/>
  <c r="H28" i="37"/>
  <c r="F28" i="37"/>
  <c r="E28" i="37"/>
  <c r="P28" i="37"/>
  <c r="L28" i="37"/>
  <c r="D28" i="37"/>
  <c r="C20" i="48"/>
  <c r="F20" i="48"/>
  <c r="L20" i="48" s="1"/>
  <c r="I20" i="48"/>
  <c r="K20" i="48" s="1"/>
  <c r="H20" i="48"/>
  <c r="G20" i="48"/>
  <c r="E20" i="48"/>
  <c r="D20" i="48"/>
  <c r="I26" i="39"/>
  <c r="C27" i="37"/>
  <c r="J26" i="39"/>
  <c r="J18" i="41"/>
  <c r="R37" i="41"/>
  <c r="Q37" i="41"/>
  <c r="K26" i="39"/>
  <c r="I5" i="48"/>
  <c r="K5" i="48" s="1"/>
  <c r="K11" i="52"/>
  <c r="N11" i="52"/>
  <c r="M11" i="52"/>
  <c r="J11" i="52"/>
  <c r="L11" i="52"/>
  <c r="K22" i="52"/>
  <c r="N22" i="52"/>
  <c r="M22" i="52"/>
  <c r="L22" i="52"/>
  <c r="J22" i="52"/>
  <c r="E13" i="41"/>
  <c r="E6" i="41"/>
  <c r="E12" i="41"/>
  <c r="E8" i="41"/>
  <c r="E7" i="41"/>
  <c r="E14" i="41"/>
  <c r="E9" i="41"/>
  <c r="E10" i="41"/>
  <c r="E5" i="41"/>
  <c r="C26" i="39"/>
  <c r="L26" i="39"/>
  <c r="I6" i="48"/>
  <c r="K6" i="48" s="1"/>
  <c r="I14" i="48"/>
  <c r="K14" i="48" s="1"/>
  <c r="R31" i="37"/>
  <c r="R22" i="36"/>
  <c r="Q22" i="36"/>
  <c r="P18" i="41"/>
  <c r="Q27" i="36"/>
  <c r="R27" i="36"/>
  <c r="C18" i="41"/>
  <c r="L18" i="41"/>
  <c r="D26" i="39"/>
  <c r="M26" i="39"/>
  <c r="I15" i="48"/>
  <c r="K15" i="48" s="1"/>
  <c r="R21" i="37"/>
  <c r="E26" i="39"/>
  <c r="N26" i="39"/>
  <c r="R33" i="37"/>
  <c r="D18" i="41"/>
  <c r="M18" i="41"/>
  <c r="K17" i="52"/>
  <c r="K25" i="52"/>
  <c r="E18" i="41"/>
  <c r="N18" i="41"/>
  <c r="R23" i="36"/>
  <c r="Q23" i="36"/>
  <c r="F26" i="39"/>
  <c r="O26" i="39"/>
  <c r="L17" i="52"/>
  <c r="L25" i="52"/>
  <c r="F18" i="41"/>
  <c r="O18" i="41"/>
  <c r="F14" i="41"/>
  <c r="F13" i="41"/>
  <c r="F9" i="41"/>
  <c r="F10" i="41"/>
  <c r="F7" i="41"/>
  <c r="F8" i="41"/>
  <c r="F5" i="41"/>
  <c r="F6" i="41"/>
  <c r="Q25" i="36"/>
  <c r="H26" i="39"/>
  <c r="P26" i="39"/>
  <c r="R25" i="39"/>
  <c r="Q25" i="39"/>
  <c r="N20" i="52"/>
  <c r="D83" i="19"/>
  <c r="D86" i="19"/>
  <c r="D89" i="19"/>
  <c r="H82" i="19"/>
  <c r="O82" i="19"/>
  <c r="O81" i="19" s="1"/>
  <c r="G82" i="19"/>
  <c r="F82" i="19"/>
  <c r="K82" i="19"/>
  <c r="C82" i="19"/>
  <c r="E82" i="19"/>
  <c r="D82" i="19"/>
  <c r="M82" i="19"/>
  <c r="L82" i="19"/>
  <c r="J82" i="19"/>
  <c r="I82" i="19"/>
  <c r="C83" i="19"/>
  <c r="C86" i="19"/>
  <c r="C89" i="19"/>
  <c r="K83" i="19"/>
  <c r="K86" i="19"/>
  <c r="K89" i="19"/>
  <c r="J72" i="19"/>
  <c r="I72" i="19"/>
  <c r="K72" i="19"/>
  <c r="H72" i="19"/>
  <c r="E72" i="19"/>
  <c r="G72" i="19"/>
  <c r="F72" i="19"/>
  <c r="O72" i="19"/>
  <c r="P96" i="19" s="1"/>
  <c r="D72" i="19"/>
  <c r="M72" i="19"/>
  <c r="L72" i="19"/>
  <c r="H83" i="19"/>
  <c r="H86" i="19"/>
  <c r="H89" i="19"/>
  <c r="K85" i="19"/>
  <c r="C85" i="19"/>
  <c r="J85" i="19"/>
  <c r="I85" i="19"/>
  <c r="N85" i="19"/>
  <c r="N84" i="19" s="1"/>
  <c r="F85" i="19"/>
  <c r="H85" i="19"/>
  <c r="D85" i="19"/>
  <c r="G85" i="19"/>
  <c r="E85" i="19"/>
  <c r="O85" i="19"/>
  <c r="O84" i="19" s="1"/>
  <c r="M85" i="19"/>
  <c r="L85" i="19"/>
  <c r="M74" i="19"/>
  <c r="E74" i="19"/>
  <c r="E73" i="19" s="1"/>
  <c r="L74" i="19"/>
  <c r="D74" i="19"/>
  <c r="D73" i="19" s="1"/>
  <c r="H74" i="19"/>
  <c r="H73" i="19" s="1"/>
  <c r="O36" i="19"/>
  <c r="G74" i="19"/>
  <c r="G73" i="19" s="1"/>
  <c r="F74" i="19"/>
  <c r="F73" i="19" s="1"/>
  <c r="N74" i="19"/>
  <c r="K74" i="19"/>
  <c r="J74" i="19"/>
  <c r="I74" i="19"/>
  <c r="M90" i="19"/>
  <c r="E90" i="19"/>
  <c r="L90" i="19"/>
  <c r="D90" i="19"/>
  <c r="K90" i="19"/>
  <c r="C90" i="19"/>
  <c r="H90" i="19"/>
  <c r="J90" i="19"/>
  <c r="I90" i="19"/>
  <c r="G90" i="19"/>
  <c r="F90" i="19"/>
  <c r="O90" i="19"/>
  <c r="N90" i="19"/>
  <c r="H76" i="19"/>
  <c r="O76" i="19"/>
  <c r="G76" i="19"/>
  <c r="N76" i="19"/>
  <c r="E76" i="19"/>
  <c r="D76" i="19"/>
  <c r="L76" i="19"/>
  <c r="M76" i="19"/>
  <c r="C76" i="19"/>
  <c r="J76" i="19"/>
  <c r="I76" i="19"/>
  <c r="F76" i="19"/>
  <c r="K76" i="19"/>
  <c r="F86" i="19"/>
  <c r="F83" i="19"/>
  <c r="F89" i="19"/>
  <c r="C77" i="19"/>
  <c r="D77" i="19"/>
  <c r="I86" i="19"/>
  <c r="I83" i="19"/>
  <c r="I89" i="19"/>
  <c r="L70" i="19"/>
  <c r="D70" i="19"/>
  <c r="O70" i="19"/>
  <c r="P94" i="19" s="1"/>
  <c r="F70" i="19"/>
  <c r="K70" i="19"/>
  <c r="E70" i="19"/>
  <c r="M70" i="19"/>
  <c r="J70" i="19"/>
  <c r="I70" i="19"/>
  <c r="H70" i="19"/>
  <c r="G70" i="19"/>
  <c r="N87" i="19"/>
  <c r="F87" i="19"/>
  <c r="M87" i="19"/>
  <c r="E87" i="19"/>
  <c r="L87" i="19"/>
  <c r="D87" i="19"/>
  <c r="I87" i="19"/>
  <c r="K87" i="19"/>
  <c r="J87" i="19"/>
  <c r="H87" i="19"/>
  <c r="C87" i="19"/>
  <c r="O87" i="19"/>
  <c r="G87" i="19"/>
  <c r="M83" i="19"/>
  <c r="M86" i="19"/>
  <c r="M89" i="19"/>
  <c r="E86" i="19"/>
  <c r="E83" i="19"/>
  <c r="E89" i="19"/>
  <c r="L86" i="19"/>
  <c r="L83" i="19"/>
  <c r="L89" i="19"/>
  <c r="G86" i="19"/>
  <c r="G83" i="19"/>
  <c r="G89" i="19"/>
  <c r="J86" i="19"/>
  <c r="J83" i="19"/>
  <c r="J89" i="19"/>
  <c r="O71" i="19"/>
  <c r="P95" i="19" s="1"/>
  <c r="G71" i="19"/>
  <c r="F71" i="19"/>
  <c r="L71" i="19"/>
  <c r="H71" i="19"/>
  <c r="K71" i="19"/>
  <c r="J71" i="19"/>
  <c r="E71" i="19"/>
  <c r="D71" i="19"/>
  <c r="M71" i="19"/>
  <c r="I71" i="19"/>
  <c r="I88" i="19"/>
  <c r="H88" i="19"/>
  <c r="O88" i="19"/>
  <c r="G88" i="19"/>
  <c r="L88" i="19"/>
  <c r="D88" i="19"/>
  <c r="N88" i="19"/>
  <c r="M88" i="19"/>
  <c r="J88" i="19"/>
  <c r="F88" i="19"/>
  <c r="K88" i="19"/>
  <c r="E88" i="19"/>
  <c r="C88" i="19"/>
  <c r="K18" i="41"/>
  <c r="K27" i="37"/>
  <c r="J27" i="37"/>
  <c r="Q27" i="37"/>
  <c r="I27" i="37"/>
  <c r="P27" i="37"/>
  <c r="D27" i="37"/>
  <c r="O27" i="37"/>
  <c r="N27" i="37"/>
  <c r="M27" i="37"/>
  <c r="L27" i="37"/>
  <c r="H27" i="37"/>
  <c r="F27" i="37"/>
  <c r="E27" i="37"/>
  <c r="Q28" i="37"/>
  <c r="M25" i="52"/>
  <c r="M17" i="52"/>
  <c r="J16" i="13"/>
  <c r="J14" i="13"/>
  <c r="J12" i="13"/>
  <c r="J10" i="13"/>
  <c r="G32" i="13"/>
  <c r="G30" i="13"/>
  <c r="G28" i="13"/>
  <c r="G26" i="13"/>
  <c r="G24" i="13"/>
  <c r="G22" i="13"/>
  <c r="G20" i="13"/>
  <c r="G18" i="13"/>
  <c r="G16" i="13"/>
  <c r="G14" i="13"/>
  <c r="E6" i="42"/>
  <c r="E7" i="42"/>
  <c r="E8" i="42"/>
  <c r="E19" i="42"/>
  <c r="E20" i="42"/>
  <c r="E21" i="42"/>
  <c r="E5" i="42"/>
  <c r="F20" i="42"/>
  <c r="F21" i="42"/>
  <c r="F19" i="42"/>
  <c r="F6" i="42"/>
  <c r="F7" i="42"/>
  <c r="F5" i="42"/>
  <c r="D52" i="36" l="1"/>
  <c r="H52" i="36"/>
  <c r="K52" i="36"/>
  <c r="E52" i="36"/>
  <c r="I52" i="36"/>
  <c r="C52" i="36"/>
  <c r="J52" i="36"/>
  <c r="O20" i="52"/>
  <c r="J42" i="52"/>
  <c r="M42" i="52"/>
  <c r="O12" i="52"/>
  <c r="O14" i="52"/>
  <c r="S40" i="41"/>
  <c r="S20" i="39"/>
  <c r="S19" i="39" s="1"/>
  <c r="G6" i="39"/>
  <c r="G5" i="39" s="1"/>
  <c r="G17" i="37"/>
  <c r="G5" i="37"/>
  <c r="L42" i="52"/>
  <c r="G20" i="39"/>
  <c r="G19" i="39" s="1"/>
  <c r="S6" i="39"/>
  <c r="S17" i="37"/>
  <c r="S5" i="37"/>
  <c r="G32" i="37"/>
  <c r="G21" i="37"/>
  <c r="S21" i="37"/>
  <c r="S32" i="37"/>
  <c r="G33" i="37"/>
  <c r="G22" i="37"/>
  <c r="G20" i="37"/>
  <c r="G31" i="37"/>
  <c r="G9" i="37"/>
  <c r="S22" i="37"/>
  <c r="S33" i="37"/>
  <c r="S20" i="37"/>
  <c r="S31" i="37"/>
  <c r="S9" i="37"/>
  <c r="O21" i="52"/>
  <c r="E16" i="52"/>
  <c r="O36" i="36"/>
  <c r="O50" i="36"/>
  <c r="S9" i="36"/>
  <c r="S22" i="36"/>
  <c r="I36" i="36"/>
  <c r="I50" i="36"/>
  <c r="L36" i="36"/>
  <c r="L50" i="36"/>
  <c r="F36" i="36"/>
  <c r="F50" i="36"/>
  <c r="G22" i="36"/>
  <c r="G9" i="36"/>
  <c r="N36" i="36"/>
  <c r="N50" i="36"/>
  <c r="H36" i="36"/>
  <c r="H50" i="36"/>
  <c r="D36" i="36"/>
  <c r="D50" i="36"/>
  <c r="J36" i="36"/>
  <c r="J50" i="36"/>
  <c r="G6" i="36"/>
  <c r="G19" i="36"/>
  <c r="C36" i="36"/>
  <c r="C35" i="36" s="1"/>
  <c r="C50" i="36"/>
  <c r="K36" i="36"/>
  <c r="K50" i="36"/>
  <c r="S6" i="36"/>
  <c r="S19" i="36"/>
  <c r="P36" i="36"/>
  <c r="P50" i="36"/>
  <c r="E36" i="36"/>
  <c r="E50" i="36"/>
  <c r="M36" i="36"/>
  <c r="M50" i="36"/>
  <c r="P73" i="19"/>
  <c r="P15" i="19"/>
  <c r="P17" i="19" s="1"/>
  <c r="O12" i="23"/>
  <c r="K42" i="52"/>
  <c r="G7" i="35"/>
  <c r="R5" i="37"/>
  <c r="O43" i="52"/>
  <c r="O41" i="52" s="1"/>
  <c r="R34" i="41"/>
  <c r="R40" i="41" s="1"/>
  <c r="S41" i="41" s="1"/>
  <c r="G15" i="39"/>
  <c r="G13" i="38"/>
  <c r="G30" i="39"/>
  <c r="R20" i="37"/>
  <c r="R17" i="37"/>
  <c r="S29" i="35"/>
  <c r="S34" i="35" s="1"/>
  <c r="G9" i="35"/>
  <c r="G19" i="35"/>
  <c r="G12" i="35"/>
  <c r="G10" i="35"/>
  <c r="G18" i="35"/>
  <c r="G5" i="35"/>
  <c r="G17" i="35"/>
  <c r="G11" i="35"/>
  <c r="G6" i="35"/>
  <c r="G13" i="35"/>
  <c r="G20" i="35"/>
  <c r="G8" i="35"/>
  <c r="G24" i="35"/>
  <c r="R32" i="20"/>
  <c r="R22" i="37"/>
  <c r="O80" i="19"/>
  <c r="R21" i="35"/>
  <c r="R25" i="35" s="1"/>
  <c r="R26" i="35" s="1"/>
  <c r="R29" i="35" s="1"/>
  <c r="R32" i="37"/>
  <c r="N14" i="52"/>
  <c r="O13" i="32"/>
  <c r="I24" i="48" s="1"/>
  <c r="K24" i="48" s="1"/>
  <c r="R9" i="36"/>
  <c r="R25" i="36"/>
  <c r="R14" i="35"/>
  <c r="N42" i="52"/>
  <c r="O74" i="19"/>
  <c r="O35" i="19"/>
  <c r="O75" i="19" s="1"/>
  <c r="O5" i="19"/>
  <c r="O15" i="19" s="1"/>
  <c r="O17" i="19" s="1"/>
  <c r="L81" i="19"/>
  <c r="G84" i="19"/>
  <c r="G95" i="19" s="1"/>
  <c r="F97" i="19"/>
  <c r="K81" i="19"/>
  <c r="H97" i="19"/>
  <c r="G97" i="19"/>
  <c r="E97" i="19"/>
  <c r="D97" i="19"/>
  <c r="J96" i="19"/>
  <c r="K96" i="19"/>
  <c r="D96" i="19"/>
  <c r="F96" i="19"/>
  <c r="L96" i="19"/>
  <c r="G96" i="19"/>
  <c r="E96" i="19"/>
  <c r="H96" i="19"/>
  <c r="M96" i="19"/>
  <c r="I96" i="19"/>
  <c r="N71" i="19"/>
  <c r="O95" i="19" s="1"/>
  <c r="N70" i="19"/>
  <c r="O94" i="19" s="1"/>
  <c r="C69" i="19"/>
  <c r="D69" i="19"/>
  <c r="N72" i="19"/>
  <c r="O96" i="19" s="1"/>
  <c r="D84" i="19"/>
  <c r="D95" i="19" s="1"/>
  <c r="E84" i="19"/>
  <c r="E95" i="19" s="1"/>
  <c r="F84" i="19"/>
  <c r="F95" i="19" s="1"/>
  <c r="I81" i="19"/>
  <c r="H81" i="19"/>
  <c r="D81" i="19"/>
  <c r="J81" i="19"/>
  <c r="L84" i="19"/>
  <c r="M81" i="19"/>
  <c r="H84" i="19"/>
  <c r="H95" i="19" s="1"/>
  <c r="G81" i="19"/>
  <c r="M84" i="19"/>
  <c r="M95" i="19" s="1"/>
  <c r="K84" i="19"/>
  <c r="K95" i="19" s="1"/>
  <c r="E81" i="19"/>
  <c r="C81" i="19"/>
  <c r="I84" i="19"/>
  <c r="I95" i="19" s="1"/>
  <c r="C84" i="19"/>
  <c r="F81" i="19"/>
  <c r="J84" i="19"/>
  <c r="J95" i="19" s="1"/>
  <c r="E36" i="19"/>
  <c r="I36" i="19"/>
  <c r="M36" i="19"/>
  <c r="M35" i="19" s="1"/>
  <c r="M75" i="19" s="1"/>
  <c r="M73" i="19" s="1"/>
  <c r="K36" i="19"/>
  <c r="F36" i="19"/>
  <c r="J36" i="19"/>
  <c r="N36" i="19"/>
  <c r="H36" i="19"/>
  <c r="G36" i="19"/>
  <c r="L36" i="19"/>
  <c r="K20" i="52"/>
  <c r="M14" i="52"/>
  <c r="M20" i="52"/>
  <c r="L20" i="52"/>
  <c r="J14" i="52"/>
  <c r="K14" i="52"/>
  <c r="J20" i="52"/>
  <c r="L14" i="52"/>
  <c r="D11" i="41"/>
  <c r="D15" i="41" s="1"/>
  <c r="E22" i="41" s="1"/>
  <c r="I11" i="41"/>
  <c r="I15" i="41" s="1"/>
  <c r="J22" i="41" s="1"/>
  <c r="O11" i="41"/>
  <c r="F12" i="41"/>
  <c r="M11" i="41"/>
  <c r="M15" i="41" s="1"/>
  <c r="C11" i="41"/>
  <c r="C15" i="41" s="1"/>
  <c r="D22" i="41" s="1"/>
  <c r="J11" i="41"/>
  <c r="J15" i="41" s="1"/>
  <c r="K22" i="41" s="1"/>
  <c r="H11" i="41"/>
  <c r="H15" i="41" s="1"/>
  <c r="I22" i="41" s="1"/>
  <c r="L11" i="41"/>
  <c r="L15" i="41" s="1"/>
  <c r="N11" i="41"/>
  <c r="N15" i="41" s="1"/>
  <c r="E19" i="48" s="1"/>
  <c r="K11" i="41"/>
  <c r="P11" i="41"/>
  <c r="P15" i="41" s="1"/>
  <c r="G19" i="48" s="1"/>
  <c r="J26" i="37"/>
  <c r="I26" i="37"/>
  <c r="N26" i="37"/>
  <c r="K26" i="37"/>
  <c r="C26" i="37"/>
  <c r="H26" i="37"/>
  <c r="L26" i="37"/>
  <c r="Q26" i="37"/>
  <c r="M26" i="37"/>
  <c r="O26" i="37"/>
  <c r="E26" i="37"/>
  <c r="D26" i="37"/>
  <c r="F26" i="37"/>
  <c r="P26" i="37"/>
  <c r="D5" i="48"/>
  <c r="C25" i="48"/>
  <c r="D25" i="48"/>
  <c r="C5" i="48"/>
  <c r="F25" i="48"/>
  <c r="L25" i="48" s="1"/>
  <c r="E5" i="48"/>
  <c r="E25" i="48"/>
  <c r="I22" i="37"/>
  <c r="I33" i="37"/>
  <c r="E22" i="37"/>
  <c r="E33" i="37"/>
  <c r="D20" i="37"/>
  <c r="D31" i="37"/>
  <c r="Q21" i="37"/>
  <c r="Q32" i="37"/>
  <c r="N21" i="37"/>
  <c r="N32" i="37"/>
  <c r="C19" i="37"/>
  <c r="C30" i="37"/>
  <c r="J22" i="37"/>
  <c r="J33" i="37"/>
  <c r="N22" i="37"/>
  <c r="N33" i="37"/>
  <c r="E20" i="37"/>
  <c r="E31" i="37"/>
  <c r="O21" i="37"/>
  <c r="O32" i="37"/>
  <c r="K21" i="37"/>
  <c r="K32" i="37"/>
  <c r="K22" i="37"/>
  <c r="K33" i="37"/>
  <c r="F22" i="37"/>
  <c r="F33" i="37"/>
  <c r="J20" i="37"/>
  <c r="J31" i="37"/>
  <c r="P21" i="37"/>
  <c r="P32" i="37"/>
  <c r="C21" i="37"/>
  <c r="C32" i="37"/>
  <c r="L22" i="37"/>
  <c r="L33" i="37"/>
  <c r="O22" i="37"/>
  <c r="O33" i="37"/>
  <c r="O20" i="37"/>
  <c r="O31" i="37"/>
  <c r="F21" i="37"/>
  <c r="F32" i="37"/>
  <c r="L21" i="37"/>
  <c r="L32" i="37"/>
  <c r="H22" i="37"/>
  <c r="H33" i="37"/>
  <c r="N20" i="37"/>
  <c r="N31" i="37"/>
  <c r="H20" i="37"/>
  <c r="H31" i="37"/>
  <c r="H21" i="37"/>
  <c r="H32" i="37"/>
  <c r="D21" i="37"/>
  <c r="D32" i="37"/>
  <c r="P22" i="37"/>
  <c r="P33" i="37"/>
  <c r="K20" i="37"/>
  <c r="K31" i="37"/>
  <c r="P20" i="37"/>
  <c r="P31" i="37"/>
  <c r="I21" i="37"/>
  <c r="I32" i="37"/>
  <c r="M21" i="37"/>
  <c r="M32" i="37"/>
  <c r="C22" i="37"/>
  <c r="C33" i="37"/>
  <c r="D22" i="37"/>
  <c r="D33" i="37"/>
  <c r="L20" i="37"/>
  <c r="L31" i="37"/>
  <c r="I20" i="37"/>
  <c r="I31" i="37"/>
  <c r="J21" i="37"/>
  <c r="J32" i="37"/>
  <c r="Q22" i="37"/>
  <c r="Q33" i="37"/>
  <c r="M22" i="37"/>
  <c r="M33" i="37"/>
  <c r="C20" i="37"/>
  <c r="C31" i="37"/>
  <c r="Q20" i="37"/>
  <c r="Q31" i="37"/>
  <c r="E21" i="37"/>
  <c r="E32" i="37"/>
  <c r="U22" i="52"/>
  <c r="U17" i="52"/>
  <c r="S11" i="52"/>
  <c r="U25" i="52"/>
  <c r="F9" i="48"/>
  <c r="L9" i="48" s="1"/>
  <c r="E9" i="48"/>
  <c r="D9" i="48"/>
  <c r="C9" i="48"/>
  <c r="S22" i="52"/>
  <c r="G15" i="48"/>
  <c r="S21" i="52"/>
  <c r="S25" i="52"/>
  <c r="H15" i="48"/>
  <c r="S17" i="52"/>
  <c r="U11" i="52"/>
  <c r="H14" i="48"/>
  <c r="J43" i="52"/>
  <c r="M43" i="52"/>
  <c r="K43" i="52"/>
  <c r="N43" i="52"/>
  <c r="U37" i="52"/>
  <c r="S37" i="52"/>
  <c r="L43" i="52"/>
  <c r="Q34" i="41"/>
  <c r="N5" i="19"/>
  <c r="Q5" i="37"/>
  <c r="Q21" i="35"/>
  <c r="Q25" i="35" s="1"/>
  <c r="Q26" i="35" s="1"/>
  <c r="Q33" i="35" s="1"/>
  <c r="Q9" i="36"/>
  <c r="Q14" i="35"/>
  <c r="Q32" i="20"/>
  <c r="D37" i="41"/>
  <c r="E37" i="41"/>
  <c r="F37" i="41"/>
  <c r="H37" i="41"/>
  <c r="I37" i="41"/>
  <c r="J37" i="41"/>
  <c r="K37" i="41"/>
  <c r="L37" i="41"/>
  <c r="M37" i="41"/>
  <c r="N37" i="41"/>
  <c r="O37" i="41"/>
  <c r="P37" i="41"/>
  <c r="C37" i="41"/>
  <c r="F33" i="41"/>
  <c r="E33" i="41"/>
  <c r="F32" i="41"/>
  <c r="E32" i="41"/>
  <c r="F31" i="41"/>
  <c r="E31" i="41"/>
  <c r="F30" i="41"/>
  <c r="E30" i="41"/>
  <c r="F29" i="41"/>
  <c r="E29" i="41"/>
  <c r="D49" i="36" l="1"/>
  <c r="H49" i="36"/>
  <c r="N22" i="41"/>
  <c r="D19" i="48"/>
  <c r="M22" i="41"/>
  <c r="C19" i="48"/>
  <c r="K49" i="36"/>
  <c r="E49" i="36"/>
  <c r="E48" i="36" s="1"/>
  <c r="J49" i="36"/>
  <c r="C49" i="36"/>
  <c r="C48" i="36" s="1"/>
  <c r="M35" i="36"/>
  <c r="I49" i="36"/>
  <c r="J35" i="36"/>
  <c r="K35" i="36"/>
  <c r="L35" i="36"/>
  <c r="P35" i="36"/>
  <c r="Q35" i="36"/>
  <c r="Q41" i="36" s="1"/>
  <c r="H35" i="36"/>
  <c r="I35" i="36"/>
  <c r="N35" i="36"/>
  <c r="O35" i="36"/>
  <c r="S39" i="41"/>
  <c r="S42" i="41" s="1"/>
  <c r="S14" i="37"/>
  <c r="E15" i="52" s="1"/>
  <c r="G14" i="37"/>
  <c r="G18" i="37"/>
  <c r="G23" i="37" s="1"/>
  <c r="G29" i="37"/>
  <c r="G34" i="37" s="1"/>
  <c r="S18" i="37"/>
  <c r="S23" i="37" s="1"/>
  <c r="S29" i="37"/>
  <c r="S34" i="37" s="1"/>
  <c r="S5" i="39"/>
  <c r="J12" i="48"/>
  <c r="O15" i="52"/>
  <c r="O18" i="52" s="1"/>
  <c r="O23" i="52" s="1"/>
  <c r="O26" i="52" s="1"/>
  <c r="E26" i="52" s="1"/>
  <c r="D35" i="36"/>
  <c r="J31" i="36"/>
  <c r="E31" i="36"/>
  <c r="K31" i="36"/>
  <c r="D31" i="36"/>
  <c r="H48" i="36"/>
  <c r="N31" i="36"/>
  <c r="E35" i="36"/>
  <c r="S5" i="36"/>
  <c r="S17" i="36" s="1"/>
  <c r="S18" i="36"/>
  <c r="G18" i="36"/>
  <c r="G5" i="36"/>
  <c r="G17" i="36" s="1"/>
  <c r="S8" i="36"/>
  <c r="C31" i="36"/>
  <c r="F35" i="36"/>
  <c r="G35" i="36"/>
  <c r="G41" i="36" s="1"/>
  <c r="F31" i="36"/>
  <c r="O31" i="36"/>
  <c r="M31" i="36"/>
  <c r="L31" i="36"/>
  <c r="P31" i="36"/>
  <c r="H31" i="36"/>
  <c r="I31" i="36"/>
  <c r="K19" i="48"/>
  <c r="L80" i="19"/>
  <c r="E13" i="52"/>
  <c r="D13" i="52" s="1"/>
  <c r="P14" i="52" s="1"/>
  <c r="G80" i="19"/>
  <c r="R33" i="35"/>
  <c r="M80" i="19"/>
  <c r="K80" i="19"/>
  <c r="R8" i="36"/>
  <c r="O73" i="19"/>
  <c r="P97" i="19" s="1"/>
  <c r="I80" i="19"/>
  <c r="F80" i="19"/>
  <c r="C80" i="19"/>
  <c r="J80" i="19"/>
  <c r="E80" i="19"/>
  <c r="D80" i="19"/>
  <c r="D93" i="19" s="1"/>
  <c r="H80" i="19"/>
  <c r="F94" i="19"/>
  <c r="I94" i="19"/>
  <c r="K94" i="19"/>
  <c r="M94" i="19"/>
  <c r="L94" i="19"/>
  <c r="J94" i="19"/>
  <c r="D94" i="19"/>
  <c r="H94" i="19"/>
  <c r="L95" i="19"/>
  <c r="E94" i="19"/>
  <c r="N95" i="19"/>
  <c r="N96" i="19"/>
  <c r="G94" i="19"/>
  <c r="N15" i="19"/>
  <c r="N17" i="19" s="1"/>
  <c r="Q22" i="41"/>
  <c r="Q20" i="41" s="1"/>
  <c r="Q23" i="41" s="1"/>
  <c r="L40" i="52"/>
  <c r="O22" i="41"/>
  <c r="J40" i="52"/>
  <c r="M21" i="41"/>
  <c r="P21" i="41"/>
  <c r="L21" i="41"/>
  <c r="H21" i="41"/>
  <c r="I21" i="41"/>
  <c r="J21" i="41"/>
  <c r="J20" i="41" s="1"/>
  <c r="J23" i="41" s="1"/>
  <c r="N21" i="41"/>
  <c r="C22" i="41"/>
  <c r="C21" i="41"/>
  <c r="O15" i="41"/>
  <c r="F19" i="48" s="1"/>
  <c r="F11" i="41"/>
  <c r="K15" i="41"/>
  <c r="L22" i="41" s="1"/>
  <c r="E11" i="41"/>
  <c r="D21" i="41"/>
  <c r="D20" i="41" s="1"/>
  <c r="D23" i="41" s="1"/>
  <c r="D25" i="41" s="1"/>
  <c r="S14" i="52"/>
  <c r="U21" i="52"/>
  <c r="U20" i="52"/>
  <c r="S20" i="52"/>
  <c r="U43" i="52"/>
  <c r="S43" i="52"/>
  <c r="Q40" i="41"/>
  <c r="R41" i="41" s="1"/>
  <c r="R39" i="41" s="1"/>
  <c r="R42" i="41" s="1"/>
  <c r="N41" i="52"/>
  <c r="Q29" i="35"/>
  <c r="F28" i="41"/>
  <c r="E28" i="41"/>
  <c r="E34" i="41" s="1"/>
  <c r="E40" i="41" s="1"/>
  <c r="C34" i="41"/>
  <c r="C41" i="41" s="1"/>
  <c r="I34" i="41"/>
  <c r="I40" i="41" s="1"/>
  <c r="J41" i="41" s="1"/>
  <c r="J34" i="41"/>
  <c r="J40" i="41" s="1"/>
  <c r="K41" i="41" s="1"/>
  <c r="C31" i="35"/>
  <c r="E24" i="35"/>
  <c r="F18" i="35"/>
  <c r="J21" i="35"/>
  <c r="D21" i="35"/>
  <c r="E17" i="35"/>
  <c r="N21" i="35"/>
  <c r="O21" i="35"/>
  <c r="F17" i="35"/>
  <c r="C21" i="35"/>
  <c r="K21" i="35"/>
  <c r="H21" i="35"/>
  <c r="P21" i="35"/>
  <c r="G21" i="35" s="1"/>
  <c r="E19" i="35"/>
  <c r="F19" i="35"/>
  <c r="I21" i="35"/>
  <c r="L21" i="35"/>
  <c r="E18" i="35"/>
  <c r="D34" i="41"/>
  <c r="D40" i="41" s="1"/>
  <c r="O34" i="41"/>
  <c r="N34" i="41"/>
  <c r="H34" i="41"/>
  <c r="H40" i="41" s="1"/>
  <c r="P34" i="41"/>
  <c r="M34" i="41"/>
  <c r="K34" i="41"/>
  <c r="L34" i="41"/>
  <c r="M21" i="35"/>
  <c r="K48" i="36" l="1"/>
  <c r="I48" i="36"/>
  <c r="I56" i="36" s="1"/>
  <c r="M20" i="41"/>
  <c r="M23" i="41" s="1"/>
  <c r="L19" i="48"/>
  <c r="J37" i="48"/>
  <c r="D48" i="36"/>
  <c r="D56" i="36" s="1"/>
  <c r="J48" i="36"/>
  <c r="J56" i="36" s="1"/>
  <c r="S14" i="36"/>
  <c r="J34" i="48" s="1"/>
  <c r="E27" i="52"/>
  <c r="E25" i="52"/>
  <c r="D41" i="36"/>
  <c r="C56" i="36"/>
  <c r="C41" i="36"/>
  <c r="J41" i="36"/>
  <c r="H41" i="36"/>
  <c r="H56" i="36"/>
  <c r="N41" i="36"/>
  <c r="K56" i="36"/>
  <c r="K41" i="36"/>
  <c r="O41" i="36"/>
  <c r="P41" i="36"/>
  <c r="F41" i="36"/>
  <c r="L41" i="36"/>
  <c r="E41" i="36"/>
  <c r="E56" i="36"/>
  <c r="I41" i="36"/>
  <c r="M41" i="36"/>
  <c r="P22" i="41"/>
  <c r="P20" i="41" s="1"/>
  <c r="P23" i="41" s="1"/>
  <c r="K40" i="52"/>
  <c r="K41" i="52" s="1"/>
  <c r="L20" i="41"/>
  <c r="L23" i="41" s="1"/>
  <c r="C20" i="41"/>
  <c r="C23" i="41" s="1"/>
  <c r="C25" i="41" s="1"/>
  <c r="N20" i="41"/>
  <c r="N23" i="41" s="1"/>
  <c r="K21" i="41"/>
  <c r="K20" i="41" s="1"/>
  <c r="K23" i="41" s="1"/>
  <c r="E15" i="41"/>
  <c r="F22" i="41" s="1"/>
  <c r="O21" i="41"/>
  <c r="O20" i="41" s="1"/>
  <c r="O23" i="41" s="1"/>
  <c r="F15" i="41"/>
  <c r="I20" i="41"/>
  <c r="I23" i="41" s="1"/>
  <c r="J41" i="52"/>
  <c r="U41" i="52" s="1"/>
  <c r="N40" i="41"/>
  <c r="O41" i="41" s="1"/>
  <c r="O40" i="41"/>
  <c r="P41" i="41" s="1"/>
  <c r="L41" i="52"/>
  <c r="P40" i="41"/>
  <c r="Q41" i="41" s="1"/>
  <c r="Q39" i="41" s="1"/>
  <c r="C40" i="41"/>
  <c r="D41" i="41" s="1"/>
  <c r="D39" i="41" s="1"/>
  <c r="D42" i="41" s="1"/>
  <c r="D44" i="41" s="1"/>
  <c r="H25" i="35"/>
  <c r="H26" i="35" s="1"/>
  <c r="J25" i="35"/>
  <c r="J26" i="35" s="1"/>
  <c r="L25" i="35"/>
  <c r="L26" i="35" s="1"/>
  <c r="O25" i="35"/>
  <c r="N25" i="35"/>
  <c r="C25" i="35"/>
  <c r="C26" i="35" s="1"/>
  <c r="I25" i="35"/>
  <c r="I26" i="35" s="1"/>
  <c r="P25" i="35"/>
  <c r="F34" i="41"/>
  <c r="F40" i="41" s="1"/>
  <c r="G41" i="41" s="1"/>
  <c r="G39" i="41" s="1"/>
  <c r="G42" i="41" s="1"/>
  <c r="G44" i="41" s="1"/>
  <c r="K25" i="35"/>
  <c r="K26" i="35" s="1"/>
  <c r="M25" i="35"/>
  <c r="D25" i="35"/>
  <c r="D26" i="35" s="1"/>
  <c r="J39" i="41"/>
  <c r="J42" i="41" s="1"/>
  <c r="F21" i="35"/>
  <c r="E21" i="35"/>
  <c r="K40" i="41"/>
  <c r="H41" i="41"/>
  <c r="H39" i="41" s="1"/>
  <c r="H42" i="41" s="1"/>
  <c r="E41" i="41"/>
  <c r="E39" i="41" s="1"/>
  <c r="E42" i="41" s="1"/>
  <c r="E44" i="41" s="1"/>
  <c r="F41" i="41"/>
  <c r="M40" i="41"/>
  <c r="I41" i="41"/>
  <c r="I39" i="41" s="1"/>
  <c r="I42" i="41" s="1"/>
  <c r="L40" i="41"/>
  <c r="H22" i="41" l="1"/>
  <c r="H20" i="41" s="1"/>
  <c r="H23" i="41" s="1"/>
  <c r="G22" i="41"/>
  <c r="G20" i="41" s="1"/>
  <c r="G23" i="41" s="1"/>
  <c r="G25" i="41" s="1"/>
  <c r="P26" i="35"/>
  <c r="G26" i="35" s="1"/>
  <c r="G25" i="35"/>
  <c r="E21" i="41"/>
  <c r="F21" i="41"/>
  <c r="F20" i="41" s="1"/>
  <c r="F23" i="41" s="1"/>
  <c r="F25" i="41" s="1"/>
  <c r="P39" i="41"/>
  <c r="P42" i="41" s="1"/>
  <c r="O39" i="41"/>
  <c r="O42" i="41" s="1"/>
  <c r="U40" i="52"/>
  <c r="D19" i="52"/>
  <c r="M41" i="52"/>
  <c r="S41" i="52" s="1"/>
  <c r="U42" i="52"/>
  <c r="Q42" i="41"/>
  <c r="S42" i="52"/>
  <c r="S40" i="52"/>
  <c r="F39" i="41"/>
  <c r="F42" i="41" s="1"/>
  <c r="C39" i="41"/>
  <c r="C42" i="41" s="1"/>
  <c r="C44" i="41" s="1"/>
  <c r="C29" i="35"/>
  <c r="C33" i="35"/>
  <c r="C30" i="35" s="1"/>
  <c r="J29" i="35"/>
  <c r="K33" i="35"/>
  <c r="H33" i="35"/>
  <c r="I33" i="35"/>
  <c r="K29" i="35"/>
  <c r="I29" i="35"/>
  <c r="L33" i="35"/>
  <c r="J33" i="35"/>
  <c r="D33" i="35"/>
  <c r="D29" i="35"/>
  <c r="H29" i="35"/>
  <c r="L29" i="35"/>
  <c r="E25" i="35"/>
  <c r="E26" i="35" s="1"/>
  <c r="F25" i="35"/>
  <c r="N41" i="41"/>
  <c r="N39" i="41" s="1"/>
  <c r="N42" i="41" s="1"/>
  <c r="L41" i="41"/>
  <c r="L39" i="41" s="1"/>
  <c r="L42" i="41" s="1"/>
  <c r="K39" i="41"/>
  <c r="K42" i="41" s="1"/>
  <c r="M41" i="41"/>
  <c r="M39" i="41" s="1"/>
  <c r="M42" i="41" s="1"/>
  <c r="P33" i="35" l="1"/>
  <c r="P29" i="35"/>
  <c r="G29" i="35"/>
  <c r="G33" i="35"/>
  <c r="G30" i="35" s="1"/>
  <c r="E20" i="41"/>
  <c r="E23" i="41" s="1"/>
  <c r="E25" i="41" s="1"/>
  <c r="C34" i="35"/>
  <c r="E33" i="35"/>
  <c r="E29" i="35"/>
  <c r="L13" i="32"/>
  <c r="K13" i="32"/>
  <c r="D13" i="32"/>
  <c r="H13" i="32"/>
  <c r="C13" i="32"/>
  <c r="J13" i="32"/>
  <c r="I13" i="32"/>
  <c r="G13" i="32"/>
  <c r="F13" i="32"/>
  <c r="E13" i="32"/>
  <c r="D14" i="35"/>
  <c r="I14" i="35"/>
  <c r="L14" i="35"/>
  <c r="P14" i="35"/>
  <c r="G14" i="35" s="1"/>
  <c r="C14" i="35"/>
  <c r="G34" i="35" l="1"/>
  <c r="E24" i="48"/>
  <c r="F24" i="48"/>
  <c r="L24" i="48" s="1"/>
  <c r="C24" i="48"/>
  <c r="D24" i="48"/>
  <c r="D5" i="31" l="1"/>
  <c r="L5" i="31"/>
  <c r="C5" i="31"/>
  <c r="F26" i="48" l="1"/>
  <c r="L26" i="48" s="1"/>
  <c r="F5" i="31"/>
  <c r="G5" i="31"/>
  <c r="E5" i="31"/>
  <c r="H5" i="31"/>
  <c r="K5" i="31"/>
  <c r="J5" i="31"/>
  <c r="I5" i="31"/>
  <c r="D26" i="48" l="1"/>
  <c r="E26" i="48"/>
  <c r="C26" i="48"/>
  <c r="P30" i="39"/>
  <c r="O30" i="39"/>
  <c r="N30" i="39"/>
  <c r="M30" i="39"/>
  <c r="L30" i="39"/>
  <c r="K30" i="39"/>
  <c r="J30" i="39"/>
  <c r="I30" i="39"/>
  <c r="F30" i="39"/>
  <c r="D25" i="39"/>
  <c r="E25" i="39"/>
  <c r="H25" i="39"/>
  <c r="I25" i="39"/>
  <c r="J25" i="39"/>
  <c r="L25" i="39"/>
  <c r="M25" i="39"/>
  <c r="N25" i="39"/>
  <c r="P25" i="39"/>
  <c r="C25" i="39"/>
  <c r="P15" i="39"/>
  <c r="O15" i="39"/>
  <c r="N15" i="39"/>
  <c r="M15" i="39"/>
  <c r="L15" i="39"/>
  <c r="K15" i="39"/>
  <c r="J15" i="39"/>
  <c r="I15" i="39"/>
  <c r="F15" i="39"/>
  <c r="F13" i="38"/>
  <c r="I13" i="38"/>
  <c r="J13" i="38"/>
  <c r="K13" i="38"/>
  <c r="L13" i="38"/>
  <c r="M13" i="38"/>
  <c r="N13" i="38"/>
  <c r="O13" i="38"/>
  <c r="P13" i="38"/>
  <c r="H15" i="39" l="1"/>
  <c r="E15" i="39"/>
  <c r="C13" i="39"/>
  <c r="C15" i="39"/>
  <c r="D15" i="39" s="1"/>
  <c r="E30" i="39"/>
  <c r="H30" i="39"/>
  <c r="C11" i="38"/>
  <c r="C13" i="38"/>
  <c r="D13" i="38" s="1"/>
  <c r="C28" i="39"/>
  <c r="C30" i="39"/>
  <c r="D30" i="39" s="1"/>
  <c r="H13" i="38"/>
  <c r="E13" i="38"/>
  <c r="C20" i="39"/>
  <c r="C19" i="39" s="1"/>
  <c r="K28" i="39"/>
  <c r="M28" i="39"/>
  <c r="O28" i="39"/>
  <c r="D28" i="39"/>
  <c r="J28" i="39"/>
  <c r="L28" i="39"/>
  <c r="L13" i="39"/>
  <c r="I28" i="39"/>
  <c r="E28" i="39"/>
  <c r="N28" i="39"/>
  <c r="H28" i="39"/>
  <c r="L11" i="38"/>
  <c r="J11" i="38"/>
  <c r="I11" i="38"/>
  <c r="C6" i="39"/>
  <c r="C5" i="39" s="1"/>
  <c r="M11" i="38"/>
  <c r="D11" i="38"/>
  <c r="D13" i="39"/>
  <c r="N13" i="39"/>
  <c r="O11" i="38"/>
  <c r="N11" i="38"/>
  <c r="E11" i="38"/>
  <c r="K11" i="38"/>
  <c r="E13" i="39"/>
  <c r="M13" i="39"/>
  <c r="J13" i="39"/>
  <c r="I13" i="39"/>
  <c r="H11" i="38"/>
  <c r="K13" i="39"/>
  <c r="O13" i="39"/>
  <c r="H13" i="39"/>
  <c r="C16" i="39" l="1"/>
  <c r="C31" i="39"/>
  <c r="I23" i="36" l="1"/>
  <c r="J23" i="36"/>
  <c r="K23" i="36"/>
  <c r="L23" i="36"/>
  <c r="M23" i="36"/>
  <c r="N23" i="36"/>
  <c r="O23" i="36"/>
  <c r="P23" i="36"/>
  <c r="I25" i="36"/>
  <c r="J25" i="36"/>
  <c r="K25" i="36"/>
  <c r="L25" i="36"/>
  <c r="M25" i="36"/>
  <c r="N25" i="36"/>
  <c r="O25" i="36"/>
  <c r="P25" i="36"/>
  <c r="I27" i="36"/>
  <c r="J27" i="36"/>
  <c r="K27" i="36"/>
  <c r="L27" i="36"/>
  <c r="M27" i="36"/>
  <c r="N27" i="36"/>
  <c r="O27" i="36"/>
  <c r="P27" i="36"/>
  <c r="J22" i="36"/>
  <c r="K22" i="36"/>
  <c r="M22" i="36"/>
  <c r="N22" i="36"/>
  <c r="O22" i="36"/>
  <c r="P22" i="36"/>
  <c r="I22" i="36"/>
  <c r="H22" i="36"/>
  <c r="H23" i="36"/>
  <c r="H25" i="36"/>
  <c r="H27" i="36"/>
  <c r="E23" i="36"/>
  <c r="F23" i="36"/>
  <c r="E25" i="36"/>
  <c r="F25" i="36"/>
  <c r="E27" i="36"/>
  <c r="F27" i="36"/>
  <c r="F22" i="36"/>
  <c r="E22" i="36"/>
  <c r="D22" i="36"/>
  <c r="D23" i="36"/>
  <c r="D25" i="36"/>
  <c r="D27" i="36"/>
  <c r="C27" i="36"/>
  <c r="C23" i="36"/>
  <c r="C25" i="36"/>
  <c r="C22" i="36"/>
  <c r="L9" i="36" l="1"/>
  <c r="C24" i="36"/>
  <c r="C21" i="36" s="1"/>
  <c r="C20" i="36" s="1"/>
  <c r="K24" i="36"/>
  <c r="K21" i="36" s="1"/>
  <c r="J24" i="36"/>
  <c r="J21" i="36" s="1"/>
  <c r="I24" i="36"/>
  <c r="I21" i="36" s="1"/>
  <c r="L22" i="36"/>
  <c r="H24" i="36"/>
  <c r="H21" i="36" s="1"/>
  <c r="D24" i="36"/>
  <c r="D21" i="36" s="1"/>
  <c r="P5" i="37"/>
  <c r="C5" i="37"/>
  <c r="D5" i="37"/>
  <c r="J9" i="36"/>
  <c r="K9" i="36"/>
  <c r="N9" i="36"/>
  <c r="H9" i="36"/>
  <c r="D9" i="36"/>
  <c r="I9" i="36"/>
  <c r="P9" i="36"/>
  <c r="Q8" i="36" s="1"/>
  <c r="O9" i="36"/>
  <c r="M9" i="36"/>
  <c r="E9" i="36"/>
  <c r="F9" i="36"/>
  <c r="G8" i="36" s="1"/>
  <c r="G14" i="36" s="1"/>
  <c r="C9" i="36"/>
  <c r="L8" i="36" l="1"/>
  <c r="D20" i="36"/>
  <c r="H20" i="36"/>
  <c r="J20" i="36"/>
  <c r="I20" i="36"/>
  <c r="K20" i="36"/>
  <c r="C8" i="36"/>
  <c r="M8" i="36"/>
  <c r="K8" i="36"/>
  <c r="F8" i="36"/>
  <c r="I8" i="36"/>
  <c r="E8" i="36"/>
  <c r="O8" i="36"/>
  <c r="J8" i="36"/>
  <c r="D8" i="36"/>
  <c r="H8" i="36"/>
  <c r="N8" i="36"/>
  <c r="P8" i="36"/>
  <c r="F41" i="20" l="1"/>
  <c r="E41" i="20"/>
  <c r="F38" i="20"/>
  <c r="E38" i="20"/>
  <c r="F37" i="20"/>
  <c r="E37" i="20"/>
  <c r="F36" i="20"/>
  <c r="E36" i="20"/>
  <c r="F35" i="20"/>
  <c r="E35" i="20"/>
  <c r="F34" i="20"/>
  <c r="E34" i="20"/>
  <c r="F33" i="20"/>
  <c r="E33" i="20"/>
  <c r="F29" i="20"/>
  <c r="E29" i="20"/>
  <c r="F28" i="20"/>
  <c r="E28" i="20"/>
  <c r="F27" i="20"/>
  <c r="E27" i="20"/>
  <c r="F26" i="20"/>
  <c r="E26" i="20"/>
  <c r="F25" i="20"/>
  <c r="E25" i="20"/>
  <c r="F24" i="20"/>
  <c r="E24" i="20"/>
  <c r="F23" i="20"/>
  <c r="E23" i="20"/>
  <c r="F22" i="20"/>
  <c r="E22" i="20"/>
  <c r="F21" i="20"/>
  <c r="E21" i="20"/>
  <c r="F20" i="20"/>
  <c r="E20" i="20"/>
  <c r="F17" i="20"/>
  <c r="E17" i="20"/>
  <c r="F16" i="20"/>
  <c r="E16" i="20"/>
  <c r="F15" i="20"/>
  <c r="E15" i="20"/>
  <c r="F14" i="20"/>
  <c r="E14" i="20"/>
  <c r="F13" i="20"/>
  <c r="E13" i="20"/>
  <c r="F12" i="20"/>
  <c r="E12" i="20"/>
  <c r="F11" i="20"/>
  <c r="E11" i="20"/>
  <c r="F10" i="20"/>
  <c r="E10" i="20"/>
  <c r="F9" i="20"/>
  <c r="E9" i="20"/>
  <c r="F8" i="20"/>
  <c r="E8" i="20"/>
  <c r="F7" i="20"/>
  <c r="E7" i="20"/>
  <c r="F6" i="20"/>
  <c r="E6" i="20"/>
  <c r="F5" i="20"/>
  <c r="E5" i="20"/>
  <c r="E32" i="20" l="1"/>
  <c r="F32" i="20"/>
  <c r="L32" i="20"/>
  <c r="M32" i="20"/>
  <c r="C32" i="20"/>
  <c r="N32" i="20"/>
  <c r="D32" i="20"/>
  <c r="K32" i="20"/>
  <c r="O32" i="20"/>
  <c r="H32" i="20"/>
  <c r="P32" i="20"/>
  <c r="I32" i="20"/>
  <c r="J32" i="20"/>
  <c r="D36" i="19" l="1"/>
  <c r="C36" i="19"/>
  <c r="E5" i="19" l="1"/>
  <c r="M5" i="19"/>
  <c r="G5" i="19"/>
  <c r="F5" i="19"/>
  <c r="C5" i="19"/>
  <c r="K5" i="19"/>
  <c r="H5" i="19"/>
  <c r="J5" i="19"/>
  <c r="D5" i="19"/>
  <c r="L5" i="19"/>
  <c r="I5" i="19"/>
  <c r="M15" i="19" l="1"/>
  <c r="C12" i="19"/>
  <c r="C15" i="19"/>
  <c r="L15" i="19"/>
  <c r="H15" i="19"/>
  <c r="G15" i="19"/>
  <c r="K15" i="19"/>
  <c r="F15" i="19"/>
  <c r="I15" i="19"/>
  <c r="D12" i="19"/>
  <c r="D15" i="19"/>
  <c r="E15" i="19"/>
  <c r="J15" i="19"/>
  <c r="I17" i="19" l="1"/>
  <c r="H17" i="19"/>
  <c r="F17" i="19"/>
  <c r="K17" i="19"/>
  <c r="D17" i="19"/>
  <c r="G17" i="19"/>
  <c r="J17" i="19"/>
  <c r="L17" i="19"/>
  <c r="E17" i="19"/>
  <c r="C17" i="19"/>
  <c r="M17" i="19"/>
  <c r="N5" i="37" l="1"/>
  <c r="M5" i="37"/>
  <c r="J5" i="37"/>
  <c r="L5" i="37"/>
  <c r="F5" i="37"/>
  <c r="H5" i="37"/>
  <c r="I5" i="37"/>
  <c r="K5" i="37"/>
  <c r="E5" i="37"/>
  <c r="F6" i="35" l="1"/>
  <c r="F7" i="35"/>
  <c r="F9" i="35"/>
  <c r="F8" i="35"/>
  <c r="F5" i="35" l="1"/>
  <c r="E11" i="35"/>
  <c r="K25" i="39"/>
  <c r="N14" i="35"/>
  <c r="J14" i="35"/>
  <c r="M14" i="35"/>
  <c r="F11" i="35"/>
  <c r="O25" i="39"/>
  <c r="H14" i="35" l="1"/>
  <c r="O5" i="37"/>
  <c r="E6" i="35"/>
  <c r="E8" i="35"/>
  <c r="E7" i="35"/>
  <c r="E5" i="35"/>
  <c r="F10" i="35"/>
  <c r="E9" i="35"/>
  <c r="C9" i="37"/>
  <c r="C29" i="37" s="1"/>
  <c r="C34" i="37" s="1"/>
  <c r="C6" i="36"/>
  <c r="C19" i="36"/>
  <c r="C14" i="37" l="1"/>
  <c r="C18" i="37"/>
  <c r="C23" i="37" s="1"/>
  <c r="E10" i="35"/>
  <c r="C5" i="36"/>
  <c r="C18" i="36"/>
  <c r="C14" i="36" l="1"/>
  <c r="C17" i="36"/>
  <c r="C28" i="36" s="1"/>
  <c r="F25" i="39" l="1"/>
  <c r="E24" i="36" l="1"/>
  <c r="E21" i="36" s="1"/>
  <c r="E20" i="36" s="1"/>
  <c r="F44" i="41"/>
  <c r="F11" i="38" l="1"/>
  <c r="F28" i="39"/>
  <c r="F13" i="39"/>
  <c r="E13" i="35"/>
  <c r="E12" i="35" l="1"/>
  <c r="E14" i="35" s="1"/>
  <c r="K14" i="35"/>
  <c r="F13" i="35" l="1"/>
  <c r="F12" i="35"/>
  <c r="O14" i="35" l="1"/>
  <c r="F14" i="35"/>
  <c r="N26" i="35" l="1"/>
  <c r="N29" i="35" l="1"/>
  <c r="N33" i="35"/>
  <c r="O26" i="35" l="1"/>
  <c r="O29" i="35" l="1"/>
  <c r="O33" i="35"/>
  <c r="N82" i="19" l="1"/>
  <c r="N81" i="19" s="1"/>
  <c r="N80" i="19" s="1"/>
  <c r="N94" i="19" l="1"/>
  <c r="M31" i="37" l="1"/>
  <c r="U14" i="52"/>
  <c r="F31" i="37"/>
  <c r="M20" i="37" l="1"/>
  <c r="F20" i="37"/>
  <c r="M26" i="35"/>
  <c r="F24" i="35"/>
  <c r="F26" i="35" s="1"/>
  <c r="R14" i="52" l="1"/>
  <c r="T14" i="52"/>
  <c r="F33" i="35"/>
  <c r="F29" i="35"/>
  <c r="M33" i="35"/>
  <c r="M29" i="35"/>
  <c r="N35" i="19" l="1"/>
  <c r="N75" i="19" s="1"/>
  <c r="N73" i="19" s="1"/>
  <c r="O97" i="19" l="1"/>
  <c r="N97" i="19"/>
  <c r="H9" i="48" l="1"/>
  <c r="H6" i="48" l="1"/>
  <c r="N12" i="23" l="1"/>
  <c r="H25" i="48" l="1"/>
  <c r="I35" i="19"/>
  <c r="I75" i="19" s="1"/>
  <c r="I73" i="19" s="1"/>
  <c r="J35" i="19"/>
  <c r="J75" i="19" s="1"/>
  <c r="J73" i="19" s="1"/>
  <c r="M13" i="32"/>
  <c r="H12" i="23"/>
  <c r="K35" i="19"/>
  <c r="K75" i="19" s="1"/>
  <c r="K73" i="19" s="1"/>
  <c r="C12" i="23"/>
  <c r="F12" i="23"/>
  <c r="E12" i="23"/>
  <c r="G12" i="23"/>
  <c r="D12" i="23"/>
  <c r="L35" i="19"/>
  <c r="L75" i="19" s="1"/>
  <c r="L73" i="19" s="1"/>
  <c r="N5" i="31"/>
  <c r="L97" i="19" l="1"/>
  <c r="M97" i="19"/>
  <c r="K97" i="19"/>
  <c r="J97" i="19"/>
  <c r="I97" i="19"/>
  <c r="G5" i="48"/>
  <c r="F5" i="48"/>
  <c r="L5" i="48" s="1"/>
  <c r="G25" i="48"/>
  <c r="G9" i="48"/>
  <c r="G6" i="48"/>
  <c r="G24" i="48"/>
  <c r="H26" i="48"/>
  <c r="L12" i="23"/>
  <c r="F6" i="48"/>
  <c r="L6" i="48" s="1"/>
  <c r="M5" i="31"/>
  <c r="E6" i="48"/>
  <c r="K12" i="23"/>
  <c r="M12" i="23"/>
  <c r="N13" i="32"/>
  <c r="I12" i="23"/>
  <c r="C6" i="48"/>
  <c r="J12" i="23"/>
  <c r="D6" i="48"/>
  <c r="H24" i="48" l="1"/>
  <c r="H5" i="48"/>
  <c r="G26" i="48"/>
  <c r="N10" i="52" l="1"/>
  <c r="R20" i="39"/>
  <c r="R19" i="39" s="1"/>
  <c r="R6" i="39"/>
  <c r="F20" i="39" l="1"/>
  <c r="F19" i="39" s="1"/>
  <c r="F31" i="39" s="1"/>
  <c r="F6" i="39"/>
  <c r="F5" i="39" s="1"/>
  <c r="F16" i="39" s="1"/>
  <c r="E20" i="39"/>
  <c r="E19" i="39" s="1"/>
  <c r="E31" i="39" s="1"/>
  <c r="E6" i="39"/>
  <c r="E5" i="39" s="1"/>
  <c r="E16" i="39" s="1"/>
  <c r="D6" i="39"/>
  <c r="D5" i="39" s="1"/>
  <c r="D16" i="39" s="1"/>
  <c r="D20" i="39"/>
  <c r="D19" i="39" s="1"/>
  <c r="D31" i="39" s="1"/>
  <c r="K6" i="39"/>
  <c r="K5" i="39" s="1"/>
  <c r="K16" i="39" s="1"/>
  <c r="I20" i="39"/>
  <c r="I19" i="39" s="1"/>
  <c r="I31" i="39" s="1"/>
  <c r="J20" i="39"/>
  <c r="J19" i="39" s="1"/>
  <c r="J31" i="39" s="1"/>
  <c r="J6" i="39"/>
  <c r="J5" i="39" s="1"/>
  <c r="J16" i="39" s="1"/>
  <c r="R5" i="39"/>
  <c r="I12" i="48"/>
  <c r="K12" i="48" s="1"/>
  <c r="N12" i="52"/>
  <c r="I6" i="39" l="1"/>
  <c r="I5" i="39" s="1"/>
  <c r="I16" i="39" s="1"/>
  <c r="K20" i="39"/>
  <c r="K19" i="39" s="1"/>
  <c r="K31" i="39" s="1"/>
  <c r="M20" i="39"/>
  <c r="M19" i="39" s="1"/>
  <c r="M31" i="39" s="1"/>
  <c r="M6" i="39"/>
  <c r="P6" i="39"/>
  <c r="L10" i="52"/>
  <c r="L12" i="52" s="1"/>
  <c r="L15" i="52" s="1"/>
  <c r="L18" i="52" s="1"/>
  <c r="L23" i="52" s="1"/>
  <c r="L26" i="52" s="1"/>
  <c r="P20" i="39"/>
  <c r="P19" i="39" s="1"/>
  <c r="R31" i="35"/>
  <c r="R30" i="35" s="1"/>
  <c r="R34" i="35" s="1"/>
  <c r="M10" i="52"/>
  <c r="Q20" i="39"/>
  <c r="Q19" i="39" s="1"/>
  <c r="Q6" i="39"/>
  <c r="N20" i="39"/>
  <c r="N19" i="39" s="1"/>
  <c r="N31" i="39" s="1"/>
  <c r="N6" i="39"/>
  <c r="J10" i="52"/>
  <c r="N15" i="52"/>
  <c r="L20" i="39"/>
  <c r="L19" i="39" s="1"/>
  <c r="L31" i="39" s="1"/>
  <c r="L6" i="39"/>
  <c r="O20" i="39"/>
  <c r="O19" i="39" s="1"/>
  <c r="O31" i="39" s="1"/>
  <c r="O6" i="39"/>
  <c r="K10" i="52"/>
  <c r="K12" i="52" s="1"/>
  <c r="K15" i="52" s="1"/>
  <c r="K18" i="52" s="1"/>
  <c r="K23" i="52" s="1"/>
  <c r="K26" i="52" s="1"/>
  <c r="N18" i="52" l="1"/>
  <c r="M12" i="52"/>
  <c r="S10" i="52"/>
  <c r="J12" i="52"/>
  <c r="U10" i="52"/>
  <c r="G12" i="48"/>
  <c r="P5" i="39"/>
  <c r="F12" i="48"/>
  <c r="L12" i="48" s="1"/>
  <c r="O5" i="39"/>
  <c r="O16" i="39" s="1"/>
  <c r="F7" i="48" s="1"/>
  <c r="E12" i="48"/>
  <c r="N5" i="39"/>
  <c r="N16" i="39" s="1"/>
  <c r="E7" i="48" s="1"/>
  <c r="C12" i="48"/>
  <c r="L5" i="39"/>
  <c r="L16" i="39" s="1"/>
  <c r="C7" i="48" s="1"/>
  <c r="R19" i="36"/>
  <c r="R6" i="36"/>
  <c r="D12" i="48"/>
  <c r="M5" i="39"/>
  <c r="M16" i="39" s="1"/>
  <c r="D7" i="48" s="1"/>
  <c r="R30" i="37"/>
  <c r="R9" i="37"/>
  <c r="R19" i="37"/>
  <c r="H12" i="48"/>
  <c r="Q5" i="39"/>
  <c r="R29" i="37" l="1"/>
  <c r="R34" i="37" s="1"/>
  <c r="R18" i="37"/>
  <c r="R23" i="37" s="1"/>
  <c r="R14" i="37"/>
  <c r="D15" i="52" s="1"/>
  <c r="J15" i="52"/>
  <c r="U12" i="52"/>
  <c r="M15" i="52"/>
  <c r="S12" i="52"/>
  <c r="R5" i="36"/>
  <c r="R18" i="36"/>
  <c r="N23" i="52"/>
  <c r="M18" i="52" l="1"/>
  <c r="S15" i="52"/>
  <c r="R17" i="36"/>
  <c r="R14" i="36"/>
  <c r="I34" i="48" s="1"/>
  <c r="K34" i="48" s="1"/>
  <c r="J18" i="52"/>
  <c r="U15" i="52"/>
  <c r="I37" i="48"/>
  <c r="K37" i="48" s="1"/>
  <c r="N26" i="52"/>
  <c r="J23" i="52" l="1"/>
  <c r="U18" i="52"/>
  <c r="M23" i="52"/>
  <c r="S18" i="52"/>
  <c r="M26" i="52" l="1"/>
  <c r="S26" i="52" s="1"/>
  <c r="S23" i="52"/>
  <c r="J26" i="52"/>
  <c r="U26" i="52" s="1"/>
  <c r="U23" i="52"/>
  <c r="H13" i="48" l="1"/>
  <c r="Q31" i="35"/>
  <c r="Q30" i="35" s="1"/>
  <c r="Q34" i="35" s="1"/>
  <c r="Q19" i="36" l="1"/>
  <c r="Q6" i="36"/>
  <c r="Q19" i="37"/>
  <c r="Q30" i="37"/>
  <c r="Q9" i="37"/>
  <c r="Q18" i="37" l="1"/>
  <c r="Q23" i="37" s="1"/>
  <c r="Q29" i="37"/>
  <c r="Q34" i="37" s="1"/>
  <c r="Q14" i="37"/>
  <c r="H37" i="48" s="1"/>
  <c r="I13" i="48"/>
  <c r="K13" i="48" s="1"/>
  <c r="D16" i="52"/>
  <c r="Q18" i="36"/>
  <c r="Q5" i="36"/>
  <c r="Q17" i="36" l="1"/>
  <c r="Q14" i="36"/>
  <c r="H34" i="48" s="1"/>
  <c r="D31" i="35" l="1"/>
  <c r="D30" i="35" s="1"/>
  <c r="D34" i="35" s="1"/>
  <c r="D30" i="37" l="1"/>
  <c r="D19" i="37"/>
  <c r="D9" i="37"/>
  <c r="D19" i="36"/>
  <c r="D6" i="36"/>
  <c r="D18" i="36" l="1"/>
  <c r="D5" i="36"/>
  <c r="D29" i="37"/>
  <c r="D34" i="37" s="1"/>
  <c r="D14" i="37"/>
  <c r="D18" i="37"/>
  <c r="D23" i="37" s="1"/>
  <c r="D17" i="36" l="1"/>
  <c r="D28" i="36" s="1"/>
  <c r="D14" i="36"/>
  <c r="F31" i="35" l="1"/>
  <c r="F30" i="35" s="1"/>
  <c r="F34" i="35" s="1"/>
  <c r="E31" i="35"/>
  <c r="E30" i="35" s="1"/>
  <c r="E34" i="35" s="1"/>
  <c r="J31" i="35"/>
  <c r="J30" i="35" s="1"/>
  <c r="J34" i="35" s="1"/>
  <c r="I31" i="35"/>
  <c r="I30" i="35" s="1"/>
  <c r="I34" i="35" s="1"/>
  <c r="K31" i="35"/>
  <c r="K30" i="35" s="1"/>
  <c r="K34" i="35" s="1"/>
  <c r="N31" i="35"/>
  <c r="N30" i="35" s="1"/>
  <c r="N34" i="35" s="1"/>
  <c r="L31" i="35"/>
  <c r="L30" i="35" s="1"/>
  <c r="L34" i="35" s="1"/>
  <c r="P31" i="35"/>
  <c r="P30" i="35" s="1"/>
  <c r="P34" i="35" s="1"/>
  <c r="M31" i="35"/>
  <c r="M30" i="35" s="1"/>
  <c r="M34" i="35" s="1"/>
  <c r="F30" i="37" l="1"/>
  <c r="F19" i="37"/>
  <c r="F9" i="37"/>
  <c r="F19" i="36"/>
  <c r="F6" i="36"/>
  <c r="E19" i="36"/>
  <c r="E6" i="36"/>
  <c r="E19" i="37"/>
  <c r="E30" i="37"/>
  <c r="E9" i="37"/>
  <c r="J6" i="36"/>
  <c r="J19" i="36"/>
  <c r="K19" i="37"/>
  <c r="K30" i="37"/>
  <c r="K9" i="37"/>
  <c r="J30" i="37"/>
  <c r="J19" i="37"/>
  <c r="J9" i="37"/>
  <c r="K6" i="36"/>
  <c r="K19" i="36"/>
  <c r="I19" i="36"/>
  <c r="I6" i="36"/>
  <c r="I19" i="37"/>
  <c r="I30" i="37"/>
  <c r="I9" i="37"/>
  <c r="P19" i="36"/>
  <c r="P6" i="36"/>
  <c r="M19" i="37"/>
  <c r="M30" i="37"/>
  <c r="M9" i="37"/>
  <c r="G13" i="48"/>
  <c r="M6" i="36"/>
  <c r="M19" i="36"/>
  <c r="L19" i="37"/>
  <c r="L30" i="37"/>
  <c r="L9" i="37"/>
  <c r="L6" i="36"/>
  <c r="L19" i="36"/>
  <c r="N19" i="37"/>
  <c r="N30" i="37"/>
  <c r="N9" i="37"/>
  <c r="P19" i="37"/>
  <c r="P30" i="37"/>
  <c r="P9" i="37"/>
  <c r="N19" i="36"/>
  <c r="N6" i="36"/>
  <c r="G14" i="48"/>
  <c r="F5" i="36" l="1"/>
  <c r="F18" i="36"/>
  <c r="F29" i="37"/>
  <c r="F34" i="37" s="1"/>
  <c r="F14" i="37"/>
  <c r="F18" i="37"/>
  <c r="F23" i="37" s="1"/>
  <c r="E29" i="37"/>
  <c r="E34" i="37" s="1"/>
  <c r="E14" i="37"/>
  <c r="E18" i="37"/>
  <c r="E23" i="37" s="1"/>
  <c r="E5" i="36"/>
  <c r="E18" i="36"/>
  <c r="I5" i="36"/>
  <c r="I18" i="36"/>
  <c r="J29" i="37"/>
  <c r="J34" i="37" s="1"/>
  <c r="J14" i="37"/>
  <c r="J18" i="37"/>
  <c r="J23" i="37" s="1"/>
  <c r="K29" i="37"/>
  <c r="K34" i="37" s="1"/>
  <c r="K14" i="37"/>
  <c r="K18" i="37"/>
  <c r="K23" i="37" s="1"/>
  <c r="I29" i="37"/>
  <c r="I34" i="37" s="1"/>
  <c r="I14" i="37"/>
  <c r="I18" i="37"/>
  <c r="I23" i="37" s="1"/>
  <c r="K18" i="36"/>
  <c r="K5" i="36"/>
  <c r="J18" i="36"/>
  <c r="J5" i="36"/>
  <c r="L5" i="36"/>
  <c r="L18" i="36"/>
  <c r="M29" i="37"/>
  <c r="M34" i="37" s="1"/>
  <c r="M14" i="37"/>
  <c r="D37" i="48" s="1"/>
  <c r="M18" i="37"/>
  <c r="M23" i="37" s="1"/>
  <c r="P18" i="37"/>
  <c r="P23" i="37" s="1"/>
  <c r="P29" i="37"/>
  <c r="P34" i="37" s="1"/>
  <c r="P14" i="37"/>
  <c r="G37" i="48" s="1"/>
  <c r="L29" i="37"/>
  <c r="L34" i="37" s="1"/>
  <c r="L14" i="37"/>
  <c r="C37" i="48" s="1"/>
  <c r="L18" i="37"/>
  <c r="L23" i="37" s="1"/>
  <c r="N29" i="37"/>
  <c r="N34" i="37" s="1"/>
  <c r="N14" i="37"/>
  <c r="E37" i="48" s="1"/>
  <c r="N18" i="37"/>
  <c r="N23" i="37" s="1"/>
  <c r="M18" i="36"/>
  <c r="M5" i="36"/>
  <c r="P5" i="36"/>
  <c r="P18" i="36"/>
  <c r="N18" i="36"/>
  <c r="N5" i="36"/>
  <c r="F17" i="36" l="1"/>
  <c r="F14" i="36"/>
  <c r="E17" i="36"/>
  <c r="E28" i="36" s="1"/>
  <c r="E14" i="36"/>
  <c r="K14" i="36"/>
  <c r="K17" i="36"/>
  <c r="K28" i="36" s="1"/>
  <c r="J14" i="36"/>
  <c r="J17" i="36"/>
  <c r="J28" i="36" s="1"/>
  <c r="I17" i="36"/>
  <c r="I28" i="36" s="1"/>
  <c r="I14" i="36"/>
  <c r="P17" i="36"/>
  <c r="P14" i="36"/>
  <c r="G34" i="48" s="1"/>
  <c r="M14" i="36"/>
  <c r="D34" i="48" s="1"/>
  <c r="M17" i="36"/>
  <c r="N17" i="36"/>
  <c r="N14" i="36"/>
  <c r="E34" i="48" s="1"/>
  <c r="L14" i="36"/>
  <c r="C34" i="48" s="1"/>
  <c r="L17" i="36"/>
  <c r="H20" i="39" l="1"/>
  <c r="H19" i="39" s="1"/>
  <c r="H31" i="39" s="1"/>
  <c r="H6" i="39"/>
  <c r="H5" i="39" s="1"/>
  <c r="H16" i="39" s="1"/>
  <c r="C13" i="48"/>
  <c r="H31" i="35" l="1"/>
  <c r="H30" i="35" s="1"/>
  <c r="H34" i="35" s="1"/>
  <c r="O31" i="35"/>
  <c r="O30" i="35" s="1"/>
  <c r="O34" i="35" s="1"/>
  <c r="C14" i="48"/>
  <c r="E13" i="48"/>
  <c r="D13" i="48"/>
  <c r="H19" i="36" l="1"/>
  <c r="H6" i="36"/>
  <c r="H19" i="37"/>
  <c r="H30" i="37"/>
  <c r="H9" i="37"/>
  <c r="O30" i="37"/>
  <c r="O19" i="37"/>
  <c r="O9" i="37"/>
  <c r="O19" i="36"/>
  <c r="O6" i="36"/>
  <c r="F14" i="48"/>
  <c r="L14" i="48" s="1"/>
  <c r="F13" i="48"/>
  <c r="L13" i="48" s="1"/>
  <c r="D14" i="48"/>
  <c r="E14" i="48"/>
  <c r="C15" i="48"/>
  <c r="H5" i="36" l="1"/>
  <c r="H18" i="36"/>
  <c r="H29" i="37"/>
  <c r="H34" i="37" s="1"/>
  <c r="H14" i="37"/>
  <c r="H18" i="37"/>
  <c r="H23" i="37" s="1"/>
  <c r="O5" i="36"/>
  <c r="O18" i="36"/>
  <c r="O29" i="37"/>
  <c r="O34" i="37" s="1"/>
  <c r="O14" i="37"/>
  <c r="F37" i="48" s="1"/>
  <c r="L37" i="48" s="1"/>
  <c r="O18" i="37"/>
  <c r="O23" i="37" s="1"/>
  <c r="H17" i="36" l="1"/>
  <c r="H28" i="36" s="1"/>
  <c r="H14" i="36"/>
  <c r="O17" i="36"/>
  <c r="O14" i="36"/>
  <c r="F34" i="48" s="1"/>
  <c r="L34" i="48" s="1"/>
  <c r="E15" i="48" l="1"/>
  <c r="D15" i="48"/>
  <c r="F15" i="48"/>
  <c r="L15" i="48" s="1"/>
  <c r="R14" i="28" l="1"/>
  <c r="J13" i="51" l="1"/>
  <c r="J18" i="51" s="1"/>
  <c r="J5" i="51"/>
  <c r="I13" i="51"/>
  <c r="I18" i="51" s="1"/>
  <c r="I5" i="51"/>
  <c r="O13" i="51"/>
  <c r="O18" i="51" s="1"/>
  <c r="O5" i="51"/>
  <c r="G5" i="51"/>
  <c r="G13" i="51"/>
  <c r="G18" i="51" s="1"/>
  <c r="N13" i="51"/>
  <c r="N18" i="51" s="1"/>
  <c r="N5" i="51"/>
  <c r="F13" i="51"/>
  <c r="F18" i="51" s="1"/>
  <c r="F5" i="51"/>
  <c r="R13" i="51"/>
  <c r="R18" i="51" s="1"/>
  <c r="R5" i="51"/>
  <c r="P13" i="51"/>
  <c r="P18" i="51" s="1"/>
  <c r="P5" i="51"/>
  <c r="M13" i="51"/>
  <c r="M18" i="51" s="1"/>
  <c r="M5" i="51"/>
  <c r="E13" i="51"/>
  <c r="E18" i="51" s="1"/>
  <c r="E5" i="51"/>
  <c r="L13" i="51"/>
  <c r="L18" i="51" s="1"/>
  <c r="L5" i="51"/>
  <c r="D13" i="51"/>
  <c r="D18" i="51" s="1"/>
  <c r="D5" i="51"/>
  <c r="Q13" i="51"/>
  <c r="Q18" i="51" s="1"/>
  <c r="Q5" i="51"/>
  <c r="H13" i="51"/>
  <c r="H18" i="51" s="1"/>
  <c r="H5" i="51"/>
  <c r="S13" i="51"/>
  <c r="S18" i="51" s="1"/>
  <c r="S5" i="51"/>
  <c r="K13" i="51"/>
  <c r="K18" i="51" s="1"/>
  <c r="K5" i="51"/>
  <c r="C13" i="51"/>
  <c r="C18" i="51" s="1"/>
  <c r="C5" i="51"/>
  <c r="G29" i="39" l="1"/>
  <c r="G28" i="39" s="1"/>
  <c r="G31" i="39" s="1"/>
  <c r="G14" i="39"/>
  <c r="G13" i="39" s="1"/>
  <c r="G16" i="39" s="1"/>
  <c r="G12" i="38"/>
  <c r="G11" i="38" s="1"/>
  <c r="S6" i="38" l="1"/>
  <c r="S5" i="38" s="1"/>
  <c r="S25" i="41" l="1"/>
  <c r="J36" i="48" s="1"/>
  <c r="S44" i="41"/>
  <c r="R25" i="41" l="1"/>
  <c r="I36" i="48" s="1"/>
  <c r="K36" i="48" s="1"/>
  <c r="R44" i="41"/>
  <c r="I38" i="48" l="1"/>
  <c r="Q25" i="41" l="1"/>
  <c r="H36" i="48" s="1"/>
  <c r="Q44" i="41"/>
  <c r="M25" i="41" l="1"/>
  <c r="D36" i="48" s="1"/>
  <c r="M44" i="41"/>
  <c r="S15" i="39" l="1"/>
  <c r="S13" i="39"/>
  <c r="S16" i="39" s="1"/>
  <c r="J7" i="48" s="1"/>
  <c r="L7" i="48" s="1"/>
  <c r="S28" i="39"/>
  <c r="S31" i="39" s="1"/>
  <c r="S30" i="39"/>
  <c r="S13" i="38"/>
  <c r="S11" i="38"/>
  <c r="S14" i="38" s="1"/>
  <c r="J8" i="48" s="1"/>
  <c r="R30" i="39" l="1"/>
  <c r="R28" i="39"/>
  <c r="R31" i="39" s="1"/>
  <c r="R13" i="39"/>
  <c r="R16" i="39" s="1"/>
  <c r="I7" i="48" s="1"/>
  <c r="K7" i="48" s="1"/>
  <c r="R15" i="39"/>
  <c r="R13" i="38"/>
  <c r="R11" i="38"/>
  <c r="H6" i="38" l="1"/>
  <c r="H5" i="38" s="1"/>
  <c r="H14" i="38" s="1"/>
  <c r="I6" i="38"/>
  <c r="I5" i="38" s="1"/>
  <c r="I14" i="38" s="1"/>
  <c r="J6" i="38"/>
  <c r="J5" i="38" s="1"/>
  <c r="J14" i="38" s="1"/>
  <c r="K6" i="38"/>
  <c r="K5" i="38" s="1"/>
  <c r="K14" i="38" s="1"/>
  <c r="M6" i="38"/>
  <c r="M5" i="38" s="1"/>
  <c r="M14" i="38" s="1"/>
  <c r="D8" i="48" s="1"/>
  <c r="J38" i="48"/>
  <c r="K38" i="48" s="1"/>
  <c r="J44" i="41" l="1"/>
  <c r="J25" i="41"/>
  <c r="O44" i="41"/>
  <c r="O25" i="41"/>
  <c r="F36" i="48" s="1"/>
  <c r="L36" i="48" s="1"/>
  <c r="I25" i="41"/>
  <c r="I44" i="41"/>
  <c r="O6" i="38"/>
  <c r="O5" i="38" s="1"/>
  <c r="O14" i="38" s="1"/>
  <c r="F8" i="48" s="1"/>
  <c r="L8" i="48" s="1"/>
  <c r="N6" i="38"/>
  <c r="N5" i="38" s="1"/>
  <c r="N14" i="38" s="1"/>
  <c r="E8" i="48" s="1"/>
  <c r="K25" i="41"/>
  <c r="K44" i="41"/>
  <c r="L6" i="38"/>
  <c r="L5" i="38" s="1"/>
  <c r="L14" i="38" s="1"/>
  <c r="C8" i="48" s="1"/>
  <c r="P44" i="41"/>
  <c r="P25" i="41"/>
  <c r="G36" i="48" s="1"/>
  <c r="N25" i="41"/>
  <c r="E36" i="48" s="1"/>
  <c r="N44" i="41"/>
  <c r="H25" i="41"/>
  <c r="H44" i="41"/>
  <c r="L44" i="41"/>
  <c r="L25" i="41"/>
  <c r="C36" i="48" s="1"/>
  <c r="G38" i="48"/>
  <c r="H38" i="48"/>
  <c r="F6" i="38"/>
  <c r="F5" i="38" s="1"/>
  <c r="F14" i="38" s="1"/>
  <c r="C6" i="38"/>
  <c r="C5" i="38" s="1"/>
  <c r="C14" i="38" s="1"/>
  <c r="E6" i="38"/>
  <c r="E5" i="38" s="1"/>
  <c r="E14" i="38" s="1"/>
  <c r="D6" i="38" l="1"/>
  <c r="D5" i="38" s="1"/>
  <c r="D14" i="38" s="1"/>
  <c r="P28" i="39" l="1"/>
  <c r="P31" i="39" s="1"/>
  <c r="Q30" i="39"/>
  <c r="Q28" i="39"/>
  <c r="Q31" i="39" s="1"/>
  <c r="P13" i="39"/>
  <c r="P16" i="39" s="1"/>
  <c r="G7" i="48" s="1"/>
  <c r="Q15" i="39"/>
  <c r="Q13" i="39"/>
  <c r="Q16" i="39" s="1"/>
  <c r="H7" i="48" s="1"/>
  <c r="Q11" i="38"/>
  <c r="P11" i="38"/>
  <c r="Q13" i="38"/>
  <c r="P6" i="38"/>
  <c r="P5" i="38" s="1"/>
  <c r="P14" i="38" l="1"/>
  <c r="G8" i="48" s="1"/>
  <c r="C38" i="48" l="1"/>
  <c r="E38" i="48" l="1"/>
  <c r="D38" i="48"/>
  <c r="F38" i="48" l="1"/>
  <c r="L38" i="48" s="1"/>
  <c r="R6" i="38" l="1"/>
  <c r="R5" i="38" s="1"/>
  <c r="R14" i="38" s="1"/>
  <c r="I8" i="48" s="1"/>
  <c r="K8" i="48" s="1"/>
  <c r="Q6" i="38"/>
  <c r="Q5" i="38" s="1"/>
  <c r="Q14" i="38" s="1"/>
  <c r="H8" i="48" s="1"/>
  <c r="G10" i="38" l="1"/>
  <c r="G6" i="38" s="1"/>
  <c r="G5" i="38" s="1"/>
  <c r="G14" i="38" s="1"/>
  <c r="N77" i="19" l="1"/>
  <c r="N12" i="19"/>
  <c r="L77" i="19"/>
  <c r="L12" i="19"/>
  <c r="J77" i="19"/>
  <c r="J12" i="19"/>
  <c r="F77" i="19"/>
  <c r="F12" i="19"/>
  <c r="P77" i="19"/>
  <c r="P69" i="19" s="1"/>
  <c r="P12" i="19"/>
  <c r="I77" i="19"/>
  <c r="I12" i="19"/>
  <c r="E77" i="19"/>
  <c r="E12" i="19"/>
  <c r="H77" i="19"/>
  <c r="H12" i="19"/>
  <c r="M77" i="19"/>
  <c r="M12" i="19"/>
  <c r="K77" i="19"/>
  <c r="K12" i="19"/>
  <c r="O77" i="19"/>
  <c r="O12" i="19"/>
  <c r="G77" i="19"/>
  <c r="G12" i="19"/>
  <c r="K102" i="19" l="1"/>
  <c r="E18" i="48"/>
  <c r="I102" i="19"/>
  <c r="C18" i="48"/>
  <c r="L102" i="19"/>
  <c r="F18" i="48"/>
  <c r="H69" i="19"/>
  <c r="I98" i="19"/>
  <c r="F98" i="19"/>
  <c r="E98" i="19"/>
  <c r="E69" i="19"/>
  <c r="L98" i="19"/>
  <c r="K69" i="19"/>
  <c r="L93" i="19" s="1"/>
  <c r="J98" i="19"/>
  <c r="I69" i="19"/>
  <c r="J93" i="19" s="1"/>
  <c r="M98" i="19"/>
  <c r="L69" i="19"/>
  <c r="H98" i="19"/>
  <c r="G69" i="19"/>
  <c r="I18" i="48"/>
  <c r="O102" i="19"/>
  <c r="J102" i="19"/>
  <c r="D18" i="48"/>
  <c r="K98" i="19"/>
  <c r="J69" i="19"/>
  <c r="G18" i="48"/>
  <c r="M102" i="19"/>
  <c r="J18" i="48"/>
  <c r="P102" i="19"/>
  <c r="H18" i="48"/>
  <c r="N102" i="19"/>
  <c r="G98" i="19"/>
  <c r="F69" i="19"/>
  <c r="P98" i="19"/>
  <c r="O69" i="19"/>
  <c r="P93" i="19" s="1"/>
  <c r="N98" i="19"/>
  <c r="M69" i="19"/>
  <c r="O98" i="19"/>
  <c r="N69" i="19"/>
  <c r="O93" i="19" s="1"/>
  <c r="L18" i="48" l="1"/>
  <c r="K18" i="48"/>
  <c r="I93" i="19"/>
  <c r="N93" i="19"/>
  <c r="H93" i="19"/>
  <c r="F93" i="19"/>
  <c r="E93" i="19"/>
  <c r="J30" i="48"/>
  <c r="G93" i="19"/>
  <c r="K93" i="19"/>
  <c r="M93" i="19"/>
  <c r="G8" i="51" l="1"/>
  <c r="O35" i="52"/>
  <c r="P52" i="36" l="1"/>
  <c r="P49" i="36" s="1"/>
  <c r="P24" i="36"/>
  <c r="P21" i="36" s="1"/>
  <c r="L34" i="52" l="1"/>
  <c r="L36" i="52" s="1"/>
  <c r="R52" i="36" l="1"/>
  <c r="R49" i="36" s="1"/>
  <c r="R24" i="36"/>
  <c r="R21" i="36" s="1"/>
  <c r="S52" i="36"/>
  <c r="S49" i="36" s="1"/>
  <c r="S24" i="36"/>
  <c r="S21" i="36" s="1"/>
  <c r="S48" i="36" l="1"/>
  <c r="S56" i="36" s="1"/>
  <c r="G52" i="36"/>
  <c r="G49" i="36" s="1"/>
  <c r="G24" i="36"/>
  <c r="G21" i="36" s="1"/>
  <c r="N34" i="52"/>
  <c r="S20" i="36"/>
  <c r="S28" i="36" s="1"/>
  <c r="O34" i="52"/>
  <c r="E12" i="52" l="1"/>
  <c r="D12" i="52" s="1"/>
  <c r="J35" i="48"/>
  <c r="E18" i="52"/>
  <c r="D18" i="52" s="1"/>
  <c r="P34" i="52" s="1"/>
  <c r="P35" i="52" s="1"/>
  <c r="O36" i="52"/>
  <c r="P36" i="52" s="1"/>
  <c r="N36" i="52"/>
  <c r="P40" i="52" l="1"/>
  <c r="P37" i="52"/>
  <c r="P22" i="52"/>
  <c r="P12" i="52"/>
  <c r="P15" i="52" l="1"/>
  <c r="R12" i="52"/>
  <c r="T12" i="52"/>
  <c r="T40" i="52"/>
  <c r="R40" i="52"/>
  <c r="P11" i="52"/>
  <c r="T22" i="52"/>
  <c r="R22" i="52"/>
  <c r="R37" i="52"/>
  <c r="P43" i="52"/>
  <c r="T37" i="52"/>
  <c r="R11" i="52" l="1"/>
  <c r="T11" i="52"/>
  <c r="R43" i="52"/>
  <c r="T43" i="52"/>
  <c r="P10" i="52"/>
  <c r="P21" i="52"/>
  <c r="D27" i="52"/>
  <c r="T15" i="52"/>
  <c r="R15" i="52"/>
  <c r="R21" i="52" l="1"/>
  <c r="T21" i="52"/>
  <c r="P20" i="52"/>
  <c r="R10" i="52"/>
  <c r="T10" i="52"/>
  <c r="T20" i="52" l="1"/>
  <c r="R20" i="52"/>
  <c r="I31" i="48"/>
  <c r="K31" i="48" s="1"/>
  <c r="I30" i="48" l="1"/>
  <c r="K30" i="48" s="1"/>
  <c r="I29" i="48"/>
  <c r="S9" i="51" l="1"/>
  <c r="S7" i="51" s="1"/>
  <c r="S10" i="51" s="1"/>
  <c r="E14" i="52" s="1"/>
  <c r="D14" i="52" s="1"/>
  <c r="N35" i="52"/>
  <c r="P17" i="52" l="1"/>
  <c r="R17" i="52" l="1"/>
  <c r="T17" i="52"/>
  <c r="P18" i="52"/>
  <c r="R18" i="52" l="1"/>
  <c r="T18" i="52"/>
  <c r="P23" i="52"/>
  <c r="T23" i="52" l="1"/>
  <c r="R23" i="52"/>
  <c r="P25" i="52"/>
  <c r="P26" i="52" l="1"/>
  <c r="R25" i="52"/>
  <c r="T25" i="52"/>
  <c r="D26" i="52" l="1"/>
  <c r="P42" i="52"/>
  <c r="T26" i="52"/>
  <c r="R26" i="52"/>
  <c r="D25" i="52"/>
  <c r="R42" i="52" l="1"/>
  <c r="T42" i="52"/>
  <c r="P41" i="52"/>
  <c r="T41" i="52" l="1"/>
  <c r="R41" i="52"/>
  <c r="Q52" i="36" l="1"/>
  <c r="Q49" i="36" s="1"/>
  <c r="Q24" i="36"/>
  <c r="Q21" i="36" s="1"/>
  <c r="Q20" i="36" l="1"/>
  <c r="Q28" i="36" s="1"/>
  <c r="H35" i="48" s="1"/>
  <c r="M34" i="52"/>
  <c r="R20" i="36"/>
  <c r="R28" i="36" s="1"/>
  <c r="I35" i="48" s="1"/>
  <c r="K35" i="48" s="1"/>
  <c r="Q48" i="36"/>
  <c r="Q56" i="36" s="1"/>
  <c r="R48" i="36"/>
  <c r="R56" i="36" s="1"/>
  <c r="M36" i="52" l="1"/>
  <c r="S34" i="52"/>
  <c r="R34" i="52"/>
  <c r="S36" i="52" l="1"/>
  <c r="R36" i="52"/>
  <c r="H29" i="48" l="1"/>
  <c r="H30" i="48"/>
  <c r="R9" i="51" l="1"/>
  <c r="R7" i="51" s="1"/>
  <c r="M35" i="52"/>
  <c r="O52" i="36" l="1"/>
  <c r="O49" i="36" s="1"/>
  <c r="O24" i="36"/>
  <c r="O21" i="36" s="1"/>
  <c r="L52" i="36"/>
  <c r="L49" i="36" s="1"/>
  <c r="L48" i="36" s="1"/>
  <c r="L56" i="36" s="1"/>
  <c r="L24" i="36"/>
  <c r="L21" i="36" s="1"/>
  <c r="L20" i="36" s="1"/>
  <c r="L28" i="36" s="1"/>
  <c r="C35" i="48" s="1"/>
  <c r="M52" i="36"/>
  <c r="M49" i="36" s="1"/>
  <c r="M48" i="36" s="1"/>
  <c r="M56" i="36" s="1"/>
  <c r="M24" i="36"/>
  <c r="M21" i="36" s="1"/>
  <c r="J29" i="48"/>
  <c r="N52" i="36"/>
  <c r="N49" i="36" s="1"/>
  <c r="N24" i="36"/>
  <c r="N21" i="36" s="1"/>
  <c r="D31" i="48"/>
  <c r="E31" i="48"/>
  <c r="G31" i="48"/>
  <c r="H31" i="48"/>
  <c r="C31" i="48"/>
  <c r="F30" i="48"/>
  <c r="L30" i="48" s="1"/>
  <c r="G29" i="48"/>
  <c r="E29" i="48"/>
  <c r="E30" i="48"/>
  <c r="F29" i="48"/>
  <c r="G30" i="48"/>
  <c r="D9" i="51" l="1"/>
  <c r="C9" i="51"/>
  <c r="C7" i="51" s="1"/>
  <c r="C10" i="51" s="1"/>
  <c r="C14" i="28" s="1"/>
  <c r="K35" i="52"/>
  <c r="P9" i="51"/>
  <c r="P7" i="51" s="1"/>
  <c r="P10" i="51" s="1"/>
  <c r="P14" i="28" s="1"/>
  <c r="F52" i="36"/>
  <c r="F49" i="36" s="1"/>
  <c r="F24" i="36"/>
  <c r="F21" i="36" s="1"/>
  <c r="K29" i="48"/>
  <c r="L29" i="48"/>
  <c r="M20" i="36"/>
  <c r="M28" i="36" s="1"/>
  <c r="D35" i="48" s="1"/>
  <c r="L35" i="52"/>
  <c r="Q9" i="51"/>
  <c r="Q7" i="51" s="1"/>
  <c r="Q10" i="51" s="1"/>
  <c r="Q14" i="28" s="1"/>
  <c r="N20" i="36"/>
  <c r="N28" i="36" s="1"/>
  <c r="E35" i="48" s="1"/>
  <c r="J34" i="52"/>
  <c r="K34" i="52"/>
  <c r="K36" i="52" s="1"/>
  <c r="O20" i="36"/>
  <c r="O28" i="36" s="1"/>
  <c r="F35" i="48" s="1"/>
  <c r="L35" i="48" s="1"/>
  <c r="P20" i="36"/>
  <c r="P28" i="36" s="1"/>
  <c r="G35" i="48" s="1"/>
  <c r="O9" i="51"/>
  <c r="O7" i="51" s="1"/>
  <c r="O10" i="51" s="1"/>
  <c r="O14" i="28" s="1"/>
  <c r="J35" i="52"/>
  <c r="N48" i="36"/>
  <c r="N56" i="36" s="1"/>
  <c r="O48" i="36"/>
  <c r="O56" i="36" s="1"/>
  <c r="P48" i="36"/>
  <c r="P56" i="36" s="1"/>
  <c r="C29" i="48"/>
  <c r="F31" i="48"/>
  <c r="L31" i="48" s="1"/>
  <c r="M9" i="51"/>
  <c r="C30" i="48"/>
  <c r="G9" i="51"/>
  <c r="G7" i="51" s="1"/>
  <c r="G10" i="51" s="1"/>
  <c r="K9" i="51"/>
  <c r="D29" i="48"/>
  <c r="D30" i="48"/>
  <c r="I9" i="51"/>
  <c r="H9" i="51" l="1"/>
  <c r="H7" i="51" s="1"/>
  <c r="H10" i="51" s="1"/>
  <c r="E9" i="51"/>
  <c r="D7" i="51"/>
  <c r="D10" i="51" s="1"/>
  <c r="D14" i="28" s="1"/>
  <c r="J9" i="51"/>
  <c r="J7" i="51" s="1"/>
  <c r="J10" i="51" s="1"/>
  <c r="J14" i="28" s="1"/>
  <c r="I7" i="51"/>
  <c r="I10" i="51" s="1"/>
  <c r="I14" i="28" s="1"/>
  <c r="F20" i="36"/>
  <c r="F28" i="36" s="1"/>
  <c r="G20" i="36"/>
  <c r="G28" i="36" s="1"/>
  <c r="J36" i="52"/>
  <c r="U34" i="52"/>
  <c r="T34" i="52"/>
  <c r="G48" i="36"/>
  <c r="G56" i="36" s="1"/>
  <c r="F48" i="36"/>
  <c r="F56" i="36" s="1"/>
  <c r="M7" i="51"/>
  <c r="M10" i="51" s="1"/>
  <c r="M14" i="28" s="1"/>
  <c r="N9" i="51"/>
  <c r="N7" i="51" s="1"/>
  <c r="N10" i="51" s="1"/>
  <c r="N14" i="28" s="1"/>
  <c r="L9" i="51"/>
  <c r="L7" i="51" s="1"/>
  <c r="L10" i="51" s="1"/>
  <c r="L14" i="28" s="1"/>
  <c r="K7" i="51"/>
  <c r="K10" i="51" s="1"/>
  <c r="K14" i="28" s="1"/>
  <c r="U36" i="52" l="1"/>
  <c r="T36" i="52"/>
  <c r="H14" i="28"/>
  <c r="G14" i="28"/>
  <c r="F9" i="51" l="1"/>
  <c r="F7" i="51" s="1"/>
  <c r="F10" i="51" s="1"/>
  <c r="F14" i="28" s="1"/>
  <c r="E7" i="51"/>
  <c r="E10" i="51" s="1"/>
  <c r="E14" i="28" s="1"/>
</calcChain>
</file>

<file path=xl/sharedStrings.xml><?xml version="1.0" encoding="utf-8"?>
<sst xmlns="http://schemas.openxmlformats.org/spreadsheetml/2006/main" count="1273" uniqueCount="834">
  <si>
    <t>N#</t>
  </si>
  <si>
    <t>Language</t>
  </si>
  <si>
    <t>Quarters</t>
  </si>
  <si>
    <t>Trimestres</t>
  </si>
  <si>
    <t>Quarters 1</t>
  </si>
  <si>
    <t>Trimestres 1</t>
  </si>
  <si>
    <t>x</t>
  </si>
  <si>
    <t>y</t>
  </si>
  <si>
    <t>Menu - EN</t>
  </si>
  <si>
    <t>Menu - PT</t>
  </si>
  <si>
    <t>Balance Sheet (IFRS, R$ Thousands)</t>
  </si>
  <si>
    <t>Balanço Patrimonial (IFRS, R$ Mil)</t>
  </si>
  <si>
    <t>Income Statement (IFRS, R$ Thousands)</t>
  </si>
  <si>
    <t>Demonstração de Resultado (IFRS, R$ Mil)</t>
  </si>
  <si>
    <t>Credit (IFRS, R$ Thousands)</t>
  </si>
  <si>
    <t>Carteira de Crédito (IFRS, R$ Mil)</t>
  </si>
  <si>
    <t>Funding (IFRS, R$ Thousands)</t>
  </si>
  <si>
    <t>Funding (IFRS, R$ Mil)</t>
  </si>
  <si>
    <t>Fee Revenues (IFRS, R$ Thousands)</t>
  </si>
  <si>
    <t>Receitas de serviços e comissões (IFRS, R$ Mil)</t>
  </si>
  <si>
    <t>Financials KPIs</t>
  </si>
  <si>
    <t>KPIs Financeiros</t>
  </si>
  <si>
    <t>Tier I Ratio (BACEN GAAP, R$ Thousands)</t>
  </si>
  <si>
    <t>Índice de Basiléia (BACEN GAAP, R$ Mil)</t>
  </si>
  <si>
    <t>NIMs (R$ Thousands)</t>
  </si>
  <si>
    <t>NIMs (R$ Mil)</t>
  </si>
  <si>
    <t>Cost of Risk (R$ Thousands)</t>
  </si>
  <si>
    <t>Cost of Risk (R$ Mil)</t>
  </si>
  <si>
    <t>Asset Quality</t>
  </si>
  <si>
    <t>Monthly Cost-to-serve (R$ Thousands)</t>
  </si>
  <si>
    <t>Custo de Servir Mensal (R$ Mil)</t>
  </si>
  <si>
    <t>Monthly ARPAC (R$ Thousands)</t>
  </si>
  <si>
    <t>ARPAC Mensal (R$ Mil)</t>
  </si>
  <si>
    <t>Inter Seguros (Managerial, Million)</t>
  </si>
  <si>
    <t>Inter Seguros (Gerencial, Milhão)</t>
  </si>
  <si>
    <t>Inter Shop (Managerial, Million)</t>
  </si>
  <si>
    <t>Inter Shop (Gerencial, Milhões)</t>
  </si>
  <si>
    <t>Digital Account (Managerial, Million)</t>
  </si>
  <si>
    <t>Conta Digital (Gerencial, Milhões)</t>
  </si>
  <si>
    <t>Operational KPIs</t>
  </si>
  <si>
    <t>KPIs Operacionais</t>
  </si>
  <si>
    <t>Back to summary</t>
  </si>
  <si>
    <t>Voltar ao sumário</t>
  </si>
  <si>
    <t>Note 1: New methodology for NIMs since 1Q23. Considering derivatives.</t>
  </si>
  <si>
    <t>Nota 1: Nova metodologia para NIMs desde o 1T23. Considerando derivativos.</t>
  </si>
  <si>
    <t> Efficiency Ratio (R$ Thousands)</t>
  </si>
  <si>
    <t>Índice de Eficiência (R$ Mil)</t>
  </si>
  <si>
    <t>Inter Invest (Managerial, R$ Million)</t>
  </si>
  <si>
    <t>Inter Invest (Gerencial, R$ Milhão)</t>
  </si>
  <si>
    <t>4Q23 Historical Data</t>
  </si>
  <si>
    <t>Séries Históricas 4T23</t>
  </si>
  <si>
    <t>Highlights of the Quarter | 4Q23</t>
  </si>
  <si>
    <t>Destaques do Trimestre | 4T23</t>
  </si>
  <si>
    <t>Managerial KPIs Effects in 4Q23 Financial Statements</t>
  </si>
  <si>
    <t>Efeitos Gerenciais dos KPIs nas Demonstrações Financeiras do 4T23</t>
  </si>
  <si>
    <t>Português</t>
  </si>
  <si>
    <t>4Q19</t>
  </si>
  <si>
    <t>4T19</t>
  </si>
  <si>
    <t>Operational Data</t>
  </si>
  <si>
    <t>Dados Operacionais</t>
  </si>
  <si>
    <t>Balance Sheet</t>
  </si>
  <si>
    <t>Balanço Patrimonial</t>
  </si>
  <si>
    <t>Assets</t>
  </si>
  <si>
    <t>Ativos</t>
  </si>
  <si>
    <t>Interest income</t>
  </si>
  <si>
    <t>Receita de juros</t>
  </si>
  <si>
    <t>Loan portfolio</t>
  </si>
  <si>
    <t>Carteira de crédito</t>
  </si>
  <si>
    <t>Funding - including other interest bearing liabilities</t>
  </si>
  <si>
    <t>Funding - incluindo outros passivos que geram despesas de juros</t>
  </si>
  <si>
    <t>KPIs financeiros</t>
  </si>
  <si>
    <t>Cost of risk  (Excl. Antic. of CC Receivables)</t>
  </si>
  <si>
    <t>Cost of risk  (Excl. Antec. de Recebíveis CC)</t>
  </si>
  <si>
    <t>Cost of risk (%)</t>
  </si>
  <si>
    <t>Inter seguros</t>
  </si>
  <si>
    <t>Inter shop</t>
  </si>
  <si>
    <t>Digital account</t>
  </si>
  <si>
    <t>Conta digital</t>
  </si>
  <si>
    <t>KPIs operacionais</t>
  </si>
  <si>
    <t>Note 1: New methodology for Efficiency Ratio since 1Q23. Considering D&amp;A as expanses and excluding tax expenses from revenues.</t>
  </si>
  <si>
    <t>Note 1: Nova metodologia para Índice de Eficiência desde o 1T23. Considerando D&amp;A em despesas e excluindo despesas tributárias na receita.</t>
  </si>
  <si>
    <t>Variation %</t>
  </si>
  <si>
    <t>Variação %</t>
  </si>
  <si>
    <t>Instructions for Use:
1. Read the disclaimer bellow before using this sheet.
2. The simulation is pre-set with 3Q23 Key Performance Indicators (KPIs) in column D. You can modify the simulation by entering your desired KPI values in the green cells in Column D.
3. Once you input the new KPI values, the corresponding results will be updated in column O of the Income Statement, Balance Sheet, or both, depending on the specific KPI. The values that may alter are marked in orange.
4. Additionally, the KPI Output in column D will change dynamically based on your input, allowing you to observe the effects of different KPI values.</t>
  </si>
  <si>
    <t>Instruções de Uso:
1. Leia o disclaimer abaixo antes de utilizar esta planilha.
2. A simulação está pré-configurada com Indicadores-Chave de Desempenho (KPIs) do 3º trimestre de 2023 na coluna D. Você pode modificar a simulação inserindo os valores desejados para os KPIs nas células em verde na coluna D.
3. Uma vez que você inserir os novos valores dos KPIs, os resultados correspondentes serão automaticamente atualizados na coluna O da Demonstração de Resultados, Balanço Patrimonial ou em ambos, dependendo da KPI. Os valores que podem ser alterados estão marcados em laranja.
4. Além disso, o resultado dos KPIs na coluna D mudará dinamicamente de acordo com a sua entrada, permitindo que você observe os efeitos de diferentes valores de KPI.
Aviso Legal: Esta simulação é fornecida apenas para fins ilustrativos e não representa dados financeiros reais. As informações apresentadas são baseadas em cenários hipotéticos e suposições. Ela é destinada apenas como uma ferramenta de aprendizado e não oferece qualquer tipo de conselho de investimento, recomendações ou orientações.
Recomenda-se que os usuários tenham cautela ao interpretar os resultados e que consultem profissionais financeiros qualificados ou se refiram às regras e diretrizes oficiais fornecidas pelas autoridades reguladoras relevantes antes de tomar quaisquer decisões financeiras no mundo real.</t>
  </si>
  <si>
    <t>English</t>
  </si>
  <si>
    <t>4Q20</t>
  </si>
  <si>
    <t>4T20</t>
  </si>
  <si>
    <t>Others</t>
  </si>
  <si>
    <t>Outros</t>
  </si>
  <si>
    <t>Income Statement</t>
  </si>
  <si>
    <t>DRE</t>
  </si>
  <si>
    <t>Cash and cash equivalents</t>
  </si>
  <si>
    <t>Caixa e equivalentes de caixa</t>
  </si>
  <si>
    <t>Interest expenses</t>
  </si>
  <si>
    <t>Despesas de juros</t>
  </si>
  <si>
    <t>Gross loans and advances to customers</t>
  </si>
  <si>
    <t>Empréstimos e adiantamentos a clientes</t>
  </si>
  <si>
    <t>Liabilities with customers</t>
  </si>
  <si>
    <t>Passivos com clientes</t>
  </si>
  <si>
    <t xml:space="preserve">Revenues from services and commissions </t>
  </si>
  <si>
    <t>Receitas de serviços e comissões</t>
  </si>
  <si>
    <t>Tier I Ratio</t>
  </si>
  <si>
    <t>Tier I ratio (%)</t>
  </si>
  <si>
    <t>Índice de basileia (%)</t>
  </si>
  <si>
    <t>Tier 1 ratio</t>
  </si>
  <si>
    <t>Índice de basiléia</t>
  </si>
  <si>
    <t>NIM 1.0 - IEP + non-interest credit card receivables</t>
  </si>
  <si>
    <t>NIM 1.0 - carteira remunerada + recebíveis CC que não geram juros</t>
  </si>
  <si>
    <t>Anuallized impairment losses on financial assets</t>
  </si>
  <si>
    <t>Resultado de perdas esperadas anualizado</t>
  </si>
  <si>
    <t>NPL &gt; 90 days (including anticipation of credit card receivables, %)</t>
  </si>
  <si>
    <t>NPL &gt; 90 dias (incluindo antecipação de recebíveis de cartão de crédito, %)</t>
  </si>
  <si>
    <t>Cost-to-serve</t>
  </si>
  <si>
    <t>Custo de servir</t>
  </si>
  <si>
    <t>ARPAC (gross of cost of funding)</t>
  </si>
  <si>
    <t>ARPAC (bruto de custo de funding)</t>
  </si>
  <si>
    <t>Active contracts</t>
  </si>
  <si>
    <t>Contratos ativos</t>
  </si>
  <si>
    <t>Gross merchandise volume</t>
  </si>
  <si>
    <t>Volume transacionado</t>
  </si>
  <si>
    <t>Number of cards used (in thousands)</t>
  </si>
  <si>
    <t>Número de cartões utilizados (em mil)</t>
  </si>
  <si>
    <t>CAC</t>
  </si>
  <si>
    <t>Note 1: New methodology for Total cost-to-serve since 1Q23 Considering D&amp;A as expanses.</t>
  </si>
  <si>
    <t>Note 1: Nova metodologia para Custo de servir desde o 1T23. Considerando D&amp;A nas depesas e excluindo despesas tributárias.</t>
  </si>
  <si>
    <t>Efficiency ratio </t>
  </si>
  <si>
    <t>Índice de eficiência</t>
  </si>
  <si>
    <t>Inter invest</t>
  </si>
  <si>
    <t>KPIs</t>
  </si>
  <si>
    <t>KPI Inputs</t>
  </si>
  <si>
    <t>Input KPI</t>
  </si>
  <si>
    <t>1Q21</t>
  </si>
  <si>
    <t>1T21</t>
  </si>
  <si>
    <t xml:space="preserve">Credit </t>
  </si>
  <si>
    <t>Crédito</t>
  </si>
  <si>
    <t>Amounts due from financial institutions</t>
  </si>
  <si>
    <t>Empréstimos e adiantamento a instituições financeiras</t>
  </si>
  <si>
    <t>Income from securities and derivatives</t>
  </si>
  <si>
    <t>Resultado de títulos e valores mobiliários e derivativos</t>
  </si>
  <si>
    <t>Real estate</t>
  </si>
  <si>
    <t>Imobiliário</t>
  </si>
  <si>
    <t>Demand deposits</t>
  </si>
  <si>
    <t>Depósitos à vista</t>
  </si>
  <si>
    <t>Interchange</t>
  </si>
  <si>
    <t xml:space="preserve">Receitas de intercâmbio </t>
  </si>
  <si>
    <t>NIM 1.0 - IEP + Non-interest credit card receivables</t>
  </si>
  <si>
    <t>NIM 1.0 - IEP + non-interest credit card receivables (%)</t>
  </si>
  <si>
    <t>NIM 1.0 - Carteira remunerada + recebíveis CC que não geram juros (%)</t>
  </si>
  <si>
    <t>Referential equity (RE)</t>
  </si>
  <si>
    <t xml:space="preserve">Patrimônio de referência (PR) </t>
  </si>
  <si>
    <t>Annualized NII</t>
  </si>
  <si>
    <t>NII anualizado</t>
  </si>
  <si>
    <t>Impairment losses on financial assets</t>
  </si>
  <si>
    <t>Resultado de perdas esperadas</t>
  </si>
  <si>
    <t>NPL 15-90 days (including anticipation of credit card receivables, %)</t>
  </si>
  <si>
    <t>NPL 15-90 dias (incluindo antecipação de recebíveis de cartão de crédito, %)</t>
  </si>
  <si>
    <t>Monthly average of cost-to-serve</t>
  </si>
  <si>
    <t>Custo de servir médio mensal</t>
  </si>
  <si>
    <t>Monthly average of total gross revenues</t>
  </si>
  <si>
    <t>Receita bruta total mensal média</t>
  </si>
  <si>
    <t>Inter Seguros net revenues</t>
  </si>
  <si>
    <t>Receita líquida Inter Seguros</t>
  </si>
  <si>
    <t>Inter Shop net revenues</t>
  </si>
  <si>
    <t>Receita líquida Inter Shop</t>
  </si>
  <si>
    <t>Debit cards used</t>
  </si>
  <si>
    <t>Débito</t>
  </si>
  <si>
    <t>NPS</t>
  </si>
  <si>
    <t>Source: CDI Rate according to CETIP</t>
  </si>
  <si>
    <t>Fonte: Taxa do CDI de acordo com a CETIP</t>
  </si>
  <si>
    <t>Total operational expenses</t>
  </si>
  <si>
    <t>Despesas operacionais totais</t>
  </si>
  <si>
    <t>Total AUC</t>
  </si>
  <si>
    <t>AuC/AuM Total</t>
  </si>
  <si>
    <t>Unit Economics</t>
  </si>
  <si>
    <t>2Q21</t>
  </si>
  <si>
    <t>2T21</t>
  </si>
  <si>
    <t>Funding</t>
  </si>
  <si>
    <t>Compulsory deposits at Central Bank of Brazil</t>
  </si>
  <si>
    <t>Depósitos compulsórios Banco Central do Brasil</t>
  </si>
  <si>
    <t>Net interest income</t>
  </si>
  <si>
    <t>Resultado líquido de juros</t>
  </si>
  <si>
    <t>Personal</t>
  </si>
  <si>
    <t>Pessoal</t>
  </si>
  <si>
    <t>Time deposits</t>
  </si>
  <si>
    <t>Depósitos a prazo</t>
  </si>
  <si>
    <t>Comissions</t>
  </si>
  <si>
    <t xml:space="preserve">Receitas de comissões </t>
  </si>
  <si>
    <t>NIM 2.0 - IEP only</t>
  </si>
  <si>
    <t>NIM 2.0 - IEP only (%)</t>
  </si>
  <si>
    <t>NIM 2.0 - Apenas carteira remunerada (%)</t>
  </si>
  <si>
    <t>Tier I referential equity</t>
  </si>
  <si>
    <t xml:space="preserve">Patrimônio de referência nível I </t>
  </si>
  <si>
    <t>NII</t>
  </si>
  <si>
    <t>(÷) Avg of the last two periods of gross loans and advances to customers</t>
  </si>
  <si>
    <t>(÷) Média dos últimos dois períodos de empréstimos e adiantamentos a clientes</t>
  </si>
  <si>
    <t>Efficiency</t>
  </si>
  <si>
    <t>Eficiência</t>
  </si>
  <si>
    <t>Total cost-to-serve</t>
  </si>
  <si>
    <t>Custo de servir total</t>
  </si>
  <si>
    <t>Total gross revenues</t>
  </si>
  <si>
    <t>Receita bruta total</t>
  </si>
  <si>
    <t>Inter Seguros net fee revenues</t>
  </si>
  <si>
    <t>Receita líquida de serviços e comissões Inter Seguros</t>
  </si>
  <si>
    <t>Inter Shop net fee revenues</t>
  </si>
  <si>
    <t>Receita líquida de serviços e comissões Inter Shop</t>
  </si>
  <si>
    <t>Credit cards used</t>
  </si>
  <si>
    <t>Total clients (million)</t>
  </si>
  <si>
    <t>Clientes totais (milhões)</t>
  </si>
  <si>
    <t>Personnel expenses</t>
  </si>
  <si>
    <t>Despesa de pessoal</t>
  </si>
  <si>
    <t>Funding (includes deposits and other on-balance funding)</t>
  </si>
  <si>
    <t>Funding (incluindo outras operações)</t>
  </si>
  <si>
    <t>Total Clients (mm)</t>
  </si>
  <si>
    <t>Total de Clientes (mm)</t>
  </si>
  <si>
    <t>Cost of funding (%)</t>
  </si>
  <si>
    <t>Custo de funding (%)</t>
  </si>
  <si>
    <t>3Q21</t>
  </si>
  <si>
    <t>3T21</t>
  </si>
  <si>
    <t>Fee Revenue</t>
  </si>
  <si>
    <t>Receita Líquida</t>
  </si>
  <si>
    <t>Securities</t>
  </si>
  <si>
    <t>Títulos e valores mobiliários</t>
  </si>
  <si>
    <t>SME</t>
  </si>
  <si>
    <t>Empresas</t>
  </si>
  <si>
    <t>Savings deposits</t>
  </si>
  <si>
    <t>Depósitos de poupança</t>
  </si>
  <si>
    <t>Banking</t>
  </si>
  <si>
    <t xml:space="preserve">Receitas de tarifas bancárias </t>
  </si>
  <si>
    <t>Efficiency Ratio</t>
  </si>
  <si>
    <t>Efficiency ratio (%)</t>
  </si>
  <si>
    <t>Índice de eficiência (%)</t>
  </si>
  <si>
    <t>Core capital (CC)</t>
  </si>
  <si>
    <t xml:space="preserve">Capital principal (CP) </t>
  </si>
  <si>
    <t>CAC (R$)</t>
  </si>
  <si>
    <t>Inter Seguros net interest revenues</t>
  </si>
  <si>
    <t>Receita líquida de juros Inter Seguros</t>
  </si>
  <si>
    <t>Inter Shop net interest revenues</t>
  </si>
  <si>
    <t>Receita líquida de juros Inter Shop</t>
  </si>
  <si>
    <t>Total cards used</t>
  </si>
  <si>
    <t>Número total de cartões utilizados</t>
  </si>
  <si>
    <t>Active clients (million)</t>
  </si>
  <si>
    <t>Clientes ativos (milhões)</t>
  </si>
  <si>
    <t>Administrative expenses</t>
  </si>
  <si>
    <t>Despesas administrativas</t>
  </si>
  <si>
    <t>Inter asset AuM</t>
  </si>
  <si>
    <t>Inter Asset AuM</t>
  </si>
  <si>
    <t>Active Clients (mm)</t>
  </si>
  <si>
    <t>Clientes Ativos (mm)</t>
  </si>
  <si>
    <t>NIM (%) 2.0 - IEP only</t>
  </si>
  <si>
    <t>NIM 2.0 - carteira remunerada</t>
  </si>
  <si>
    <t>4Q21</t>
  </si>
  <si>
    <t>4T21</t>
  </si>
  <si>
    <t>Financial KPIs</t>
  </si>
  <si>
    <t>Derivative financial assets</t>
  </si>
  <si>
    <t>Instrumentos financeiros derivativos</t>
  </si>
  <si>
    <t>Expenses from services and commissions</t>
  </si>
  <si>
    <t>Despesas de serviços e comissões</t>
  </si>
  <si>
    <t>Credit cards</t>
  </si>
  <si>
    <t>Cartão de crédito</t>
  </si>
  <si>
    <t>Creditors by resources to release</t>
  </si>
  <si>
    <t>Credores por recursos a liberar</t>
  </si>
  <si>
    <t>Management (Inter DTVM &amp; Asset)</t>
  </si>
  <si>
    <t>Receita de gestão (Inter DTVM &amp; Asset)</t>
  </si>
  <si>
    <t>Cost-to-serve (R$)</t>
  </si>
  <si>
    <t>Custo de servir (R$)</t>
  </si>
  <si>
    <t>Risk weighted assets - RWA</t>
  </si>
  <si>
    <t>Ativos ponderados por risco - RWA</t>
  </si>
  <si>
    <t>Net gains / (losses) from derivatives</t>
  </si>
  <si>
    <t>Resultado de instrumentos financeiros derivativos</t>
  </si>
  <si>
    <t>Gross loans and advances to customers in the previous period</t>
  </si>
  <si>
    <t>Empréstimos e adiantamentos a clientes no período anterior</t>
  </si>
  <si>
    <t>EBITDA</t>
  </si>
  <si>
    <t>Cashback expenses</t>
  </si>
  <si>
    <t>Despesas de Cashback</t>
  </si>
  <si>
    <t>Longevity ratio (clients more than 1 year old at Inter) (%)</t>
  </si>
  <si>
    <t>Índice de longevidade (clientes com mais de um ano no inter) %</t>
  </si>
  <si>
    <t>Depreciation and amortization</t>
  </si>
  <si>
    <t>Depreciação e amortização</t>
  </si>
  <si>
    <t>Inter DTVM - management, distribution and custody</t>
  </si>
  <si>
    <t>Inter DTVM - gestão, distribuição e custódia</t>
  </si>
  <si>
    <t>Gross ARPAC (R$)</t>
  </si>
  <si>
    <t>ARPAC Bruto (R$)</t>
  </si>
  <si>
    <t>Net fee income growth (%, QoQ)</t>
  </si>
  <si>
    <t>Crescimento das receitas líquidas de serviços (%, QoQ)</t>
  </si>
  <si>
    <t>1Q22</t>
  </si>
  <si>
    <t>1T22</t>
  </si>
  <si>
    <t>Índice de Basileia</t>
  </si>
  <si>
    <t>Net loans and advances to customers</t>
  </si>
  <si>
    <t>Empréstimos e adiantamentos a clientes, líquidos de provisão</t>
  </si>
  <si>
    <t>Net result from services and commissions</t>
  </si>
  <si>
    <t>Resultado líquido de serviços e comissões</t>
  </si>
  <si>
    <t>Agribusiness</t>
  </si>
  <si>
    <t>Rural</t>
  </si>
  <si>
    <t>Securities issued</t>
  </si>
  <si>
    <t>Títulos emitidos</t>
  </si>
  <si>
    <t>Other</t>
  </si>
  <si>
    <t>ARPAC Gross of Cost of Funding</t>
  </si>
  <si>
    <t>ARPAC gross of cost of funding (R$)</t>
  </si>
  <si>
    <t>ARPAC bruto de custo de funding (R$)</t>
  </si>
  <si>
    <t>RWA for credit risk by standardized approach - RWACPAD</t>
  </si>
  <si>
    <t>RWA para risco de crédito por abordagem padronizada - RWACPAD</t>
  </si>
  <si>
    <t>(÷) Avg of the last two periods of IEP + non-interest credit card receivables</t>
  </si>
  <si>
    <t>(÷) Média dos últimos dois períodos de Carteira remunerada + recebíveis CC que não geram juros</t>
  </si>
  <si>
    <t>Cost of risk (%) (Excl. Antic. of CC Receivables)</t>
  </si>
  <si>
    <t>Cost of risk (%) (Excl. Antec. de Recebíveis CC)</t>
  </si>
  <si>
    <t>Managerial EBITDA Margin</t>
  </si>
  <si>
    <t>Margem EBITDA Gerencial</t>
  </si>
  <si>
    <t>Take rate</t>
  </si>
  <si>
    <t>Cards + PIX TPV (in million)</t>
  </si>
  <si>
    <t>Cartões + PIX TPV (em milhões)</t>
  </si>
  <si>
    <t>Activity rate (%)</t>
  </si>
  <si>
    <t>Índice de ativação (%)</t>
  </si>
  <si>
    <t>(÷) Total net revenues excluding tax expenses</t>
  </si>
  <si>
    <t>(÷) Receitais totais excluindo despesas tributárias</t>
  </si>
  <si>
    <t>Inter Invest net revenues</t>
  </si>
  <si>
    <t xml:space="preserve">Receita líquida Inter Invest </t>
  </si>
  <si>
    <t>CTS (R$)</t>
  </si>
  <si>
    <t>2Q22</t>
  </si>
  <si>
    <t>2T22</t>
  </si>
  <si>
    <t>NIMs</t>
  </si>
  <si>
    <t>Non-current assets held for sale</t>
  </si>
  <si>
    <t>Ativos não circulantes mantidos para venda</t>
  </si>
  <si>
    <t>Prepayment of receivables</t>
  </si>
  <si>
    <t>Antecipação de recebíveis de cartão de crédito</t>
  </si>
  <si>
    <t>Total funding</t>
  </si>
  <si>
    <t>Funding total</t>
  </si>
  <si>
    <t>Securities placement</t>
  </si>
  <si>
    <t xml:space="preserve">Colocação de valores mobiliários </t>
  </si>
  <si>
    <t>ARPAC Net of Cost of of Funding</t>
  </si>
  <si>
    <t>ARPAC net of cost of of funding (R$)</t>
  </si>
  <si>
    <t>ARPAC líquido de custo de funding (R$)</t>
  </si>
  <si>
    <t>RWA for market risk - RWAMPAD</t>
  </si>
  <si>
    <t>RWA para risco de mercado - RWAMPAD</t>
  </si>
  <si>
    <t>IEP + non-interest credit card receivables</t>
  </si>
  <si>
    <t>Carteira remunerada + recebíveis CC que não geram juros</t>
  </si>
  <si>
    <t>Note 1: 1Q22 managerial figure, excluding non-recurrent provision.</t>
  </si>
  <si>
    <t>Nota 2: Despesa gerencial em 1T22 excluindo provisão não recorrente.</t>
  </si>
  <si>
    <t>CAC expenses</t>
  </si>
  <si>
    <t>Despesas de CAC</t>
  </si>
  <si>
    <t>Inter Seguros net income</t>
  </si>
  <si>
    <t>Lucro líquido Inter Seguros</t>
  </si>
  <si>
    <t>Net take rate</t>
  </si>
  <si>
    <t>Debit TPV</t>
  </si>
  <si>
    <t>TPV Débito</t>
  </si>
  <si>
    <t>Headcount</t>
  </si>
  <si>
    <t>Número de funcionários</t>
  </si>
  <si>
    <t>Inter Invest net fee revenues</t>
  </si>
  <si>
    <t xml:space="preserve">Receita líquida de serviços e comissões Inter Invest </t>
  </si>
  <si>
    <t>3Q22</t>
  </si>
  <si>
    <t>3T22</t>
  </si>
  <si>
    <t>Índice de Eficiência</t>
  </si>
  <si>
    <t>Equity accounted investees</t>
  </si>
  <si>
    <t>Investimentos</t>
  </si>
  <si>
    <t>Other revenues</t>
  </si>
  <si>
    <t>Outras receitas</t>
  </si>
  <si>
    <t>Gross loan portfolio</t>
  </si>
  <si>
    <t>Carteira de crédito bruta</t>
  </si>
  <si>
    <t>Cost of funding</t>
  </si>
  <si>
    <t>Custo de funding</t>
  </si>
  <si>
    <t>Despesas de cashback</t>
  </si>
  <si>
    <t>ROAA</t>
  </si>
  <si>
    <t>ROAA (%)</t>
  </si>
  <si>
    <t>RWA for operating risk by standard approach - RWAOPAD</t>
  </si>
  <si>
    <t>RWA para risco operacional por abordagem padronizada - RWAOPAD</t>
  </si>
  <si>
    <t>(÷) Average active clients</t>
  </si>
  <si>
    <t>(÷) Média de clientes ativos</t>
  </si>
  <si>
    <t>Credit TPV</t>
  </si>
  <si>
    <t>TPV Crédito</t>
  </si>
  <si>
    <t>Active clients per employee (thousands)</t>
  </si>
  <si>
    <t>Clientes ativos por funcionário (mil)</t>
  </si>
  <si>
    <t>Inter Invest net interest revenues</t>
  </si>
  <si>
    <t xml:space="preserve">Receita líquida de juros Inter Invest </t>
  </si>
  <si>
    <t>Tax expenses as % of total revenues</t>
  </si>
  <si>
    <t>Tributos como % de receitas totais</t>
  </si>
  <si>
    <t>4Q22</t>
  </si>
  <si>
    <t>4T22</t>
  </si>
  <si>
    <t>Cost-to-Serve</t>
  </si>
  <si>
    <t>Custo de Servir</t>
  </si>
  <si>
    <t>Property and equipment</t>
  </si>
  <si>
    <t>Imobilizado</t>
  </si>
  <si>
    <t>Total net revenues</t>
  </si>
  <si>
    <t>Receitas líquidas</t>
  </si>
  <si>
    <t>Empréstimos e adiantamentos a clientes, líquido de provisão</t>
  </si>
  <si>
    <t>Annualized interest expenses</t>
  </si>
  <si>
    <t>Despesa de juros anualizadas</t>
  </si>
  <si>
    <t>Inter rewards</t>
  </si>
  <si>
    <t>ROAE</t>
  </si>
  <si>
    <t>ROAE (%)</t>
  </si>
  <si>
    <t>Capital requirement</t>
  </si>
  <si>
    <t>Requerimento de capital</t>
  </si>
  <si>
    <t>Cost of risk</t>
  </si>
  <si>
    <t>Cost of funding % of CDI</t>
  </si>
  <si>
    <t>Custo de funding % do CDI</t>
  </si>
  <si>
    <t>Active clients</t>
  </si>
  <si>
    <t>Clientes ativos</t>
  </si>
  <si>
    <t>(+) Cashback expenses</t>
  </si>
  <si>
    <t>(+) Despesas de cashback</t>
  </si>
  <si>
    <t>PIX TPV</t>
  </si>
  <si>
    <t>TPV PIX</t>
  </si>
  <si>
    <t>1Q23</t>
  </si>
  <si>
    <t>1T23</t>
  </si>
  <si>
    <t>ARPAC</t>
  </si>
  <si>
    <t>Intangible assets</t>
  </si>
  <si>
    <t>Intangível</t>
  </si>
  <si>
    <t>Other income</t>
  </si>
  <si>
    <t>Outros rendimentos</t>
  </si>
  <si>
    <t>Despesa de juros</t>
  </si>
  <si>
    <t>Minimum principal capital required for RWA</t>
  </si>
  <si>
    <t>Capital principal mínimo requerido para o RWA</t>
  </si>
  <si>
    <t>Revenues</t>
  </si>
  <si>
    <t>Receitas</t>
  </si>
  <si>
    <t>Active clients in the previous period</t>
  </si>
  <si>
    <t>Clientes ativos no período anterior</t>
  </si>
  <si>
    <t>(÷) Average of active clients</t>
  </si>
  <si>
    <t>Cards + PIX TPV</t>
  </si>
  <si>
    <t>Cartões + PIX TPV</t>
  </si>
  <si>
    <t>Gross Revenue (R$ mm)</t>
  </si>
  <si>
    <t>Receita Bruta (R$ mm)</t>
  </si>
  <si>
    <t>IEP growth (%, QoQ)</t>
  </si>
  <si>
    <t>Crescimento dos ativos rentáveis (QoQ, %)</t>
  </si>
  <si>
    <t>2Q23</t>
  </si>
  <si>
    <t>2T23</t>
  </si>
  <si>
    <t>Inter Invest</t>
  </si>
  <si>
    <t>Deferred tax assets</t>
  </si>
  <si>
    <t>Ativos fiscal diferido</t>
  </si>
  <si>
    <t>(-) Provision for expected loss</t>
  </si>
  <si>
    <t>(-) Perda esperada por redução ao valor recuperável</t>
  </si>
  <si>
    <t>(÷) Average funding</t>
  </si>
  <si>
    <t>(÷) Funding médio</t>
  </si>
  <si>
    <t>Tier I minimum reference equity required to RWA</t>
  </si>
  <si>
    <t>Patrimônio de referência nível I mínimo requerido para o RWA</t>
  </si>
  <si>
    <t>Total gross revenues (R$ million)</t>
  </si>
  <si>
    <t>Receita bruta total (R$ milhões)</t>
  </si>
  <si>
    <t>(=) Cost-to-serve (R$)</t>
  </si>
  <si>
    <t>(=) Custo de servir (R$)</t>
  </si>
  <si>
    <t>Tax expenses</t>
  </si>
  <si>
    <t>Despesas tributárias</t>
  </si>
  <si>
    <t>Net Revenues (R$ mm)</t>
  </si>
  <si>
    <t>Receita Líquida (R$ mm)</t>
  </si>
  <si>
    <t>Funding growth (%, QoQ)</t>
  </si>
  <si>
    <t>Crescimento do funding (QoQ, %)</t>
  </si>
  <si>
    <t>3Q23</t>
  </si>
  <si>
    <t>3T23</t>
  </si>
  <si>
    <t>Inter Seguros</t>
  </si>
  <si>
    <t>Other assets</t>
  </si>
  <si>
    <t>Outros ativos</t>
  </si>
  <si>
    <t>Minimum Reference Equity required to RWA</t>
  </si>
  <si>
    <t>Patrimônio de referência mínimo requerido para o RWA</t>
  </si>
  <si>
    <t>(=) NIM 1.0 - IEP + non-interest credit card receivables (%)</t>
  </si>
  <si>
    <t>(=) NIM 1.0 - carteira remunerada + recebíveis CC que não geram juros (%)</t>
  </si>
  <si>
    <t>Net fee revenues (R$ million)</t>
  </si>
  <si>
    <t>Receitas líquida de serviços (R$ millhões)</t>
  </si>
  <si>
    <t>Active clients in the previus period</t>
  </si>
  <si>
    <t> (=) Efficiency ratio (%)</t>
  </si>
  <si>
    <t>(=) Índice de eficiência (%)</t>
  </si>
  <si>
    <t>Pre Tax Net Income (R$ mm)</t>
  </si>
  <si>
    <t>Lucro Líquido antes de Impostos (R$ mm)</t>
  </si>
  <si>
    <t>KPI Outputs</t>
  </si>
  <si>
    <t>KPIs Output</t>
  </si>
  <si>
    <t>4Q23</t>
  </si>
  <si>
    <t>4T23</t>
  </si>
  <si>
    <t>Inter Shop</t>
  </si>
  <si>
    <t>Total assets</t>
  </si>
  <si>
    <t>Total de ativos</t>
  </si>
  <si>
    <t>NPL &gt; 90 days</t>
  </si>
  <si>
    <t>NPL &gt; 90 dias</t>
  </si>
  <si>
    <t>Total funding in the previous period</t>
  </si>
  <si>
    <t>Funding total no período anterior</t>
  </si>
  <si>
    <t>Margin on capital requirements</t>
  </si>
  <si>
    <t>Margem sobre os requerimentos de capital</t>
  </si>
  <si>
    <t>Fee income ratio (%)</t>
  </si>
  <si>
    <t>Percentual de receitas líquida de serviços (%)</t>
  </si>
  <si>
    <t>(=) Gross ARPAC (R$)</t>
  </si>
  <si>
    <t>(=) ARPAC bruto (R$)</t>
  </si>
  <si>
    <t>Net Income (R$ mm)</t>
  </si>
  <si>
    <t>Lucro Líquido (R$ mm)</t>
  </si>
  <si>
    <t>ROEA (%)</t>
  </si>
  <si>
    <t>Digital Account</t>
  </si>
  <si>
    <t>Conta Digital</t>
  </si>
  <si>
    <t>Liabilities</t>
  </si>
  <si>
    <t>Passivo</t>
  </si>
  <si>
    <t xml:space="preserve">Despesas tributárias </t>
  </si>
  <si>
    <t>(=) Custo de funding (%)</t>
  </si>
  <si>
    <t>Performance fees</t>
  </si>
  <si>
    <t>Receitas de performance</t>
  </si>
  <si>
    <t>Margin on required principal capital</t>
  </si>
  <si>
    <t>Margem sobre o capital principal requerido</t>
  </si>
  <si>
    <t>NIM 2.0 - IEP</t>
  </si>
  <si>
    <t>NIM 2.0 - apenas carteira remunerada</t>
  </si>
  <si>
    <t>Gross loan portfolio in the previous period</t>
  </si>
  <si>
    <t>NII (R$ million)</t>
  </si>
  <si>
    <t>NII (R$ millhões)</t>
  </si>
  <si>
    <t xml:space="preserve">Liabilities with financial and similar institutions </t>
  </si>
  <si>
    <t>Passivos com instituições financeiras</t>
  </si>
  <si>
    <t>NPL &gt; 90 days (%)</t>
  </si>
  <si>
    <t>NPL &gt; 90 dias (%)</t>
  </si>
  <si>
    <t>(÷) Average daily CDI rate in the period (%)</t>
  </si>
  <si>
    <t>(÷) CDI médio diário no período (%)</t>
  </si>
  <si>
    <t>Capital gains (losses)</t>
  </si>
  <si>
    <t>Ganhos de capital</t>
  </si>
  <si>
    <t>Margin on the tier I required reference equity</t>
  </si>
  <si>
    <t>Margem sobre o patrimônio de referência nível I requerido</t>
  </si>
  <si>
    <t>ARPAC (net of cost of funding)</t>
  </si>
  <si>
    <t>ARPAC (líquido de custo de funding)</t>
  </si>
  <si>
    <t>Personnel efficiency ratio </t>
  </si>
  <si>
    <t>Índice de eficiência de pessoal</t>
  </si>
  <si>
    <t>Balance Sheet &amp; Capital</t>
  </si>
  <si>
    <t>Balanço Patriomonial e Capital</t>
  </si>
  <si>
    <t>Crescimento das receitas líquidas de serviços (%)</t>
  </si>
  <si>
    <t>Cost of Risk</t>
  </si>
  <si>
    <t>Income before taxes and interests in associates</t>
  </si>
  <si>
    <t>Resultados antes dos impostos e participações em coligadas</t>
  </si>
  <si>
    <t>(=) Custo de funding % do CDI</t>
  </si>
  <si>
    <t>Foreign exchange</t>
  </si>
  <si>
    <t>Receitas com câmbio</t>
  </si>
  <si>
    <t>Core capital ratio (CC/RWA)</t>
  </si>
  <si>
    <t xml:space="preserve">Índice de capital principal (CP/RWA) </t>
  </si>
  <si>
    <t>Net ARPAC (R$)</t>
  </si>
  <si>
    <t>ARPAC Líquido (R$)</t>
  </si>
  <si>
    <t>Monthly average total revenues net of cost of funding</t>
  </si>
  <si>
    <t>Receita total mensal média líquida de custo de funding</t>
  </si>
  <si>
    <t>Gross Loan Portfolio (R$ bn)</t>
  </si>
  <si>
    <t>Carteira de Crédito Bruta (R$ bn)</t>
  </si>
  <si>
    <t>Input Values:</t>
  </si>
  <si>
    <t>Valores para input:</t>
  </si>
  <si>
    <t>Financial Statements Simulation</t>
  </si>
  <si>
    <t xml:space="preserve">Simulação de Demonstrações Financeiras </t>
  </si>
  <si>
    <t>Income from equity interests in affiliates</t>
  </si>
  <si>
    <t>Resultado de participação em coligadas</t>
  </si>
  <si>
    <t>Coverage ratio (%)</t>
  </si>
  <si>
    <t>Índice de cobertura (%)</t>
  </si>
  <si>
    <t>Other revenue</t>
  </si>
  <si>
    <t xml:space="preserve">Outras receitas </t>
  </si>
  <si>
    <t>Tier I capital ratio (tier I /RWA)</t>
  </si>
  <si>
    <t xml:space="preserve">Índice de capital nível I (nível I /RWA) </t>
  </si>
  <si>
    <t>Proftability</t>
  </si>
  <si>
    <t>Lucratividade</t>
  </si>
  <si>
    <t>Total revenues net of cost of funding</t>
  </si>
  <si>
    <t>Receita total líquida de custo de funding</t>
  </si>
  <si>
    <t>Funding (R$ bn)</t>
  </si>
  <si>
    <t>Funding (R$ bi)</t>
  </si>
  <si>
    <t>4Q23 Actual</t>
  </si>
  <si>
    <t>4Q23 Realizado</t>
  </si>
  <si>
    <t>Disclaimer</t>
  </si>
  <si>
    <t>Derivative financial liabilities</t>
  </si>
  <si>
    <t>Instrumentos financeiros derivativos passivos</t>
  </si>
  <si>
    <t>Profit / (loss) before income tax</t>
  </si>
  <si>
    <t>Lucro / (prejuízo) antes da tributação sobre o lucro</t>
  </si>
  <si>
    <t>NPL  15-90 days</t>
  </si>
  <si>
    <t>NPL 15-90 dias</t>
  </si>
  <si>
    <t>Securities sold under agreements to reurchase</t>
  </si>
  <si>
    <t>Obrigações por operações compromissadas</t>
  </si>
  <si>
    <t>Revenue from goods</t>
  </si>
  <si>
    <t>Receita de mercadorias</t>
  </si>
  <si>
    <t>Basel ratio (RE/RWA)</t>
  </si>
  <si>
    <t xml:space="preserve">Índice de basiléia (PR/RWA) </t>
  </si>
  <si>
    <t>Shareholders` Equity (R$ bn)</t>
  </si>
  <si>
    <t>Patrimônio Líquido (R$ bi)</t>
  </si>
  <si>
    <t>Output</t>
  </si>
  <si>
    <t>Glossary</t>
  </si>
  <si>
    <t>Glossário</t>
  </si>
  <si>
    <t>Borrowing and onlending</t>
  </si>
  <si>
    <t>Empréstimos e repasses</t>
  </si>
  <si>
    <t>Current income tax and social contribution</t>
  </si>
  <si>
    <t>Imposto de renda e contribuição social corrente</t>
  </si>
  <si>
    <t>NPL 15-90 days</t>
  </si>
  <si>
    <t>Interbank deposits</t>
  </si>
  <si>
    <t>Depósitos interfinanceiros</t>
  </si>
  <si>
    <t>(÷) Avg of the last two periods of IEP</t>
  </si>
  <si>
    <t>(÷) Média dos últimos dois períodos de carteira remunerada</t>
  </si>
  <si>
    <t>Tier 1 Ratio (%)</t>
  </si>
  <si>
    <t>Índice de Basileia (%)</t>
  </si>
  <si>
    <t>4T23 Realizado</t>
  </si>
  <si>
    <t>Highlights</t>
  </si>
  <si>
    <t>Destaques</t>
  </si>
  <si>
    <t>Tax liabilities</t>
  </si>
  <si>
    <t>Impostos correntes</t>
  </si>
  <si>
    <t>Deferred income tax and social contribution</t>
  </si>
  <si>
    <t>Imposto de renda e contribuição social diferidos</t>
  </si>
  <si>
    <t>NPL 15-90 days (%)</t>
  </si>
  <si>
    <t>NPL 15-90 dias (%)</t>
  </si>
  <si>
    <t>IEP</t>
  </si>
  <si>
    <t>Carteira remunerada</t>
  </si>
  <si>
    <t>Managerial Income Statement (R$ Millions)</t>
  </si>
  <si>
    <t>DRE Gerencial (R$ milhões)</t>
  </si>
  <si>
    <t>Income tax and social contribution</t>
  </si>
  <si>
    <t>Imposto de renda e contribuição social</t>
  </si>
  <si>
    <t>Income tax benefit</t>
  </si>
  <si>
    <t>Imposto de renda</t>
  </si>
  <si>
    <t>Fee revenues</t>
  </si>
  <si>
    <t>Receitas de serviços</t>
  </si>
  <si>
    <t>Profit / (loss) for the period</t>
  </si>
  <si>
    <t>Lucro/ (prejuízo) líquido</t>
  </si>
  <si>
    <t>Volume KPIs</t>
  </si>
  <si>
    <t>KPIs de Volume</t>
  </si>
  <si>
    <t>Interest income + income from securites and derivatives</t>
  </si>
  <si>
    <t>Receita de juros + receita de títulos e valores mobiliários e derivativos</t>
  </si>
  <si>
    <t>Other tax liabilities</t>
  </si>
  <si>
    <t>Outros passivos fiscais</t>
  </si>
  <si>
    <t>Credit card loan portfolio</t>
  </si>
  <si>
    <t>Carteira de cartão de crédito</t>
  </si>
  <si>
    <t>Interest bearing liabilities with financial institutions</t>
  </si>
  <si>
    <t>Passivos com instituições financeiras que geram despesas juros</t>
  </si>
  <si>
    <t>Cards + PIX TPV (R$ bn)</t>
  </si>
  <si>
    <t>TPV de Cartões + PIX (R$ bi)</t>
  </si>
  <si>
    <t>Provisions</t>
  </si>
  <si>
    <t>Provisões</t>
  </si>
  <si>
    <t>Net result of losses</t>
  </si>
  <si>
    <t>Resultado líquido de perdas</t>
  </si>
  <si>
    <t>Revolving + overdue</t>
  </si>
  <si>
    <t>Rotativo + créditos Vencidos</t>
  </si>
  <si>
    <t>Net loans and advances to customers excluding non int. CC Receivables</t>
  </si>
  <si>
    <t> (=) Personnel efficiency ratio (%)</t>
  </si>
  <si>
    <t>(=) Índice de eficiência de pessoal (%)</t>
  </si>
  <si>
    <t>GMV Inter Shop (R$ mm)</t>
  </si>
  <si>
    <t>Receita líquida de juros</t>
  </si>
  <si>
    <t>Deferred tax liabilities</t>
  </si>
  <si>
    <t>Passivos fiscais diferidos</t>
  </si>
  <si>
    <t>Total de receitas</t>
  </si>
  <si>
    <t>Revolving (1 to 30 days)</t>
  </si>
  <si>
    <t>Rotativo (1 a 30 dias)</t>
  </si>
  <si>
    <t>Net fee revenues</t>
  </si>
  <si>
    <t>Receitas líquida de serviços</t>
  </si>
  <si>
    <t>AUC  (R$ bn)</t>
  </si>
  <si>
    <t>AUC (R$ bi)</t>
  </si>
  <si>
    <t>Other liabilities</t>
  </si>
  <si>
    <t>Outros passivos</t>
  </si>
  <si>
    <t>Overdue &gt; 31 days</t>
  </si>
  <si>
    <t>Vencidos &gt; 31 dias</t>
  </si>
  <si>
    <t>Term deposits</t>
  </si>
  <si>
    <t>(-) Non int. CC receivables</t>
  </si>
  <si>
    <t>(-) Recebiveis de CC que não geram juros</t>
  </si>
  <si>
    <t>Administrative efficiency ratio </t>
  </si>
  <si>
    <t>Índice de eficiência administrativo</t>
  </si>
  <si>
    <t>Net fee revenue + other revenues</t>
  </si>
  <si>
    <t>Receita líquida de serviços + outras receitas</t>
  </si>
  <si>
    <t>Total liabilities</t>
  </si>
  <si>
    <t>Total do passivo</t>
  </si>
  <si>
    <t>Installments with interest</t>
  </si>
  <si>
    <t>Parcelado com juros</t>
  </si>
  <si>
    <t>Open market capture</t>
  </si>
  <si>
    <t>Captação de mercado aberto</t>
  </si>
  <si>
    <t>Fee income ratio</t>
  </si>
  <si>
    <t xml:space="preserve">Percentual de receitas líquida de serviços </t>
  </si>
  <si>
    <t>Equity</t>
  </si>
  <si>
    <t>Patrimônio líquido</t>
  </si>
  <si>
    <t>Transactor</t>
  </si>
  <si>
    <t>À vista</t>
  </si>
  <si>
    <t>Financial instituicions deposits</t>
  </si>
  <si>
    <t xml:space="preserve">Receitas líquida de serviços </t>
  </si>
  <si>
    <t>(=) NIM 2.0 - IEP (%)</t>
  </si>
  <si>
    <t>(=) NIM 2.0 - apenas carteira remunerada (%)</t>
  </si>
  <si>
    <t>Equity attributable to owners of the Company</t>
  </si>
  <si>
    <t>Patrimônio líquido dos acionistas controladores</t>
  </si>
  <si>
    <t>Total credit card loan portfolio</t>
  </si>
  <si>
    <t>Carteira de cartão de crédito total</t>
  </si>
  <si>
    <t>Saving</t>
  </si>
  <si>
    <t>(÷) Total net revenues</t>
  </si>
  <si>
    <t>(÷) Receira líquidas totais</t>
  </si>
  <si>
    <t>(=) Net ARPAC (R$)</t>
  </si>
  <si>
    <t>(=) ARPAC líquido (R$)</t>
  </si>
  <si>
    <t>NPL 15- 90 dias</t>
  </si>
  <si>
    <t>Share capital</t>
  </si>
  <si>
    <t>Capital social</t>
  </si>
  <si>
    <t>Risk-Adjusted NIM 1.0 - IEP + non-interest credit card receivables</t>
  </si>
  <si>
    <t>NIM 1.0 Ajustado pela Provisão - carteira remunerada + recebíveis CC que não geram juros</t>
  </si>
  <si>
    <t>Coverage Ratio (%)</t>
  </si>
  <si>
    <t>Índice de Cobertura</t>
  </si>
  <si>
    <t>Reserves</t>
  </si>
  <si>
    <t>Reservas</t>
  </si>
  <si>
    <t>Annualized NII after impairment losses on financial assets</t>
  </si>
  <si>
    <t>NII anualizado excluindo o resultado de perdas esperadas</t>
  </si>
  <si>
    <t>(+) Inter rewards</t>
  </si>
  <si>
    <t>Other comprehensive income</t>
  </si>
  <si>
    <t>Outros resultados abrangentes</t>
  </si>
  <si>
    <t>Loans and advances to customers</t>
  </si>
  <si>
    <t>Funding - excluding other interest bearing liabilities</t>
  </si>
  <si>
    <t>Funding - excludindo outros passivos que geram despesas de juros</t>
  </si>
  <si>
    <t>NII after impairment losses on financial assets</t>
  </si>
  <si>
    <t>NII excluindo o resultado de perdas esperadas</t>
  </si>
  <si>
    <t>Performance KPIs</t>
  </si>
  <si>
    <t>KPIs de Performance</t>
  </si>
  <si>
    <t>Operational expenses</t>
  </si>
  <si>
    <t>Despesas operacionais</t>
  </si>
  <si>
    <t>Treasury shares</t>
  </si>
  <si>
    <t>Ações em tesouraria</t>
  </si>
  <si>
    <t>Real Estate</t>
  </si>
  <si>
    <t>Cost of funding - excluding other interest bearing liabilities</t>
  </si>
  <si>
    <t>Custo de funding - excludindo outros passivos que geram despesas de juros</t>
  </si>
  <si>
    <t>NIM 1.0 (%)</t>
  </si>
  <si>
    <t>Non-controlling interest</t>
  </si>
  <si>
    <t>Participações de acionistas não controladores</t>
  </si>
  <si>
    <t>(=) All-in cost of funding % of CDI</t>
  </si>
  <si>
    <t>(=) Fee income ratio (%)</t>
  </si>
  <si>
    <t>(=) Receitas líquida de serviços (%)</t>
  </si>
  <si>
    <t>(=) Risk-Adjusted NIM 1.0 - IEP + non-interest credit card receivables (%)</t>
  </si>
  <si>
    <t>(=) Risk-Adjusted NIM 1.0 - carteira remunerada + recebíveis CC que não geram juros (%)</t>
  </si>
  <si>
    <t> (=) Administrative efficiency ratio (%)</t>
  </si>
  <si>
    <t>(=) Índice de eficiência administrativo (%)</t>
  </si>
  <si>
    <t>NIM 2.0 - IEP Only (%)</t>
  </si>
  <si>
    <t>NIM 2.0 - Carteira remunerada</t>
  </si>
  <si>
    <t>Other expenses</t>
  </si>
  <si>
    <t>Outras despesas</t>
  </si>
  <si>
    <t>Total equity</t>
  </si>
  <si>
    <t>Total do patrimônio líquido</t>
  </si>
  <si>
    <t>(=) All-in cost of funding (%)</t>
  </si>
  <si>
    <t>Risk Adjusted NIM 2.0 - IEP</t>
  </si>
  <si>
    <t>NIM 2.0 Ajustado pela Provisão - apenas carteira remunerada</t>
  </si>
  <si>
    <t>All-in Cost of Funding (% of CDI)</t>
  </si>
  <si>
    <t>Custo de Funding (% do CDI)</t>
  </si>
  <si>
    <t>Liabilities + equity</t>
  </si>
  <si>
    <t>Passivos + patrimônio líquido</t>
  </si>
  <si>
    <t>Credit Cards</t>
  </si>
  <si>
    <t>All-in cost of funding</t>
  </si>
  <si>
    <t>(=) Risk-adjusted NIM 2.0 - IEP (%)</t>
  </si>
  <si>
    <t>(=) NIM 2.0 ajustado pela provisão - apenas carteira remunerada (%)</t>
  </si>
  <si>
    <t>Administrative expenses + D&amp;A</t>
  </si>
  <si>
    <t>Despesas administrativas + D&amp;A</t>
  </si>
  <si>
    <t>Efficiency Ratio (%)</t>
  </si>
  <si>
    <t>Índice de Eficiência (%)</t>
  </si>
  <si>
    <t>Total liabilities and total equity</t>
  </si>
  <si>
    <t>Total do passivo e patrimônio líquido</t>
  </si>
  <si>
    <t>ROE (%)</t>
  </si>
  <si>
    <t>Lucro / (prejuízo) do período</t>
  </si>
  <si>
    <t>Income from cash and cash equivalents in foreign currency</t>
  </si>
  <si>
    <t>Rendas e disponibilidades em moeda estrangeira</t>
  </si>
  <si>
    <t xml:space="preserve">Others </t>
  </si>
  <si>
    <t>Managerial Balance Sheet (R$ Billions)</t>
  </si>
  <si>
    <t>Balanço Patrimonial Gerencial (R$ bilhões)</t>
  </si>
  <si>
    <t>Interest earning portfolio (IEP)</t>
  </si>
  <si>
    <t>Ativos rentáveis</t>
  </si>
  <si>
    <t>Antecipação de recebíveis</t>
  </si>
  <si>
    <t>Total de passivos</t>
  </si>
  <si>
    <t>Financial institutions deposits</t>
  </si>
  <si>
    <t>Variação</t>
  </si>
  <si>
    <t>Savings</t>
  </si>
  <si>
    <t>Δ QoQS</t>
  </si>
  <si>
    <t>Δ QoQ Actual</t>
  </si>
  <si>
    <t>Δ QoQ Realizado</t>
  </si>
  <si>
    <t>Income from securities</t>
  </si>
  <si>
    <t>Resultado de títulos e valores mobiliários</t>
  </si>
  <si>
    <t>ΔYoYS</t>
  </si>
  <si>
    <t>Fair value throught other comprehensive income</t>
  </si>
  <si>
    <t>Valor justo por meio de outros resultados abrangentes</t>
  </si>
  <si>
    <t>ΔYoY Actual</t>
  </si>
  <si>
    <t>ΔYoY Realizado</t>
  </si>
  <si>
    <t>Fair value through proft or loss</t>
  </si>
  <si>
    <t>Valor justo por meio do resultado</t>
  </si>
  <si>
    <t>Amortized cost</t>
  </si>
  <si>
    <t>Custo amortizado</t>
  </si>
  <si>
    <t>Disclaimer:
Please note that this simulation is for illustrative purposes only, does not represent actual financial data and the results may not accurately reflect real-world outcomes. The information provided is based on hypothetical scenarios and assumptions. The simulation is intended as a learning tool and does not provide any investment advice, recommendations, or guidance.
Users are advised to exercise caution when interpreting the results and are encouraged to consult with qualified financial professionals.</t>
  </si>
  <si>
    <t>Esta simulação é apenas para fins ilustrativo, não representa dados financeiros reais e os resultados podem não refletir precisamente os resultados do mundo real. As informações fornecidas baseiam-se em cenários hipotéticos e suposições. A simulação destina-se como uma ferramenta didática e não oferece nenhum conselho de investimento, recomendações ou orientações.
Recomenda-se que os usuários tenham cuidado ao interpretar os resultados e que busquem aconselhamento de profissionais financeiros qualificados</t>
  </si>
  <si>
    <t>Income from derivatives</t>
  </si>
  <si>
    <t>Resultado de derivativos</t>
  </si>
  <si>
    <t>Future contracts dolar</t>
  </si>
  <si>
    <t>Futuro dólar</t>
  </si>
  <si>
    <t>Fixed-term contracts</t>
  </si>
  <si>
    <t>À termo</t>
  </si>
  <si>
    <t>Futures contrats and swaps</t>
  </si>
  <si>
    <t>Futuro e swap</t>
  </si>
  <si>
    <t>Gross loans and advances to customers growth (%)</t>
  </si>
  <si>
    <t>Crescimento de empréstimos e adiantamentos a clientes (%)</t>
  </si>
  <si>
    <t>Hedge accounting real estate loans</t>
  </si>
  <si>
    <t>Hedge accounting de crédito imobiliário</t>
  </si>
  <si>
    <t>Hedge accounting from personal loans</t>
  </si>
  <si>
    <t>Hedge accounting de crédito pessoal</t>
  </si>
  <si>
    <t>Other results</t>
  </si>
  <si>
    <t>Outros resultados</t>
  </si>
  <si>
    <t>Loan interest income including hedge accounting results</t>
  </si>
  <si>
    <t>Resultado da carteira de crédito incluindo resultados de hedge accounting</t>
  </si>
  <si>
    <t>Real estate net of hedge accounting</t>
  </si>
  <si>
    <t>Imobiliário líquido resultado de hedge accounting</t>
  </si>
  <si>
    <t>(+) Hedge accounting from real estate loans</t>
  </si>
  <si>
    <t>(+) Resultado de hedge accounting de crédito imobiliário</t>
  </si>
  <si>
    <t>Personal net of hedge accounting</t>
  </si>
  <si>
    <t>Pessoal líquido resultado de hedge accounting</t>
  </si>
  <si>
    <t>(+) Hedge accounting from personal loans</t>
  </si>
  <si>
    <t>(+) Resultado de hedge accounting de crédito pessoal</t>
  </si>
  <si>
    <t>Implied rates</t>
  </si>
  <si>
    <t>Taxa implícita</t>
  </si>
  <si>
    <t>All-in rate (%)</t>
  </si>
  <si>
    <t>Taxa de juros consolidada (%)</t>
  </si>
  <si>
    <t>Real estate net of hedge accounting (%)</t>
  </si>
  <si>
    <t>Imobiliário líquido resultado de hedge accounting (%)</t>
  </si>
  <si>
    <t>Personal net of hedge accounting (%)</t>
  </si>
  <si>
    <t>Pessoal líquido resultado de hedge accounting (%)</t>
  </si>
  <si>
    <t>SME (%)</t>
  </si>
  <si>
    <t>Empresas (%)</t>
  </si>
  <si>
    <t>Credit cards (%)</t>
  </si>
  <si>
    <t>Cartão de crédito (%)</t>
  </si>
  <si>
    <t>Agribusiness (%)</t>
  </si>
  <si>
    <t>Rural (%)</t>
  </si>
  <si>
    <t>Prepayment of receivables (%)</t>
  </si>
  <si>
    <t>Antecipação de recebíveis de cartão de crédito (%)</t>
  </si>
  <si>
    <t>Interest earning credit portfolio</t>
  </si>
  <si>
    <t>Carteira de crédito que gera juros</t>
  </si>
  <si>
    <t>Interest earning credit card portfolio</t>
  </si>
  <si>
    <t>Carteira de cartão de crédito que gera juros</t>
  </si>
  <si>
    <t>(-) Transactor</t>
  </si>
  <si>
    <t>(-) À vista</t>
  </si>
  <si>
    <t>Renegotiated Portfolio</t>
  </si>
  <si>
    <t>Carteira Renegociada</t>
  </si>
  <si>
    <t>Renegotiated portfolio</t>
  </si>
  <si>
    <t>Carteira renegociada</t>
  </si>
  <si>
    <t>Renegotiated portfolio (% of total gross loan portfolio)</t>
  </si>
  <si>
    <t>Carteira renegociada (% da carteira de crédito bruta)</t>
  </si>
  <si>
    <t>Coverage Ratio</t>
  </si>
  <si>
    <t>(÷) Total provision</t>
  </si>
  <si>
    <t>(÷) Provisão total</t>
  </si>
  <si>
    <t>Provision for expected loss</t>
  </si>
  <si>
    <t>Perda esperada por redução ao valor recuperável</t>
  </si>
  <si>
    <t>Provision for expected credit losses on loan commitments</t>
  </si>
  <si>
    <t>Provisões sobre compromissos de empréstimos</t>
  </si>
  <si>
    <t>Choose Language / Escolha o Idioma:</t>
  </si>
  <si>
    <t>1.</t>
  </si>
  <si>
    <t>2.</t>
  </si>
  <si>
    <t>3.</t>
  </si>
  <si>
    <t>4.</t>
  </si>
  <si>
    <t>5.</t>
  </si>
  <si>
    <t>6.</t>
  </si>
  <si>
    <t>7.</t>
  </si>
  <si>
    <t>7.1.</t>
  </si>
  <si>
    <t>7.2.</t>
  </si>
  <si>
    <t>7.3.</t>
  </si>
  <si>
    <t>7.4.</t>
  </si>
  <si>
    <t>7.5.</t>
  </si>
  <si>
    <t>7.6.</t>
  </si>
  <si>
    <t>QoQ Variation</t>
  </si>
  <si>
    <t>YoY Variation</t>
  </si>
  <si>
    <t>-</t>
  </si>
  <si>
    <t>7,147,341
Margin on the Tier I Required Reference Equity 5,719,735 6</t>
  </si>
  <si>
    <t xml:space="preserve"> </t>
  </si>
  <si>
    <t>Debit TPV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</si>
</sst>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00_);_(* \(#,##0.00\);_(* &quot;-&quot;??_);_(@_)"/>
    <numFmt numFmtId="165" formatCode="_-* #,##0_-;\-* #,##0_-;_-* &quot;-&quot;??_-;_-@_-"/>
    <numFmt numFmtId="166" formatCode="#,###;\(#,###\)"/>
    <numFmt numFmtId="167" formatCode="#,##0_ ;\-#,##0\ "/>
    <numFmt numFmtId="168" formatCode="0.0%"/>
    <numFmt numFmtId="169" formatCode="#,###.0;\(#,###.0\)"/>
    <numFmt numFmtId="170" formatCode="_-* #,##0.0_-;\-* #,##0.0_-;_-* &quot;-&quot;??_-;_-@_-"/>
    <numFmt numFmtId="171" formatCode="\ _(* #,##0_);_(* \(#,##0\);_(* &quot;-&quot;_);_(@_)"/>
    <numFmt numFmtId="172" formatCode="_(* #,##0_);_(* \(#,##0\);_(* &quot;-&quot;??_);_(@_)"/>
    <numFmt numFmtId="173" formatCode="0.000"/>
    <numFmt numFmtId="174" formatCode="0.0"/>
    <numFmt numFmtId="175" formatCode="_(* #,##0.0_);_(* \(#,##0.0\);_(* &quot;-&quot;??_);_(@_)"/>
    <numFmt numFmtId="176" formatCode="#,##0.0_ ;\-#,##0.0\ "/>
    <numFmt numFmtId="177" formatCode="#,##0.0;\(#,##0.0\)"/>
    <numFmt numFmtId="178" formatCode="\+\ 0%;\ \-\ 0\ %"/>
    <numFmt numFmtId="179" formatCode="\+\ #,##0%;\ \-\ #,##0%"/>
    <numFmt numFmtId="180" formatCode="#,##0.0%"/>
    <numFmt numFmtId="181" formatCode="#,##0%"/>
    <numFmt numFmtId="182" formatCode="\+\ 0.0\ &quot;p.p.&quot;;\ \-\ 0.0\ &quot;p.p.&quot;"/>
    <numFmt numFmtId="183" formatCode="\+0.0%;\ \-0.0%"/>
    <numFmt numFmtId="184" formatCode="0.00000000000000%"/>
  </numFmts>
  <fonts count="52">
    <font>
      <sz val="11"/>
      <color theme="1"/>
      <name val="Calibri"/>
      <family val="2"/>
      <scheme val="minor"/>
    </font>
    <font>
      <sz val="11"/>
      <color theme="1"/>
      <name val="Calibri"/>
      <family val="2"/>
      <scheme val="minor"/>
    </font>
    <font>
      <sz val="10"/>
      <name val="Arial"/>
      <family val="2"/>
    </font>
    <font>
      <sz val="9"/>
      <color theme="1"/>
      <name val="Calibri Light"/>
      <family val="2"/>
    </font>
    <font>
      <sz val="10"/>
      <color theme="1"/>
      <name val="Calibri"/>
      <family val="2"/>
    </font>
    <font>
      <b/>
      <sz val="12"/>
      <color theme="9"/>
      <name val="Gotham"/>
      <family val="3"/>
    </font>
    <font>
      <sz val="8"/>
      <name val="Calibri"/>
      <family val="2"/>
      <scheme val="minor"/>
    </font>
    <font>
      <u/>
      <sz val="11"/>
      <color theme="10"/>
      <name val="Calibri"/>
      <family val="2"/>
      <scheme val="minor"/>
    </font>
    <font>
      <u/>
      <sz val="11"/>
      <color theme="1"/>
      <name val="Calibri"/>
      <family val="2"/>
      <scheme val="minor"/>
    </font>
    <font>
      <sz val="11"/>
      <color theme="1"/>
      <name val="Calibri"/>
      <family val="2"/>
    </font>
    <font>
      <sz val="16"/>
      <color theme="1"/>
      <name val="Calibri"/>
      <family val="2"/>
    </font>
    <font>
      <b/>
      <sz val="16"/>
      <color theme="1"/>
      <name val="Calibri"/>
      <family val="2"/>
    </font>
    <font>
      <sz val="18"/>
      <color theme="1"/>
      <name val="Calibri"/>
      <family val="2"/>
    </font>
    <font>
      <sz val="18"/>
      <color theme="0"/>
      <name val="Calibri"/>
      <family val="2"/>
    </font>
    <font>
      <b/>
      <sz val="18"/>
      <color theme="0"/>
      <name val="Calibri"/>
      <family val="2"/>
    </font>
    <font>
      <b/>
      <i/>
      <sz val="14"/>
      <color theme="0"/>
      <name val="Calibri"/>
      <family val="2"/>
    </font>
    <font>
      <b/>
      <sz val="14"/>
      <color theme="1"/>
      <name val="Calibri"/>
      <family val="2"/>
    </font>
    <font>
      <b/>
      <sz val="36"/>
      <color rgb="FFFF8700"/>
      <name val="Calibri"/>
      <family val="2"/>
    </font>
    <font>
      <b/>
      <i/>
      <sz val="14"/>
      <color theme="1"/>
      <name val="Calibri"/>
      <family val="2"/>
    </font>
    <font>
      <b/>
      <sz val="24"/>
      <color theme="1"/>
      <name val="Calibri"/>
      <family val="2"/>
    </font>
    <font>
      <b/>
      <sz val="16"/>
      <color rgb="FFFF8700"/>
      <name val="Calibri"/>
      <family val="2"/>
    </font>
    <font>
      <b/>
      <sz val="11"/>
      <color theme="1"/>
      <name val="Calibri"/>
      <family val="2"/>
    </font>
    <font>
      <b/>
      <sz val="11"/>
      <color theme="0"/>
      <name val="Calibri"/>
      <family val="2"/>
    </font>
    <font>
      <b/>
      <u/>
      <sz val="11"/>
      <color theme="0"/>
      <name val="Calibri"/>
      <family val="2"/>
    </font>
    <font>
      <b/>
      <i/>
      <u/>
      <sz val="11"/>
      <color theme="0"/>
      <name val="Calibri"/>
      <family val="2"/>
    </font>
    <font>
      <sz val="11"/>
      <name val="Calibri"/>
      <family val="2"/>
    </font>
    <font>
      <b/>
      <sz val="11"/>
      <name val="Calibri"/>
      <family val="2"/>
    </font>
    <font>
      <i/>
      <sz val="11"/>
      <name val="Calibri"/>
      <family val="2"/>
    </font>
    <font>
      <sz val="11"/>
      <color theme="0"/>
      <name val="Calibri"/>
      <family val="2"/>
    </font>
    <font>
      <sz val="11"/>
      <color rgb="FFFF0000"/>
      <name val="Calibri"/>
      <family val="2"/>
    </font>
    <font>
      <i/>
      <sz val="11"/>
      <color theme="1"/>
      <name val="Calibri"/>
      <family val="2"/>
    </font>
    <font>
      <sz val="14"/>
      <color theme="1"/>
      <name val="Calibri"/>
      <family val="2"/>
    </font>
    <font>
      <b/>
      <sz val="12"/>
      <color theme="1"/>
      <name val="Calibri"/>
      <family val="2"/>
    </font>
    <font>
      <sz val="12"/>
      <color theme="1"/>
      <name val="Calibri"/>
      <family val="2"/>
    </font>
    <font>
      <b/>
      <sz val="12"/>
      <color rgb="FFFE7800"/>
      <name val="Calibri"/>
      <family val="2"/>
    </font>
    <font>
      <b/>
      <sz val="12"/>
      <color theme="0" tint="-0.499984740745262"/>
      <name val="Calibri"/>
      <family val="2"/>
    </font>
    <font>
      <b/>
      <sz val="12"/>
      <color rgb="FF808080"/>
      <name val="Calibri"/>
      <family val="2"/>
    </font>
    <font>
      <b/>
      <i/>
      <sz val="12"/>
      <color rgb="FF808080"/>
      <name val="Calibri"/>
      <family val="2"/>
    </font>
    <font>
      <b/>
      <u/>
      <sz val="12"/>
      <color theme="1"/>
      <name val="Calibri"/>
      <family val="2"/>
    </font>
    <font>
      <b/>
      <i/>
      <sz val="10"/>
      <color rgb="FF808080"/>
      <name val="Calibri"/>
      <family val="2"/>
    </font>
    <font>
      <b/>
      <sz val="11"/>
      <color theme="1"/>
      <name val="Calibri"/>
      <family val="2"/>
      <scheme val="minor"/>
    </font>
    <font>
      <sz val="11"/>
      <color rgb="FF000000"/>
      <name val="Calibri"/>
      <family val="2"/>
      <scheme val="minor"/>
    </font>
    <font>
      <b/>
      <sz val="9"/>
      <color theme="0" tint="-0.499984740745262"/>
      <name val="Calibri"/>
      <family val="2"/>
    </font>
    <font>
      <b/>
      <sz val="10"/>
      <color theme="0"/>
      <name val="Calibri"/>
      <family val="2"/>
    </font>
    <font>
      <b/>
      <sz val="10"/>
      <color theme="1"/>
      <name val="Calibri"/>
      <family val="2"/>
    </font>
    <font>
      <sz val="10"/>
      <name val="Calibri"/>
      <family val="2"/>
    </font>
    <font>
      <b/>
      <sz val="8"/>
      <color theme="1"/>
      <name val="Calibri"/>
      <family val="2"/>
    </font>
    <font>
      <b/>
      <i/>
      <sz val="12"/>
      <color theme="0" tint="-0.499984740745262"/>
      <name val="Calibri"/>
      <family val="2"/>
    </font>
    <font>
      <b/>
      <sz val="12"/>
      <color rgb="FFEB7100"/>
      <name val="Calibri"/>
      <family val="2"/>
    </font>
    <font>
      <b/>
      <i/>
      <sz val="12"/>
      <color rgb="FFEB7100"/>
      <name val="Calibri"/>
      <family val="2"/>
    </font>
    <font>
      <b/>
      <sz val="20"/>
      <color rgb="FFEB7100"/>
      <name val="Calibri"/>
      <family val="2"/>
    </font>
    <font>
      <b/>
      <sz val="14"/>
      <color rgb="FFEB7100"/>
      <name val="Calibri"/>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DE4D6"/>
        <bgColor indexed="64"/>
      </patternFill>
    </fill>
    <fill>
      <patternFill patternType="solid">
        <fgColor rgb="FFEB7100"/>
        <bgColor indexed="64"/>
      </patternFill>
    </fill>
  </fills>
  <borders count="13">
    <border>
      <left/>
      <right/>
      <top/>
      <bottom/>
      <diagonal/>
    </border>
    <border>
      <left/>
      <right/>
      <top/>
      <bottom style="thin">
        <color rgb="FFFF8700"/>
      </bottom>
      <diagonal/>
    </border>
    <border>
      <left/>
      <right/>
      <top/>
      <bottom style="medium">
        <color rgb="FFF65E01"/>
      </bottom>
      <diagonal/>
    </border>
    <border>
      <left/>
      <right/>
      <top style="thin">
        <color rgb="FFFB7800"/>
      </top>
      <bottom/>
      <diagonal/>
    </border>
    <border>
      <left/>
      <right/>
      <top style="thin">
        <color rgb="FFFF87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rgb="FFFE7800"/>
      </bottom>
      <diagonal/>
    </border>
    <border>
      <left/>
      <right/>
      <top style="thin">
        <color rgb="FFFE7800"/>
      </top>
      <bottom/>
      <diagonal/>
    </border>
    <border>
      <left/>
      <right/>
      <top/>
      <bottom style="thin">
        <color auto="1"/>
      </bottom>
      <diagonal/>
    </border>
    <border>
      <left/>
      <right/>
      <top/>
      <bottom style="thin">
        <color rgb="FFEB7100"/>
      </bottom>
      <diagonal/>
    </border>
    <border>
      <left/>
      <right/>
      <top style="thin">
        <color rgb="FFEB7100"/>
      </top>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3" fillId="0" borderId="0"/>
    <xf numFmtId="0" fontId="4" fillId="0" borderId="0"/>
    <xf numFmtId="164" fontId="4" fillId="0" borderId="0" applyFont="0" applyFill="0" applyBorder="0" applyAlignment="0" applyProtection="0"/>
    <xf numFmtId="164" fontId="2" fillId="0" borderId="0" applyFont="0" applyFill="0" applyBorder="0" applyAlignment="0" applyProtection="0"/>
    <xf numFmtId="0" fontId="5" fillId="0" borderId="2" applyFont="0" applyFill="0" applyAlignment="0">
      <alignment vertical="center"/>
    </xf>
    <xf numFmtId="0" fontId="4" fillId="0" borderId="0"/>
    <xf numFmtId="0" fontId="1" fillId="0" borderId="0"/>
    <xf numFmtId="0" fontId="7" fillId="0" borderId="0" applyNumberFormat="0" applyFill="0" applyBorder="0" applyAlignment="0" applyProtection="0"/>
  </cellStyleXfs>
  <cellXfs count="509">
    <xf numFmtId="0" fontId="0" fillId="0" borderId="0" xfId="0"/>
    <xf numFmtId="0" fontId="2" fillId="0" borderId="0" xfId="0" applyFont="1" applyAlignment="1">
      <alignment vertical="center"/>
    </xf>
    <xf numFmtId="0" fontId="0" fillId="0" borderId="0" xfId="0" applyAlignment="1">
      <alignment horizontal="left"/>
    </xf>
    <xf numFmtId="0" fontId="8" fillId="0" borderId="0" xfId="0" applyFont="1"/>
    <xf numFmtId="0" fontId="0" fillId="0" borderId="0" xfId="0" applyProtection="1">
      <protection hidden="1"/>
    </xf>
    <xf numFmtId="165" fontId="26" fillId="0" borderId="0" xfId="1" applyNumberFormat="1" applyFont="1" applyFill="1" applyBorder="1" applyAlignment="1" applyProtection="1">
      <alignment horizontal="left" vertical="center" wrapText="1"/>
      <protection locked="0" hidden="1"/>
    </xf>
    <xf numFmtId="165" fontId="9" fillId="0" borderId="0" xfId="1" applyNumberFormat="1" applyFont="1" applyFill="1" applyBorder="1" applyAlignment="1" applyProtection="1">
      <alignment vertical="center" wrapText="1"/>
      <protection locked="0" hidden="1"/>
    </xf>
    <xf numFmtId="165" fontId="26" fillId="0" borderId="1" xfId="1" applyNumberFormat="1" applyFont="1" applyFill="1" applyBorder="1" applyAlignment="1" applyProtection="1">
      <alignment horizontal="left" vertical="center" wrapText="1"/>
      <protection locked="0" hidden="1"/>
    </xf>
    <xf numFmtId="165" fontId="26" fillId="0" borderId="4" xfId="1" applyNumberFormat="1" applyFont="1" applyFill="1" applyBorder="1" applyAlignment="1" applyProtection="1">
      <alignment horizontal="left" vertical="center" wrapText="1"/>
      <protection locked="0" hidden="1"/>
    </xf>
    <xf numFmtId="165" fontId="26" fillId="0" borderId="1" xfId="1" applyNumberFormat="1" applyFont="1" applyFill="1" applyBorder="1" applyAlignment="1" applyProtection="1">
      <alignment vertical="center" wrapText="1"/>
      <protection locked="0" hidden="1"/>
    </xf>
    <xf numFmtId="0" fontId="9" fillId="4" borderId="0" xfId="0" applyFont="1" applyFill="1" applyProtection="1">
      <protection locked="0" hidden="1"/>
    </xf>
    <xf numFmtId="0" fontId="21" fillId="0" borderId="0" xfId="0" applyFont="1" applyAlignment="1" applyProtection="1">
      <alignment vertical="center"/>
      <protection locked="0" hidden="1"/>
    </xf>
    <xf numFmtId="0" fontId="22" fillId="0" borderId="0" xfId="0" applyFont="1" applyAlignment="1" applyProtection="1">
      <alignment vertical="center"/>
      <protection locked="0" hidden="1"/>
    </xf>
    <xf numFmtId="165" fontId="22" fillId="0" borderId="0" xfId="1" applyNumberFormat="1" applyFont="1" applyFill="1" applyBorder="1" applyAlignment="1" applyProtection="1">
      <alignment horizontal="right" vertical="center"/>
      <protection locked="0" hidden="1"/>
    </xf>
    <xf numFmtId="0" fontId="23" fillId="0" borderId="0" xfId="11" applyFont="1" applyFill="1" applyBorder="1" applyAlignment="1" applyProtection="1">
      <alignment horizontal="left" vertical="center"/>
      <protection locked="0" hidden="1"/>
    </xf>
    <xf numFmtId="0" fontId="24" fillId="0" borderId="0" xfId="0" applyFont="1" applyAlignment="1" applyProtection="1">
      <alignment vertical="center"/>
      <protection locked="0" hidden="1"/>
    </xf>
    <xf numFmtId="0" fontId="21" fillId="0" borderId="0" xfId="0" applyFont="1" applyAlignment="1" applyProtection="1">
      <alignment horizontal="left" vertical="center"/>
      <protection locked="0" hidden="1"/>
    </xf>
    <xf numFmtId="0" fontId="9" fillId="0" borderId="0" xfId="0" applyFont="1" applyAlignment="1" applyProtection="1">
      <alignment vertical="center"/>
      <protection locked="0" hidden="1"/>
    </xf>
    <xf numFmtId="0" fontId="25" fillId="0" borderId="0" xfId="0" applyFont="1" applyAlignment="1" applyProtection="1">
      <alignment horizontal="left" vertical="center" indent="1"/>
      <protection locked="0" hidden="1"/>
    </xf>
    <xf numFmtId="0" fontId="27" fillId="0" borderId="0" xfId="0" applyFont="1" applyAlignment="1" applyProtection="1">
      <alignment horizontal="left" vertical="center" indent="4"/>
      <protection locked="0" hidden="1"/>
    </xf>
    <xf numFmtId="0" fontId="9" fillId="0" borderId="0" xfId="0" applyFont="1" applyAlignment="1" applyProtection="1">
      <alignment horizontal="left" vertical="center"/>
      <protection locked="0" hidden="1"/>
    </xf>
    <xf numFmtId="0" fontId="34" fillId="0" borderId="0" xfId="0" applyFont="1" applyAlignment="1" applyProtection="1">
      <alignment horizontal="left" vertical="center"/>
      <protection locked="0" hidden="1"/>
    </xf>
    <xf numFmtId="1" fontId="35" fillId="0" borderId="0" xfId="1" applyNumberFormat="1" applyFont="1" applyFill="1" applyBorder="1" applyAlignment="1" applyProtection="1">
      <alignment horizontal="center" vertical="center"/>
      <protection locked="0" hidden="1"/>
    </xf>
    <xf numFmtId="165" fontId="35" fillId="0" borderId="0" xfId="1" applyNumberFormat="1" applyFont="1" applyFill="1" applyBorder="1" applyAlignment="1" applyProtection="1">
      <alignment horizontal="center" vertical="center"/>
      <protection locked="0" hidden="1"/>
    </xf>
    <xf numFmtId="0" fontId="25" fillId="4" borderId="0" xfId="0" applyFont="1" applyFill="1" applyAlignment="1" applyProtection="1">
      <alignment horizontal="left" vertical="center" indent="1"/>
      <protection locked="0" hidden="1"/>
    </xf>
    <xf numFmtId="0" fontId="27" fillId="4" borderId="0" xfId="0" applyFont="1" applyFill="1" applyAlignment="1" applyProtection="1">
      <alignment horizontal="left" vertical="center" indent="4"/>
      <protection locked="0" hidden="1"/>
    </xf>
    <xf numFmtId="165" fontId="26" fillId="4" borderId="0" xfId="1" applyNumberFormat="1" applyFont="1" applyFill="1" applyBorder="1" applyAlignment="1" applyProtection="1">
      <alignment horizontal="left" vertical="center" wrapText="1"/>
      <protection locked="0" hidden="1"/>
    </xf>
    <xf numFmtId="0" fontId="9" fillId="0" borderId="0" xfId="0" applyFont="1" applyProtection="1">
      <protection locked="0" hidden="1"/>
    </xf>
    <xf numFmtId="0" fontId="21" fillId="0" borderId="0" xfId="0" applyFont="1" applyProtection="1">
      <protection locked="0" hidden="1"/>
    </xf>
    <xf numFmtId="0" fontId="9" fillId="0" borderId="0" xfId="0" applyFont="1" applyAlignment="1" applyProtection="1">
      <alignment horizontal="left" indent="1"/>
      <protection locked="0" hidden="1"/>
    </xf>
    <xf numFmtId="175" fontId="32" fillId="0" borderId="0" xfId="1" applyNumberFormat="1" applyFont="1" applyFill="1" applyBorder="1" applyAlignment="1" applyProtection="1">
      <alignment horizontal="right" vertical="center"/>
      <protection locked="0" hidden="1"/>
    </xf>
    <xf numFmtId="172" fontId="32" fillId="0" borderId="0" xfId="1" applyNumberFormat="1" applyFont="1" applyFill="1" applyBorder="1" applyAlignment="1" applyProtection="1">
      <alignment horizontal="right" vertical="center"/>
      <protection locked="0" hidden="1"/>
    </xf>
    <xf numFmtId="175" fontId="33" fillId="0" borderId="0" xfId="1" applyNumberFormat="1" applyFont="1" applyFill="1" applyBorder="1" applyAlignment="1" applyProtection="1">
      <alignment horizontal="right" vertical="center"/>
      <protection locked="0" hidden="1"/>
    </xf>
    <xf numFmtId="0" fontId="32" fillId="0" borderId="0" xfId="0" applyFont="1" applyAlignment="1" applyProtection="1">
      <alignment horizontal="center" vertical="center"/>
      <protection locked="0" hidden="1"/>
    </xf>
    <xf numFmtId="0" fontId="33" fillId="0" borderId="0" xfId="0" applyFont="1" applyAlignment="1" applyProtection="1">
      <alignment vertical="center" wrapText="1"/>
      <protection locked="0" hidden="1"/>
    </xf>
    <xf numFmtId="0" fontId="33" fillId="0" borderId="0" xfId="0" applyFont="1" applyAlignment="1" applyProtection="1">
      <alignment horizontal="center" vertical="center" wrapText="1"/>
      <protection locked="0" hidden="1"/>
    </xf>
    <xf numFmtId="168" fontId="33" fillId="0" borderId="0" xfId="2" applyNumberFormat="1" applyFont="1" applyFill="1" applyBorder="1" applyAlignment="1" applyProtection="1">
      <alignment horizontal="center" vertical="center" wrapText="1"/>
      <protection locked="0" hidden="1"/>
    </xf>
    <xf numFmtId="0" fontId="21" fillId="4" borderId="0" xfId="0" applyFont="1" applyFill="1" applyAlignment="1" applyProtection="1">
      <alignment vertical="center"/>
      <protection locked="0" hidden="1"/>
    </xf>
    <xf numFmtId="175" fontId="32" fillId="0" borderId="9" xfId="1" applyNumberFormat="1" applyFont="1" applyFill="1" applyBorder="1" applyAlignment="1" applyProtection="1">
      <alignment horizontal="right" vertical="center"/>
      <protection locked="0" hidden="1"/>
    </xf>
    <xf numFmtId="172" fontId="32" fillId="4" borderId="0" xfId="1" applyNumberFormat="1" applyFont="1" applyFill="1" applyBorder="1" applyAlignment="1" applyProtection="1">
      <alignment horizontal="right" vertical="center"/>
      <protection locked="0" hidden="1"/>
    </xf>
    <xf numFmtId="175" fontId="32" fillId="4" borderId="9" xfId="1" applyNumberFormat="1" applyFont="1" applyFill="1" applyBorder="1" applyAlignment="1" applyProtection="1">
      <alignment horizontal="right" vertical="center"/>
      <protection locked="0" hidden="1"/>
    </xf>
    <xf numFmtId="175" fontId="16" fillId="6" borderId="9" xfId="1" applyNumberFormat="1" applyFont="1" applyFill="1" applyBorder="1" applyAlignment="1" applyProtection="1">
      <alignment horizontal="right" vertical="center"/>
      <protection locked="0" hidden="1"/>
    </xf>
    <xf numFmtId="175" fontId="16" fillId="6" borderId="0" xfId="1" applyNumberFormat="1" applyFont="1" applyFill="1" applyBorder="1" applyAlignment="1" applyProtection="1">
      <alignment horizontal="right" vertical="center"/>
      <protection locked="0" hidden="1"/>
    </xf>
    <xf numFmtId="172" fontId="32" fillId="2" borderId="0" xfId="1" applyNumberFormat="1" applyFont="1" applyFill="1" applyBorder="1" applyAlignment="1" applyProtection="1">
      <alignment horizontal="right" vertical="center"/>
      <protection locked="0" hidden="1"/>
    </xf>
    <xf numFmtId="0" fontId="33" fillId="0" borderId="0" xfId="0" applyFont="1" applyAlignment="1" applyProtection="1">
      <alignment vertical="center"/>
      <protection locked="0" hidden="1"/>
    </xf>
    <xf numFmtId="0" fontId="32" fillId="0" borderId="0" xfId="0" applyFont="1" applyAlignment="1" applyProtection="1">
      <alignment horizontal="left" vertical="center"/>
      <protection locked="0" hidden="1"/>
    </xf>
    <xf numFmtId="0" fontId="36" fillId="0" borderId="0" xfId="0" applyFont="1" applyAlignment="1" applyProtection="1">
      <alignment horizontal="center" vertical="center"/>
      <protection locked="0" hidden="1"/>
    </xf>
    <xf numFmtId="0" fontId="34" fillId="0" borderId="0" xfId="0" applyFont="1" applyAlignment="1" applyProtection="1">
      <alignment horizontal="center" vertical="center"/>
      <protection locked="0" hidden="1"/>
    </xf>
    <xf numFmtId="0" fontId="33" fillId="0" borderId="0" xfId="0" applyFont="1" applyAlignment="1" applyProtection="1">
      <alignment horizontal="left" vertical="center"/>
      <protection locked="0" hidden="1"/>
    </xf>
    <xf numFmtId="172" fontId="33" fillId="0" borderId="0" xfId="0" applyNumberFormat="1" applyFont="1" applyAlignment="1" applyProtection="1">
      <alignment vertical="center"/>
      <protection locked="0" hidden="1"/>
    </xf>
    <xf numFmtId="172" fontId="31" fillId="6" borderId="0" xfId="0" applyNumberFormat="1" applyFont="1" applyFill="1" applyAlignment="1" applyProtection="1">
      <alignment vertical="center"/>
      <protection locked="0" hidden="1"/>
    </xf>
    <xf numFmtId="0" fontId="33" fillId="4" borderId="0" xfId="0" applyFont="1" applyFill="1" applyAlignment="1" applyProtection="1">
      <alignment horizontal="left" vertical="center"/>
      <protection locked="0" hidden="1"/>
    </xf>
    <xf numFmtId="172" fontId="33" fillId="4" borderId="0" xfId="0" applyNumberFormat="1" applyFont="1" applyFill="1" applyAlignment="1" applyProtection="1">
      <alignment vertical="center"/>
      <protection locked="0" hidden="1"/>
    </xf>
    <xf numFmtId="0" fontId="32" fillId="0" borderId="9" xfId="0" applyFont="1" applyBorder="1" applyAlignment="1" applyProtection="1">
      <alignment horizontal="left" vertical="center"/>
      <protection locked="0" hidden="1"/>
    </xf>
    <xf numFmtId="175" fontId="33" fillId="4" borderId="0" xfId="0" applyNumberFormat="1" applyFont="1" applyFill="1" applyAlignment="1" applyProtection="1">
      <alignment vertical="center"/>
      <protection locked="0" hidden="1"/>
    </xf>
    <xf numFmtId="175" fontId="31" fillId="6" borderId="0" xfId="0" applyNumberFormat="1" applyFont="1" applyFill="1" applyAlignment="1" applyProtection="1">
      <alignment vertical="center"/>
      <protection locked="0" hidden="1"/>
    </xf>
    <xf numFmtId="175" fontId="33" fillId="0" borderId="0" xfId="0" applyNumberFormat="1" applyFont="1" applyAlignment="1" applyProtection="1">
      <alignment vertical="center"/>
      <protection locked="0" hidden="1"/>
    </xf>
    <xf numFmtId="0" fontId="32" fillId="4" borderId="9" xfId="0" applyFont="1" applyFill="1" applyBorder="1" applyAlignment="1" applyProtection="1">
      <alignment horizontal="left" vertical="center"/>
      <protection locked="0" hidden="1"/>
    </xf>
    <xf numFmtId="168" fontId="33" fillId="0" borderId="0" xfId="2" applyNumberFormat="1" applyFont="1" applyFill="1" applyBorder="1" applyAlignment="1" applyProtection="1">
      <alignment horizontal="center" vertical="center"/>
      <protection locked="0" hidden="1"/>
    </xf>
    <xf numFmtId="0" fontId="33" fillId="0" borderId="0" xfId="0" applyFont="1" applyAlignment="1" applyProtection="1">
      <alignment horizontal="center" vertical="center"/>
      <protection locked="0" hidden="1"/>
    </xf>
    <xf numFmtId="0" fontId="31" fillId="2" borderId="0" xfId="0" applyFont="1" applyFill="1" applyAlignment="1" applyProtection="1">
      <alignment vertical="center"/>
      <protection locked="0" hidden="1"/>
    </xf>
    <xf numFmtId="0" fontId="33" fillId="2" borderId="0" xfId="0" applyFont="1" applyFill="1" applyAlignment="1" applyProtection="1">
      <alignment vertical="center"/>
      <protection locked="0" hidden="1"/>
    </xf>
    <xf numFmtId="0" fontId="31" fillId="0" borderId="0" xfId="0" applyFont="1" applyAlignment="1" applyProtection="1">
      <alignment vertical="center"/>
      <protection locked="0" hidden="1"/>
    </xf>
    <xf numFmtId="0" fontId="32" fillId="4" borderId="0" xfId="0" applyFont="1" applyFill="1" applyAlignment="1" applyProtection="1">
      <alignment vertical="center"/>
      <protection locked="0" hidden="1"/>
    </xf>
    <xf numFmtId="0" fontId="33" fillId="4" borderId="0" xfId="0" applyFont="1" applyFill="1" applyAlignment="1" applyProtection="1">
      <alignment vertical="center"/>
      <protection locked="0" hidden="1"/>
    </xf>
    <xf numFmtId="0" fontId="31" fillId="4" borderId="0" xfId="0" applyFont="1" applyFill="1" applyAlignment="1" applyProtection="1">
      <alignment vertical="center"/>
      <protection locked="0" hidden="1"/>
    </xf>
    <xf numFmtId="0" fontId="33" fillId="4" borderId="0" xfId="0" applyFont="1" applyFill="1" applyAlignment="1" applyProtection="1">
      <alignment horizontal="center" vertical="center"/>
      <protection locked="0" hidden="1"/>
    </xf>
    <xf numFmtId="43" fontId="33" fillId="4" borderId="0" xfId="0" applyNumberFormat="1" applyFont="1" applyFill="1" applyAlignment="1" applyProtection="1">
      <alignment vertical="center"/>
      <protection locked="0" hidden="1"/>
    </xf>
    <xf numFmtId="0" fontId="33" fillId="4" borderId="0" xfId="0" applyFont="1" applyFill="1" applyAlignment="1" applyProtection="1">
      <alignment horizontal="center" vertical="center" wrapText="1"/>
      <protection locked="0" hidden="1"/>
    </xf>
    <xf numFmtId="0" fontId="38" fillId="4" borderId="0" xfId="0" applyFont="1" applyFill="1" applyAlignment="1" applyProtection="1">
      <alignment vertical="center"/>
      <protection locked="0" hidden="1"/>
    </xf>
    <xf numFmtId="0" fontId="32" fillId="4" borderId="0" xfId="0" applyFont="1" applyFill="1" applyAlignment="1" applyProtection="1">
      <alignment horizontal="center" vertical="center"/>
      <protection locked="0" hidden="1"/>
    </xf>
    <xf numFmtId="168" fontId="9" fillId="0" borderId="0" xfId="2" applyNumberFormat="1" applyFont="1" applyFill="1" applyBorder="1" applyAlignment="1" applyProtection="1">
      <alignment horizontal="center" vertical="center"/>
      <protection locked="0" hidden="1"/>
    </xf>
    <xf numFmtId="0" fontId="33" fillId="2" borderId="0" xfId="0" applyFont="1" applyFill="1" applyAlignment="1" applyProtection="1">
      <alignment horizontal="center" vertical="center"/>
      <protection locked="0" hidden="1"/>
    </xf>
    <xf numFmtId="0" fontId="32" fillId="2" borderId="0" xfId="0" applyFont="1" applyFill="1" applyAlignment="1" applyProtection="1">
      <alignment horizontal="center" vertical="center"/>
      <protection locked="0" hidden="1"/>
    </xf>
    <xf numFmtId="0" fontId="38" fillId="2" borderId="0" xfId="0" applyFont="1" applyFill="1" applyAlignment="1" applyProtection="1">
      <alignment vertical="center"/>
      <protection locked="0" hidden="1"/>
    </xf>
    <xf numFmtId="168" fontId="32" fillId="6" borderId="0" xfId="2" applyNumberFormat="1" applyFont="1" applyFill="1" applyBorder="1" applyAlignment="1" applyProtection="1">
      <alignment horizontal="center" vertical="center" wrapText="1"/>
      <protection locked="0" hidden="1"/>
    </xf>
    <xf numFmtId="9" fontId="33" fillId="4" borderId="0" xfId="2" applyFont="1" applyFill="1" applyBorder="1" applyAlignment="1" applyProtection="1">
      <alignment vertical="center"/>
      <protection locked="0" hidden="1"/>
    </xf>
    <xf numFmtId="168" fontId="32" fillId="7" borderId="0" xfId="0" applyNumberFormat="1" applyFont="1" applyFill="1" applyAlignment="1" applyProtection="1">
      <alignment horizontal="center" vertical="center"/>
      <protection locked="0" hidden="1"/>
    </xf>
    <xf numFmtId="0" fontId="22" fillId="0" borderId="0" xfId="0" applyFont="1" applyAlignment="1" applyProtection="1">
      <alignment horizontal="left" vertical="center"/>
      <protection locked="0" hidden="1"/>
    </xf>
    <xf numFmtId="0" fontId="9" fillId="0" borderId="0" xfId="0" applyFont="1" applyAlignment="1" applyProtection="1">
      <alignment horizontal="right"/>
      <protection locked="0" hidden="1"/>
    </xf>
    <xf numFmtId="0" fontId="25" fillId="0" borderId="0" xfId="0" applyFont="1" applyAlignment="1" applyProtection="1">
      <alignment horizontal="left" vertical="center" indent="3"/>
      <protection locked="0" hidden="1"/>
    </xf>
    <xf numFmtId="0" fontId="26" fillId="0" borderId="0" xfId="0" applyFont="1" applyAlignment="1" applyProtection="1">
      <alignment vertical="center"/>
      <protection locked="0" hidden="1"/>
    </xf>
    <xf numFmtId="0" fontId="25" fillId="0" borderId="0" xfId="0" applyFont="1" applyAlignment="1" applyProtection="1">
      <alignment horizontal="left" indent="1"/>
      <protection locked="0" hidden="1"/>
    </xf>
    <xf numFmtId="0" fontId="26" fillId="4" borderId="0" xfId="0" applyFont="1" applyFill="1" applyAlignment="1" applyProtection="1">
      <alignment vertical="center"/>
      <protection locked="0" hidden="1"/>
    </xf>
    <xf numFmtId="0" fontId="25" fillId="4" borderId="0" xfId="0" applyFont="1" applyFill="1" applyAlignment="1" applyProtection="1">
      <alignment horizontal="left" indent="1"/>
      <protection locked="0" hidden="1"/>
    </xf>
    <xf numFmtId="0" fontId="27" fillId="0" borderId="0" xfId="0" applyFont="1" applyAlignment="1" applyProtection="1">
      <alignment horizontal="left" indent="3"/>
      <protection locked="0" hidden="1"/>
    </xf>
    <xf numFmtId="0" fontId="27" fillId="0" borderId="0" xfId="0" applyFont="1" applyAlignment="1" applyProtection="1">
      <alignment horizontal="left" indent="4"/>
      <protection locked="0" hidden="1"/>
    </xf>
    <xf numFmtId="0" fontId="25" fillId="0" borderId="0" xfId="0" applyFont="1" applyAlignment="1" applyProtection="1">
      <alignment horizontal="left" vertical="center" wrapText="1" indent="1"/>
      <protection locked="0" hidden="1"/>
    </xf>
    <xf numFmtId="0" fontId="27" fillId="0" borderId="0" xfId="0" applyFont="1" applyAlignment="1" applyProtection="1">
      <alignment horizontal="left" vertical="center" indent="5"/>
      <protection locked="0" hidden="1"/>
    </xf>
    <xf numFmtId="165" fontId="34" fillId="0" borderId="0" xfId="1" applyNumberFormat="1" applyFont="1" applyFill="1" applyBorder="1" applyAlignment="1" applyProtection="1">
      <alignment horizontal="center" vertical="center"/>
      <protection locked="0" hidden="1"/>
    </xf>
    <xf numFmtId="0" fontId="27" fillId="4" borderId="0" xfId="0" applyFont="1" applyFill="1" applyAlignment="1" applyProtection="1">
      <alignment horizontal="left" indent="3"/>
      <protection locked="0" hidden="1"/>
    </xf>
    <xf numFmtId="0" fontId="27" fillId="4" borderId="0" xfId="0" applyFont="1" applyFill="1" applyAlignment="1" applyProtection="1">
      <alignment horizontal="left" indent="4"/>
      <protection locked="0" hidden="1"/>
    </xf>
    <xf numFmtId="0" fontId="25" fillId="4" borderId="0" xfId="0" applyFont="1" applyFill="1" applyAlignment="1" applyProtection="1">
      <alignment horizontal="left" vertical="center" wrapText="1" indent="1"/>
      <protection locked="0" hidden="1"/>
    </xf>
    <xf numFmtId="0" fontId="25" fillId="0" borderId="0" xfId="0" applyFont="1" applyAlignment="1" applyProtection="1">
      <alignment horizontal="left" wrapText="1"/>
      <protection locked="0" hidden="1"/>
    </xf>
    <xf numFmtId="0" fontId="27" fillId="4" borderId="0" xfId="0" applyFont="1" applyFill="1" applyAlignment="1" applyProtection="1">
      <alignment horizontal="left" vertical="center" indent="6"/>
      <protection locked="0" hidden="1"/>
    </xf>
    <xf numFmtId="0" fontId="30" fillId="0" borderId="0" xfId="0" applyFont="1" applyAlignment="1" applyProtection="1">
      <alignment horizontal="left" vertical="center" wrapText="1" indent="5"/>
      <protection locked="0" hidden="1"/>
    </xf>
    <xf numFmtId="0" fontId="9" fillId="0" borderId="0" xfId="0" applyFont="1" applyAlignment="1" applyProtection="1">
      <alignment horizontal="left" vertical="center" wrapText="1" indent="1"/>
      <protection locked="0" hidden="1"/>
    </xf>
    <xf numFmtId="0" fontId="30" fillId="0" borderId="0" xfId="0" applyFont="1" applyAlignment="1" applyProtection="1">
      <alignment horizontal="left" vertical="center" wrapText="1" indent="4"/>
      <protection locked="0" hidden="1"/>
    </xf>
    <xf numFmtId="0" fontId="30" fillId="0" borderId="0" xfId="0" applyFont="1" applyAlignment="1" applyProtection="1">
      <alignment horizontal="left" indent="5"/>
      <protection locked="0" hidden="1"/>
    </xf>
    <xf numFmtId="0" fontId="30" fillId="0" borderId="0" xfId="0" applyFont="1" applyAlignment="1" applyProtection="1">
      <alignment horizontal="left" indent="7"/>
      <protection locked="0" hidden="1"/>
    </xf>
    <xf numFmtId="0" fontId="30" fillId="4" borderId="0" xfId="0" applyFont="1" applyFill="1" applyAlignment="1" applyProtection="1">
      <alignment horizontal="left" vertical="center" wrapText="1" indent="5"/>
      <protection locked="0" hidden="1"/>
    </xf>
    <xf numFmtId="0" fontId="30" fillId="4" borderId="0" xfId="0" applyFont="1" applyFill="1" applyAlignment="1" applyProtection="1">
      <alignment horizontal="left" vertical="center" wrapText="1" indent="4"/>
      <protection locked="0" hidden="1"/>
    </xf>
    <xf numFmtId="0" fontId="9" fillId="4" borderId="0" xfId="0" applyFont="1" applyFill="1" applyAlignment="1" applyProtection="1">
      <alignment horizontal="left" vertical="center" wrapText="1" indent="1"/>
      <protection locked="0" hidden="1"/>
    </xf>
    <xf numFmtId="0" fontId="30" fillId="4" borderId="0" xfId="0" applyFont="1" applyFill="1" applyAlignment="1" applyProtection="1">
      <alignment horizontal="left" indent="7"/>
      <protection locked="0" hidden="1"/>
    </xf>
    <xf numFmtId="0" fontId="9" fillId="0" borderId="0" xfId="0" applyFont="1" applyAlignment="1" applyProtection="1">
      <alignment horizontal="left" vertical="center" wrapText="1"/>
      <protection locked="0" hidden="1"/>
    </xf>
    <xf numFmtId="0" fontId="26" fillId="0" borderId="0" xfId="0" applyFont="1" applyAlignment="1" applyProtection="1">
      <alignment horizontal="left" indent="1"/>
      <protection locked="0" hidden="1"/>
    </xf>
    <xf numFmtId="0" fontId="25" fillId="0" borderId="0" xfId="0" applyFont="1" applyAlignment="1" applyProtection="1">
      <alignment horizontal="left" indent="4"/>
      <protection locked="0" hidden="1"/>
    </xf>
    <xf numFmtId="0" fontId="21" fillId="0" borderId="0" xfId="0" applyFont="1" applyAlignment="1" applyProtection="1">
      <alignment horizontal="left" vertical="center" wrapText="1" indent="2"/>
      <protection locked="0" hidden="1"/>
    </xf>
    <xf numFmtId="165" fontId="25" fillId="4" borderId="0" xfId="1" applyNumberFormat="1" applyFont="1" applyFill="1" applyBorder="1" applyAlignment="1" applyProtection="1">
      <alignment horizontal="left" vertical="center" wrapText="1"/>
      <protection locked="0" hidden="1"/>
    </xf>
    <xf numFmtId="0" fontId="30" fillId="0" borderId="0" xfId="0" applyFont="1" applyAlignment="1" applyProtection="1">
      <alignment horizontal="left" indent="4"/>
      <protection locked="0" hidden="1"/>
    </xf>
    <xf numFmtId="0" fontId="27" fillId="4" borderId="0" xfId="0" applyFont="1" applyFill="1" applyAlignment="1" applyProtection="1">
      <alignment horizontal="left" vertical="center" wrapText="1" indent="3"/>
      <protection locked="0" hidden="1"/>
    </xf>
    <xf numFmtId="0" fontId="27" fillId="0" borderId="0" xfId="0" applyFont="1" applyAlignment="1" applyProtection="1">
      <alignment horizontal="left" vertical="center" wrapText="1" indent="3"/>
      <protection locked="0" hidden="1"/>
    </xf>
    <xf numFmtId="0" fontId="9" fillId="4" borderId="0" xfId="0" applyFont="1" applyFill="1" applyAlignment="1" applyProtection="1">
      <alignment horizontal="left" indent="1"/>
      <protection locked="0" hidden="1"/>
    </xf>
    <xf numFmtId="0" fontId="30" fillId="4" borderId="0" xfId="0" applyFont="1" applyFill="1" applyAlignment="1" applyProtection="1">
      <alignment horizontal="left" indent="4"/>
      <protection locked="0" hidden="1"/>
    </xf>
    <xf numFmtId="0" fontId="40" fillId="0" borderId="0" xfId="0" applyFont="1"/>
    <xf numFmtId="0" fontId="41" fillId="0" borderId="0" xfId="0" applyFont="1"/>
    <xf numFmtId="165" fontId="26" fillId="5" borderId="4" xfId="1" applyNumberFormat="1" applyFont="1" applyFill="1" applyBorder="1" applyAlignment="1" applyProtection="1">
      <alignment horizontal="left" vertical="center" wrapText="1"/>
      <protection locked="0" hidden="1"/>
    </xf>
    <xf numFmtId="0" fontId="27" fillId="5" borderId="0" xfId="0" applyFont="1" applyFill="1" applyAlignment="1" applyProtection="1">
      <alignment horizontal="left" indent="4"/>
      <protection locked="0" hidden="1"/>
    </xf>
    <xf numFmtId="165" fontId="25" fillId="5" borderId="0" xfId="1" applyNumberFormat="1" applyFont="1" applyFill="1" applyBorder="1" applyAlignment="1" applyProtection="1">
      <alignment horizontal="left" vertical="center" wrapText="1"/>
      <protection locked="0" hidden="1"/>
    </xf>
    <xf numFmtId="0" fontId="30" fillId="5" borderId="0" xfId="0" applyFont="1" applyFill="1" applyAlignment="1" applyProtection="1">
      <alignment horizontal="left" vertical="center" wrapText="1" indent="5"/>
      <protection locked="0" hidden="1"/>
    </xf>
    <xf numFmtId="0" fontId="9" fillId="5" borderId="0" xfId="0" applyFont="1" applyFill="1" applyAlignment="1" applyProtection="1">
      <alignment horizontal="left" vertical="center" wrapText="1"/>
      <protection locked="0" hidden="1"/>
    </xf>
    <xf numFmtId="0" fontId="0" fillId="0" borderId="0" xfId="0" applyAlignment="1">
      <alignment wrapText="1"/>
    </xf>
    <xf numFmtId="0" fontId="32" fillId="0" borderId="0" xfId="0" applyFont="1" applyAlignment="1" applyProtection="1">
      <alignment vertical="center"/>
      <protection locked="0" hidden="1"/>
    </xf>
    <xf numFmtId="175" fontId="33" fillId="0" borderId="9" xfId="1" applyNumberFormat="1" applyFont="1" applyFill="1" applyBorder="1" applyAlignment="1" applyProtection="1">
      <alignment horizontal="right" vertical="center"/>
      <protection locked="0" hidden="1"/>
    </xf>
    <xf numFmtId="0" fontId="33" fillId="0" borderId="0" xfId="0" applyFont="1" applyAlignment="1" applyProtection="1">
      <alignment horizontal="left" vertical="center" indent="2"/>
      <protection locked="0" hidden="1"/>
    </xf>
    <xf numFmtId="9" fontId="33" fillId="4" borderId="0" xfId="2" applyFont="1" applyFill="1" applyAlignment="1" applyProtection="1">
      <alignment vertical="center"/>
      <protection locked="0" hidden="1"/>
    </xf>
    <xf numFmtId="168" fontId="32" fillId="6" borderId="0" xfId="2" applyNumberFormat="1" applyFont="1" applyFill="1" applyAlignment="1" applyProtection="1">
      <alignment horizontal="center" vertical="center" wrapText="1"/>
      <protection locked="0" hidden="1"/>
    </xf>
    <xf numFmtId="0" fontId="31" fillId="8" borderId="0" xfId="0" applyFont="1" applyFill="1" applyAlignment="1" applyProtection="1">
      <alignment vertical="center"/>
      <protection locked="0" hidden="1"/>
    </xf>
    <xf numFmtId="175" fontId="31" fillId="8" borderId="0" xfId="1" applyNumberFormat="1" applyFont="1" applyFill="1" applyBorder="1" applyAlignment="1" applyProtection="1">
      <alignment horizontal="right" vertical="center"/>
      <protection locked="0" hidden="1"/>
    </xf>
    <xf numFmtId="175" fontId="16" fillId="8" borderId="9" xfId="1" applyNumberFormat="1" applyFont="1" applyFill="1" applyBorder="1" applyAlignment="1" applyProtection="1">
      <alignment horizontal="right" vertical="center"/>
      <protection locked="0" hidden="1"/>
    </xf>
    <xf numFmtId="0" fontId="33" fillId="5" borderId="0" xfId="0" applyFont="1" applyFill="1" applyAlignment="1" applyProtection="1">
      <alignment horizontal="left" vertical="center"/>
      <protection locked="0" hidden="1"/>
    </xf>
    <xf numFmtId="175" fontId="33" fillId="5" borderId="0" xfId="1" applyNumberFormat="1" applyFont="1" applyFill="1" applyBorder="1" applyAlignment="1" applyProtection="1">
      <alignment horizontal="right" vertical="center"/>
      <protection locked="0" hidden="1"/>
    </xf>
    <xf numFmtId="0" fontId="33" fillId="5" borderId="0" xfId="0" applyFont="1" applyFill="1" applyAlignment="1" applyProtection="1">
      <alignment vertical="center"/>
      <protection locked="0" hidden="1"/>
    </xf>
    <xf numFmtId="0" fontId="17" fillId="4" borderId="0" xfId="0" applyFont="1" applyFill="1" applyAlignment="1" applyProtection="1">
      <alignment vertical="center"/>
      <protection locked="0" hidden="1"/>
    </xf>
    <xf numFmtId="0" fontId="17" fillId="4" borderId="0" xfId="0" applyFont="1" applyFill="1" applyProtection="1">
      <protection locked="0" hidden="1"/>
    </xf>
    <xf numFmtId="0" fontId="17" fillId="4" borderId="0" xfId="0" applyFont="1" applyFill="1" applyAlignment="1" applyProtection="1">
      <alignment horizontal="center" vertical="center"/>
      <protection locked="0" hidden="1"/>
    </xf>
    <xf numFmtId="0" fontId="10" fillId="0" borderId="0" xfId="0" applyFont="1" applyProtection="1">
      <protection locked="0" hidden="1"/>
    </xf>
    <xf numFmtId="0" fontId="10" fillId="0" borderId="0" xfId="0" applyFont="1" applyAlignment="1" applyProtection="1">
      <alignment horizontal="center"/>
      <protection locked="0" hidden="1"/>
    </xf>
    <xf numFmtId="0" fontId="10" fillId="2" borderId="0" xfId="0" applyFont="1" applyFill="1" applyProtection="1">
      <protection locked="0" hidden="1"/>
    </xf>
    <xf numFmtId="0" fontId="16" fillId="3" borderId="6" xfId="0" applyFont="1" applyFill="1" applyBorder="1" applyAlignment="1" applyProtection="1">
      <alignment horizontal="center" vertical="center"/>
      <protection locked="0" hidden="1"/>
    </xf>
    <xf numFmtId="0" fontId="10" fillId="0" borderId="7" xfId="0" applyFont="1" applyBorder="1" applyProtection="1">
      <protection locked="0" hidden="1"/>
    </xf>
    <xf numFmtId="0" fontId="9" fillId="0" borderId="0" xfId="0" applyFont="1" applyAlignment="1" applyProtection="1">
      <alignment horizontal="center"/>
      <protection locked="0" hidden="1"/>
    </xf>
    <xf numFmtId="0" fontId="18" fillId="0" borderId="0" xfId="0" applyFont="1" applyAlignment="1" applyProtection="1">
      <alignment horizontal="left"/>
      <protection locked="0" hidden="1"/>
    </xf>
    <xf numFmtId="0" fontId="18" fillId="0" borderId="0" xfId="0" applyFont="1" applyAlignment="1" applyProtection="1">
      <alignment horizontal="center"/>
      <protection locked="0" hidden="1"/>
    </xf>
    <xf numFmtId="0" fontId="10" fillId="0" borderId="0" xfId="11" applyFont="1" applyFill="1" applyBorder="1" applyAlignment="1" applyProtection="1">
      <alignment horizontal="left" vertical="center" wrapText="1"/>
      <protection locked="0" hidden="1"/>
    </xf>
    <xf numFmtId="0" fontId="10" fillId="0" borderId="0" xfId="11" applyFont="1" applyFill="1" applyBorder="1" applyAlignment="1" applyProtection="1">
      <alignment horizontal="left" wrapText="1"/>
      <protection locked="0" hidden="1"/>
    </xf>
    <xf numFmtId="0" fontId="20" fillId="0" borderId="0" xfId="0" applyFont="1" applyAlignment="1" applyProtection="1">
      <alignment vertical="center"/>
      <protection locked="0" hidden="1"/>
    </xf>
    <xf numFmtId="0" fontId="20" fillId="0" borderId="0" xfId="0" applyFont="1" applyAlignment="1" applyProtection="1">
      <alignment horizontal="center" vertical="center"/>
      <protection locked="0" hidden="1"/>
    </xf>
    <xf numFmtId="0" fontId="17" fillId="2" borderId="0" xfId="0" applyFont="1" applyFill="1" applyAlignment="1" applyProtection="1">
      <alignment vertical="center"/>
      <protection locked="0" hidden="1"/>
    </xf>
    <xf numFmtId="49" fontId="11" fillId="0" borderId="0" xfId="0" applyNumberFormat="1" applyFont="1" applyAlignment="1" applyProtection="1">
      <alignment horizontal="right"/>
      <protection locked="0" hidden="1"/>
    </xf>
    <xf numFmtId="0" fontId="10" fillId="0" borderId="0" xfId="11" applyFont="1" applyFill="1" applyBorder="1" applyAlignment="1" applyProtection="1">
      <alignment horizontal="center" vertical="center" wrapText="1"/>
      <protection locked="0" hidden="1"/>
    </xf>
    <xf numFmtId="0" fontId="10" fillId="2" borderId="0" xfId="11" applyFont="1" applyFill="1" applyBorder="1" applyAlignment="1" applyProtection="1">
      <alignment horizontal="left" vertical="center" wrapText="1"/>
      <protection locked="0" hidden="1"/>
    </xf>
    <xf numFmtId="0" fontId="12" fillId="0" borderId="0" xfId="11" applyFont="1" applyFill="1" applyBorder="1" applyAlignment="1" applyProtection="1">
      <alignment horizontal="left" vertical="center" wrapText="1"/>
      <protection locked="0" hidden="1"/>
    </xf>
    <xf numFmtId="49" fontId="11" fillId="0" borderId="0" xfId="0" applyNumberFormat="1" applyFont="1" applyAlignment="1" applyProtection="1">
      <alignment horizontal="center"/>
      <protection locked="0" hidden="1"/>
    </xf>
    <xf numFmtId="0" fontId="9" fillId="2" borderId="0" xfId="0" applyFont="1" applyFill="1" applyProtection="1">
      <protection locked="0" hidden="1"/>
    </xf>
    <xf numFmtId="49" fontId="11" fillId="0" borderId="0" xfId="0" applyNumberFormat="1" applyFont="1" applyAlignment="1" applyProtection="1">
      <alignment horizontal="left"/>
      <protection locked="0" hidden="1"/>
    </xf>
    <xf numFmtId="0" fontId="14" fillId="0" borderId="0" xfId="0" applyFont="1" applyAlignment="1" applyProtection="1">
      <alignment wrapText="1"/>
      <protection locked="0" hidden="1"/>
    </xf>
    <xf numFmtId="0" fontId="13" fillId="0" borderId="0" xfId="0" applyFont="1" applyAlignment="1" applyProtection="1">
      <alignment horizontal="left" vertical="center" wrapText="1"/>
      <protection locked="0" hidden="1"/>
    </xf>
    <xf numFmtId="0" fontId="14" fillId="0" borderId="0" xfId="0" applyFont="1" applyAlignment="1" applyProtection="1">
      <alignment horizontal="center" wrapText="1"/>
      <protection locked="0" hidden="1"/>
    </xf>
    <xf numFmtId="0" fontId="14" fillId="0" borderId="0" xfId="0" applyFont="1" applyAlignment="1" applyProtection="1">
      <alignment horizontal="center" vertical="center" wrapText="1"/>
      <protection locked="0" hidden="1"/>
    </xf>
    <xf numFmtId="0" fontId="12" fillId="0" borderId="0" xfId="0" applyFont="1" applyProtection="1">
      <protection locked="0" hidden="1"/>
    </xf>
    <xf numFmtId="0" fontId="7" fillId="0" borderId="0" xfId="11" applyProtection="1">
      <protection locked="0" hidden="1"/>
    </xf>
    <xf numFmtId="0" fontId="9" fillId="2" borderId="0" xfId="0" applyFont="1" applyFill="1" applyAlignment="1" applyProtection="1">
      <alignment horizontal="center"/>
      <protection locked="0" hidden="1"/>
    </xf>
    <xf numFmtId="0" fontId="9" fillId="4" borderId="0" xfId="0" applyFont="1" applyFill="1" applyAlignment="1" applyProtection="1">
      <alignment horizontal="center"/>
      <protection locked="0" hidden="1"/>
    </xf>
    <xf numFmtId="0" fontId="39" fillId="0" borderId="10" xfId="0" applyFont="1" applyBorder="1" applyAlignment="1" applyProtection="1">
      <alignment horizontal="center" vertical="center" wrapText="1"/>
      <protection locked="0" hidden="1"/>
    </xf>
    <xf numFmtId="168" fontId="32" fillId="4" borderId="0" xfId="2" applyNumberFormat="1" applyFont="1" applyFill="1" applyBorder="1" applyAlignment="1" applyProtection="1">
      <alignment horizontal="center" vertical="center"/>
      <protection locked="0" hidden="1"/>
    </xf>
    <xf numFmtId="168" fontId="32" fillId="0" borderId="0" xfId="2" applyNumberFormat="1" applyFont="1" applyFill="1" applyBorder="1" applyAlignment="1" applyProtection="1">
      <alignment horizontal="center" vertical="center"/>
      <protection locked="0" hidden="1"/>
    </xf>
    <xf numFmtId="178" fontId="33" fillId="0" borderId="0" xfId="0" applyNumberFormat="1" applyFont="1" applyAlignment="1" applyProtection="1">
      <alignment vertical="center"/>
      <protection locked="0" hidden="1"/>
    </xf>
    <xf numFmtId="168" fontId="32" fillId="7" borderId="0" xfId="2" applyNumberFormat="1" applyFont="1" applyFill="1" applyBorder="1" applyAlignment="1" applyProtection="1">
      <alignment horizontal="center" vertical="center"/>
      <protection locked="0" hidden="1"/>
    </xf>
    <xf numFmtId="178" fontId="33" fillId="4" borderId="0" xfId="0" applyNumberFormat="1" applyFont="1" applyFill="1" applyAlignment="1" applyProtection="1">
      <alignment vertical="center"/>
      <protection locked="0" hidden="1"/>
    </xf>
    <xf numFmtId="179" fontId="32" fillId="0" borderId="9" xfId="1" applyNumberFormat="1" applyFont="1" applyFill="1" applyBorder="1" applyAlignment="1" applyProtection="1">
      <alignment horizontal="right" vertical="center"/>
      <protection locked="0" hidden="1"/>
    </xf>
    <xf numFmtId="179" fontId="33" fillId="4" borderId="0" xfId="0" applyNumberFormat="1" applyFont="1" applyFill="1" applyAlignment="1" applyProtection="1">
      <alignment vertical="center"/>
      <protection locked="0" hidden="1"/>
    </xf>
    <xf numFmtId="179" fontId="33" fillId="0" borderId="0" xfId="0" applyNumberFormat="1" applyFont="1" applyAlignment="1" applyProtection="1">
      <alignment vertical="center"/>
      <protection locked="0" hidden="1"/>
    </xf>
    <xf numFmtId="179" fontId="32" fillId="4" borderId="9" xfId="1" applyNumberFormat="1" applyFont="1" applyFill="1" applyBorder="1" applyAlignment="1" applyProtection="1">
      <alignment horizontal="right" vertical="center"/>
      <protection locked="0" hidden="1"/>
    </xf>
    <xf numFmtId="168" fontId="21" fillId="4" borderId="0" xfId="2" applyNumberFormat="1" applyFont="1" applyFill="1" applyBorder="1" applyAlignment="1" applyProtection="1">
      <alignment horizontal="center" vertical="center"/>
      <protection locked="0" hidden="1"/>
    </xf>
    <xf numFmtId="179" fontId="32" fillId="0" borderId="0" xfId="1" applyNumberFormat="1" applyFont="1" applyFill="1" applyBorder="1" applyAlignment="1" applyProtection="1">
      <alignment horizontal="right" vertical="center"/>
      <protection locked="0" hidden="1"/>
    </xf>
    <xf numFmtId="179" fontId="33" fillId="5" borderId="0" xfId="1" applyNumberFormat="1" applyFont="1" applyFill="1" applyBorder="1" applyAlignment="1" applyProtection="1">
      <alignment horizontal="right" vertical="center"/>
      <protection locked="0" hidden="1"/>
    </xf>
    <xf numFmtId="179" fontId="33" fillId="0" borderId="0" xfId="1" applyNumberFormat="1" applyFont="1" applyFill="1" applyBorder="1" applyAlignment="1" applyProtection="1">
      <alignment horizontal="right" vertical="center"/>
      <protection locked="0" hidden="1"/>
    </xf>
    <xf numFmtId="179" fontId="33" fillId="0" borderId="9" xfId="1" applyNumberFormat="1" applyFont="1" applyFill="1" applyBorder="1" applyAlignment="1" applyProtection="1">
      <alignment horizontal="right" vertical="center"/>
      <protection locked="0" hidden="1"/>
    </xf>
    <xf numFmtId="0" fontId="27" fillId="0" borderId="0" xfId="0" applyFont="1" applyAlignment="1" applyProtection="1">
      <alignment horizontal="left" vertical="center" indent="7"/>
      <protection locked="0" hidden="1"/>
    </xf>
    <xf numFmtId="0" fontId="27" fillId="4" borderId="0" xfId="0" applyFont="1" applyFill="1" applyAlignment="1" applyProtection="1">
      <alignment horizontal="left" vertical="center" indent="7"/>
      <protection locked="0" hidden="1"/>
    </xf>
    <xf numFmtId="0" fontId="27" fillId="4" borderId="0" xfId="0" applyFont="1" applyFill="1" applyAlignment="1" applyProtection="1">
      <alignment horizontal="left" vertical="center" indent="3"/>
      <protection locked="0" hidden="1"/>
    </xf>
    <xf numFmtId="165" fontId="9" fillId="4" borderId="0" xfId="1" applyNumberFormat="1" applyFont="1" applyFill="1" applyBorder="1" applyAlignment="1" applyProtection="1">
      <alignment horizontal="left" vertical="center" wrapText="1" indent="1"/>
      <protection locked="0" hidden="1"/>
    </xf>
    <xf numFmtId="165" fontId="9" fillId="0" borderId="0" xfId="1" applyNumberFormat="1" applyFont="1" applyFill="1" applyBorder="1" applyAlignment="1" applyProtection="1">
      <alignment horizontal="left" vertical="center" wrapText="1" indent="1"/>
      <protection locked="0" hidden="1"/>
    </xf>
    <xf numFmtId="165" fontId="30" fillId="4" borderId="0" xfId="1" applyNumberFormat="1" applyFont="1" applyFill="1" applyBorder="1" applyAlignment="1" applyProtection="1">
      <alignment horizontal="left" vertical="center" wrapText="1" indent="4"/>
      <protection locked="0" hidden="1"/>
    </xf>
    <xf numFmtId="165" fontId="30" fillId="0" borderId="0" xfId="1" applyNumberFormat="1" applyFont="1" applyFill="1" applyBorder="1" applyAlignment="1" applyProtection="1">
      <alignment horizontal="left" vertical="center" wrapText="1" indent="4"/>
      <protection locked="0" hidden="1"/>
    </xf>
    <xf numFmtId="0" fontId="9" fillId="5" borderId="0" xfId="0" applyFont="1" applyFill="1" applyAlignment="1" applyProtection="1">
      <alignment horizontal="left" vertical="center" wrapText="1" indent="1"/>
      <protection locked="0" hidden="1"/>
    </xf>
    <xf numFmtId="0" fontId="30" fillId="5" borderId="0" xfId="0" applyFont="1" applyFill="1" applyAlignment="1" applyProtection="1">
      <alignment horizontal="left" vertical="center" wrapText="1" indent="4"/>
      <protection locked="0" hidden="1"/>
    </xf>
    <xf numFmtId="1" fontId="42" fillId="0" borderId="0" xfId="1" applyNumberFormat="1" applyFont="1" applyFill="1" applyBorder="1" applyAlignment="1" applyProtection="1">
      <alignment horizontal="center" vertical="center"/>
      <protection locked="0" hidden="1"/>
    </xf>
    <xf numFmtId="165" fontId="21" fillId="0" borderId="0" xfId="1" applyNumberFormat="1" applyFont="1" applyFill="1" applyBorder="1" applyAlignment="1" applyProtection="1">
      <alignment horizontal="left" vertical="center" wrapText="1"/>
      <protection locked="0" hidden="1"/>
    </xf>
    <xf numFmtId="0" fontId="4" fillId="0" borderId="0" xfId="0" applyFont="1" applyProtection="1">
      <protection locked="0" hidden="1"/>
    </xf>
    <xf numFmtId="0" fontId="43" fillId="0" borderId="0" xfId="0" applyFont="1" applyAlignment="1" applyProtection="1">
      <alignment horizontal="left" vertical="center"/>
      <protection locked="0" hidden="1"/>
    </xf>
    <xf numFmtId="0" fontId="45" fillId="0" borderId="0" xfId="0" applyFont="1" applyAlignment="1" applyProtection="1">
      <alignment horizontal="left" indent="1"/>
      <protection locked="0" hidden="1"/>
    </xf>
    <xf numFmtId="165" fontId="4" fillId="0" borderId="0" xfId="1" applyNumberFormat="1" applyFont="1" applyFill="1" applyBorder="1" applyAlignment="1" applyProtection="1">
      <alignment vertical="center" wrapText="1"/>
      <protection locked="0" hidden="1"/>
    </xf>
    <xf numFmtId="0" fontId="46" fillId="0" borderId="0" xfId="0" applyFont="1" applyAlignment="1" applyProtection="1">
      <alignment horizontal="left" vertical="center"/>
      <protection locked="0" hidden="1"/>
    </xf>
    <xf numFmtId="0" fontId="9" fillId="0" borderId="0" xfId="0" applyFont="1" applyAlignment="1" applyProtection="1">
      <alignment horizontal="left" vertical="center" indent="1"/>
      <protection locked="0" hidden="1"/>
    </xf>
    <xf numFmtId="0" fontId="25" fillId="0" borderId="0" xfId="0" applyFont="1" applyAlignment="1" applyProtection="1">
      <alignment horizontal="left" vertical="center" indent="5"/>
      <protection locked="0" hidden="1"/>
    </xf>
    <xf numFmtId="0" fontId="9" fillId="4" borderId="0" xfId="0" applyFont="1" applyFill="1" applyAlignment="1" applyProtection="1">
      <alignment horizontal="left" vertical="center" indent="1"/>
      <protection locked="0" hidden="1"/>
    </xf>
    <xf numFmtId="0" fontId="40" fillId="0" borderId="0" xfId="0" applyFont="1" applyAlignment="1">
      <alignment wrapText="1"/>
    </xf>
    <xf numFmtId="165" fontId="27" fillId="5" borderId="0" xfId="1" applyNumberFormat="1" applyFont="1" applyFill="1" applyBorder="1" applyAlignment="1" applyProtection="1">
      <alignment horizontal="left" vertical="center" wrapText="1" indent="4"/>
      <protection locked="0" hidden="1"/>
    </xf>
    <xf numFmtId="0" fontId="27" fillId="0" borderId="0" xfId="0" applyFont="1" applyAlignment="1" applyProtection="1">
      <alignment horizontal="left" vertical="center" indent="2"/>
      <protection locked="0" hidden="1"/>
    </xf>
    <xf numFmtId="0" fontId="25" fillId="0" borderId="0" xfId="0" applyFont="1" applyAlignment="1" applyProtection="1">
      <alignment horizontal="left" vertical="center" indent="2"/>
      <protection locked="0" hidden="1"/>
    </xf>
    <xf numFmtId="0" fontId="21" fillId="4" borderId="0" xfId="0" applyFont="1" applyFill="1" applyProtection="1">
      <protection locked="0" hidden="1"/>
    </xf>
    <xf numFmtId="0" fontId="27" fillId="4" borderId="0" xfId="0" applyFont="1" applyFill="1" applyAlignment="1" applyProtection="1">
      <alignment horizontal="left" vertical="center" indent="2"/>
      <protection locked="0" hidden="1"/>
    </xf>
    <xf numFmtId="0" fontId="25" fillId="4" borderId="0" xfId="0" applyFont="1" applyFill="1" applyAlignment="1" applyProtection="1">
      <alignment horizontal="left" vertical="center" indent="2"/>
      <protection locked="0" hidden="1"/>
    </xf>
    <xf numFmtId="0" fontId="27" fillId="4" borderId="0" xfId="0" applyFont="1" applyFill="1" applyAlignment="1" applyProtection="1">
      <alignment horizontal="left" vertical="center" indent="9"/>
      <protection locked="0" hidden="1"/>
    </xf>
    <xf numFmtId="0" fontId="27" fillId="4" borderId="0" xfId="0" applyFont="1" applyFill="1" applyAlignment="1" applyProtection="1">
      <alignment horizontal="left" vertical="center" indent="5"/>
      <protection locked="0" hidden="1"/>
    </xf>
    <xf numFmtId="1" fontId="47" fillId="0" borderId="0" xfId="1" applyNumberFormat="1" applyFont="1" applyFill="1" applyBorder="1" applyAlignment="1" applyProtection="1">
      <alignment horizontal="center" vertical="center"/>
      <protection locked="0" hidden="1"/>
    </xf>
    <xf numFmtId="1" fontId="47" fillId="0" borderId="0" xfId="1" applyNumberFormat="1" applyFont="1" applyAlignment="1" applyProtection="1">
      <alignment horizontal="center" vertical="center"/>
      <protection locked="0" hidden="1"/>
    </xf>
    <xf numFmtId="0" fontId="27" fillId="0" borderId="0" xfId="0" applyFont="1" applyAlignment="1" applyProtection="1">
      <alignment horizontal="left" vertical="center" indent="3"/>
      <protection locked="0" hidden="1"/>
    </xf>
    <xf numFmtId="0" fontId="27" fillId="0" borderId="0" xfId="0" applyFont="1" applyAlignment="1" applyProtection="1">
      <alignment horizontal="left" vertical="center" indent="9"/>
      <protection locked="0" hidden="1"/>
    </xf>
    <xf numFmtId="0" fontId="9" fillId="0" borderId="0" xfId="0" applyFont="1" applyProtection="1">
      <protection locked="0"/>
    </xf>
    <xf numFmtId="0" fontId="9" fillId="0" borderId="0" xfId="0" applyFont="1" applyAlignment="1" applyProtection="1">
      <alignment horizontal="right"/>
      <protection locked="0"/>
    </xf>
    <xf numFmtId="1" fontId="35" fillId="0" borderId="0" xfId="1" applyNumberFormat="1" applyFont="1" applyFill="1" applyBorder="1" applyAlignment="1" applyProtection="1">
      <alignment horizontal="center" vertical="center"/>
      <protection locked="0"/>
    </xf>
    <xf numFmtId="165" fontId="35" fillId="0" borderId="0" xfId="1" applyNumberFormat="1" applyFont="1" applyFill="1" applyBorder="1" applyAlignment="1" applyProtection="1">
      <alignment horizontal="center" vertical="center"/>
      <protection locked="0"/>
    </xf>
    <xf numFmtId="165" fontId="34" fillId="0" borderId="8" xfId="1" applyNumberFormat="1" applyFont="1" applyFill="1" applyBorder="1" applyAlignment="1" applyProtection="1">
      <alignment horizontal="center" vertical="center"/>
      <protection locked="0"/>
    </xf>
    <xf numFmtId="165" fontId="34" fillId="0" borderId="0" xfId="1" applyNumberFormat="1" applyFont="1" applyFill="1" applyBorder="1" applyAlignment="1" applyProtection="1">
      <alignment horizontal="center" vertical="center"/>
      <protection locked="0"/>
    </xf>
    <xf numFmtId="165" fontId="22" fillId="0" borderId="0" xfId="1" applyNumberFormat="1" applyFont="1" applyFill="1" applyBorder="1" applyAlignment="1" applyProtection="1">
      <alignment horizontal="right" vertical="center"/>
      <protection locked="0"/>
    </xf>
    <xf numFmtId="0" fontId="22" fillId="0" borderId="0" xfId="0" applyFont="1" applyAlignment="1" applyProtection="1">
      <alignment vertical="center"/>
      <protection locked="0"/>
    </xf>
    <xf numFmtId="0" fontId="23" fillId="0" borderId="0" xfId="11" applyFont="1" applyFill="1" applyBorder="1" applyAlignment="1" applyProtection="1">
      <alignment horizontal="left" vertical="center"/>
      <protection locked="0"/>
    </xf>
    <xf numFmtId="0" fontId="24" fillId="0" borderId="0" xfId="0" applyFont="1" applyAlignment="1" applyProtection="1">
      <alignment vertical="center"/>
      <protection locked="0"/>
    </xf>
    <xf numFmtId="0" fontId="21" fillId="0" borderId="0" xfId="0" applyFont="1" applyAlignment="1" applyProtection="1">
      <alignment horizontal="left" vertical="center"/>
      <protection locked="0"/>
    </xf>
    <xf numFmtId="1" fontId="21" fillId="0" borderId="0" xfId="1" applyNumberFormat="1" applyFont="1" applyFill="1" applyBorder="1" applyAlignment="1" applyProtection="1">
      <alignment horizontal="right" vertical="center"/>
      <protection locked="0"/>
    </xf>
    <xf numFmtId="165" fontId="21" fillId="0" borderId="0" xfId="1" applyNumberFormat="1" applyFont="1" applyFill="1" applyBorder="1" applyAlignment="1" applyProtection="1">
      <alignment horizontal="right" vertical="center"/>
      <protection locked="0"/>
    </xf>
    <xf numFmtId="165" fontId="26" fillId="0" borderId="1" xfId="1" applyNumberFormat="1" applyFont="1" applyFill="1" applyBorder="1" applyAlignment="1" applyProtection="1">
      <alignment vertical="center" wrapText="1"/>
      <protection locked="0"/>
    </xf>
    <xf numFmtId="170" fontId="9" fillId="0" borderId="0" xfId="1" applyNumberFormat="1" applyFont="1" applyFill="1" applyBorder="1" applyAlignment="1" applyProtection="1">
      <alignment horizontal="right" vertical="center" wrapText="1"/>
      <protection locked="0"/>
    </xf>
    <xf numFmtId="165" fontId="9" fillId="0" borderId="0" xfId="1" applyNumberFormat="1" applyFont="1" applyFill="1" applyBorder="1" applyAlignment="1" applyProtection="1">
      <alignment horizontal="right" vertical="center" wrapText="1"/>
      <protection locked="0"/>
    </xf>
    <xf numFmtId="174" fontId="9" fillId="4" borderId="0" xfId="0" applyNumberFormat="1" applyFont="1" applyFill="1" applyAlignment="1" applyProtection="1">
      <alignment horizontal="right"/>
      <protection locked="0"/>
    </xf>
    <xf numFmtId="174" fontId="9" fillId="0" borderId="0" xfId="0" applyNumberFormat="1" applyFont="1" applyAlignment="1" applyProtection="1">
      <alignment horizontal="right"/>
      <protection locked="0"/>
    </xf>
    <xf numFmtId="43" fontId="9" fillId="0" borderId="0" xfId="0" applyNumberFormat="1" applyFont="1" applyProtection="1">
      <protection locked="0"/>
    </xf>
    <xf numFmtId="170" fontId="9" fillId="0" borderId="0" xfId="1" applyNumberFormat="1" applyFont="1" applyFill="1" applyBorder="1" applyAlignment="1" applyProtection="1">
      <alignment horizontal="right" wrapText="1"/>
      <protection locked="0"/>
    </xf>
    <xf numFmtId="9" fontId="9" fillId="4" borderId="0" xfId="2" applyFont="1" applyFill="1" applyBorder="1" applyAlignment="1" applyProtection="1">
      <alignment horizontal="right" wrapText="1"/>
      <protection locked="0"/>
    </xf>
    <xf numFmtId="9" fontId="9" fillId="0" borderId="0" xfId="2" applyFont="1" applyFill="1" applyBorder="1" applyAlignment="1" applyProtection="1">
      <alignment horizontal="right" wrapText="1"/>
      <protection locked="0"/>
    </xf>
    <xf numFmtId="168" fontId="9" fillId="0" borderId="0" xfId="2" applyNumberFormat="1" applyFont="1" applyFill="1" applyBorder="1" applyAlignment="1" applyProtection="1">
      <alignment horizontal="right" wrapText="1"/>
      <protection locked="0"/>
    </xf>
    <xf numFmtId="165" fontId="9" fillId="4" borderId="0" xfId="1" applyNumberFormat="1" applyFont="1" applyFill="1" applyBorder="1" applyAlignment="1" applyProtection="1">
      <alignment horizontal="right" vertical="center" wrapText="1"/>
      <protection locked="0"/>
    </xf>
    <xf numFmtId="174" fontId="9" fillId="0" borderId="0" xfId="2" applyNumberFormat="1" applyFont="1" applyFill="1" applyBorder="1" applyAlignment="1" applyProtection="1">
      <alignment horizontal="right" wrapText="1"/>
      <protection locked="0"/>
    </xf>
    <xf numFmtId="0" fontId="9" fillId="0" borderId="0" xfId="0" applyFont="1" applyAlignment="1" applyProtection="1">
      <alignment horizontal="left" vertical="center" wrapText="1" indent="2"/>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indent="1"/>
      <protection locked="0"/>
    </xf>
    <xf numFmtId="184" fontId="9" fillId="0" borderId="0" xfId="0" applyNumberFormat="1" applyFont="1" applyAlignment="1" applyProtection="1">
      <alignment horizontal="right"/>
      <protection locked="0"/>
    </xf>
    <xf numFmtId="165" fontId="9" fillId="0" borderId="0" xfId="0" applyNumberFormat="1" applyFont="1" applyAlignment="1" applyProtection="1">
      <alignment horizontal="right"/>
      <protection locked="0"/>
    </xf>
    <xf numFmtId="165" fontId="26" fillId="0" borderId="0" xfId="1" applyNumberFormat="1" applyFont="1" applyFill="1" applyBorder="1" applyAlignment="1" applyProtection="1">
      <alignment horizontal="left" vertical="center" wrapText="1" indent="1"/>
      <protection locked="0"/>
    </xf>
    <xf numFmtId="0" fontId="25" fillId="0" borderId="0" xfId="0" applyFont="1" applyAlignment="1" applyProtection="1">
      <alignment horizontal="left"/>
      <protection locked="0"/>
    </xf>
    <xf numFmtId="166" fontId="25" fillId="4" borderId="0" xfId="1" applyNumberFormat="1" applyFont="1" applyFill="1" applyBorder="1" applyAlignment="1" applyProtection="1">
      <alignment horizontal="right" vertical="center"/>
      <protection locked="0"/>
    </xf>
    <xf numFmtId="0" fontId="9" fillId="0" borderId="0" xfId="0" applyFont="1" applyAlignment="1" applyProtection="1">
      <alignment horizontal="left"/>
      <protection locked="0"/>
    </xf>
    <xf numFmtId="166" fontId="25" fillId="0" borderId="0" xfId="1" applyNumberFormat="1" applyFont="1" applyFill="1" applyBorder="1" applyAlignment="1" applyProtection="1">
      <alignment horizontal="right" vertical="center"/>
      <protection locked="0"/>
    </xf>
    <xf numFmtId="165" fontId="26" fillId="0" borderId="0" xfId="1" applyNumberFormat="1" applyFont="1" applyFill="1" applyBorder="1" applyAlignment="1" applyProtection="1">
      <alignment horizontal="left" vertical="center" wrapText="1"/>
      <protection locked="0"/>
    </xf>
    <xf numFmtId="167" fontId="26" fillId="0" borderId="0" xfId="1" applyNumberFormat="1" applyFont="1" applyFill="1" applyBorder="1" applyAlignment="1" applyProtection="1">
      <alignment horizontal="right" vertical="center" wrapText="1"/>
      <protection locked="0"/>
    </xf>
    <xf numFmtId="0" fontId="27" fillId="0" borderId="0" xfId="0" applyFont="1" applyAlignment="1" applyProtection="1">
      <alignment horizontal="left" vertical="center" wrapText="1" indent="3"/>
      <protection locked="0"/>
    </xf>
    <xf numFmtId="166" fontId="9" fillId="0" borderId="0" xfId="0" applyNumberFormat="1" applyFont="1" applyAlignment="1" applyProtection="1">
      <alignment horizontal="left"/>
      <protection locked="0"/>
    </xf>
    <xf numFmtId="172" fontId="25" fillId="0" borderId="0" xfId="1" applyNumberFormat="1" applyFont="1" applyFill="1" applyAlignment="1" applyProtection="1">
      <alignment horizontal="right" vertical="center"/>
      <protection locked="0"/>
    </xf>
    <xf numFmtId="173" fontId="9" fillId="0" borderId="0" xfId="0" applyNumberFormat="1" applyFont="1" applyProtection="1">
      <protection locked="0"/>
    </xf>
    <xf numFmtId="0" fontId="28" fillId="0" borderId="0" xfId="0" applyFont="1" applyProtection="1">
      <protection locked="0"/>
    </xf>
    <xf numFmtId="0" fontId="28" fillId="0" borderId="0" xfId="0" applyFont="1" applyAlignment="1" applyProtection="1">
      <alignment horizontal="right"/>
      <protection locked="0"/>
    </xf>
    <xf numFmtId="1" fontId="22" fillId="0" borderId="0" xfId="1" applyNumberFormat="1" applyFont="1" applyFill="1" applyBorder="1" applyAlignment="1" applyProtection="1">
      <alignment horizontal="right" vertical="center"/>
      <protection locked="0"/>
    </xf>
    <xf numFmtId="169" fontId="9" fillId="0" borderId="0" xfId="1" applyNumberFormat="1" applyFont="1" applyFill="1" applyBorder="1" applyAlignment="1" applyProtection="1">
      <alignment horizontal="right" vertical="center"/>
      <protection locked="0"/>
    </xf>
    <xf numFmtId="169" fontId="9" fillId="4" borderId="0" xfId="1" applyNumberFormat="1" applyFont="1" applyFill="1" applyBorder="1" applyAlignment="1" applyProtection="1">
      <alignment horizontal="right" vertical="center"/>
      <protection locked="0"/>
    </xf>
    <xf numFmtId="168" fontId="9" fillId="0" borderId="0" xfId="2" applyNumberFormat="1" applyFont="1" applyFill="1" applyAlignment="1" applyProtection="1">
      <alignment horizontal="right"/>
      <protection locked="0"/>
    </xf>
    <xf numFmtId="168" fontId="9" fillId="4" borderId="0" xfId="2" applyNumberFormat="1" applyFont="1" applyFill="1" applyAlignment="1" applyProtection="1">
      <alignment horizontal="right"/>
      <protection locked="0"/>
    </xf>
    <xf numFmtId="1" fontId="9" fillId="0" borderId="0" xfId="0" applyNumberFormat="1" applyFont="1" applyProtection="1">
      <protection locked="0"/>
    </xf>
    <xf numFmtId="175" fontId="9" fillId="0" borderId="0" xfId="1" applyNumberFormat="1" applyFont="1" applyFill="1" applyProtection="1">
      <protection locked="0"/>
    </xf>
    <xf numFmtId="9" fontId="9" fillId="0" borderId="0" xfId="2" applyFont="1" applyFill="1" applyProtection="1">
      <protection locked="0"/>
    </xf>
    <xf numFmtId="168" fontId="9" fillId="0" borderId="0" xfId="2" applyNumberFormat="1" applyFont="1" applyFill="1" applyProtection="1">
      <protection locked="0"/>
    </xf>
    <xf numFmtId="0" fontId="9" fillId="0" borderId="0" xfId="0" applyFont="1" applyAlignment="1" applyProtection="1">
      <alignment vertical="center"/>
      <protection locked="0"/>
    </xf>
    <xf numFmtId="177" fontId="9" fillId="4" borderId="0" xfId="1" applyNumberFormat="1" applyFont="1" applyFill="1" applyBorder="1" applyAlignment="1" applyProtection="1">
      <alignment horizontal="right" vertical="center"/>
      <protection locked="0"/>
    </xf>
    <xf numFmtId="169" fontId="30" fillId="4" borderId="0" xfId="1" applyNumberFormat="1" applyFont="1" applyFill="1" applyBorder="1" applyAlignment="1" applyProtection="1">
      <alignment horizontal="right" vertical="center"/>
      <protection locked="0"/>
    </xf>
    <xf numFmtId="169" fontId="30" fillId="0" borderId="0" xfId="1" applyNumberFormat="1" applyFont="1" applyFill="1" applyBorder="1" applyAlignment="1" applyProtection="1">
      <alignment horizontal="right" vertical="center"/>
      <protection locked="0"/>
    </xf>
    <xf numFmtId="174" fontId="9" fillId="0" borderId="0" xfId="1" applyNumberFormat="1" applyFont="1" applyFill="1" applyBorder="1" applyAlignment="1" applyProtection="1">
      <alignment horizontal="right" vertical="center"/>
      <protection locked="0"/>
    </xf>
    <xf numFmtId="168" fontId="9" fillId="4" borderId="0" xfId="2" applyNumberFormat="1" applyFont="1" applyFill="1" applyBorder="1" applyAlignment="1" applyProtection="1">
      <alignment horizontal="right" vertical="center"/>
      <protection locked="0"/>
    </xf>
    <xf numFmtId="0" fontId="21" fillId="0" borderId="0" xfId="0" applyFont="1" applyProtection="1">
      <protection locked="0"/>
    </xf>
    <xf numFmtId="0" fontId="30" fillId="0" borderId="0" xfId="0" applyFont="1" applyProtection="1">
      <protection locked="0"/>
    </xf>
    <xf numFmtId="3" fontId="9" fillId="0" borderId="0" xfId="0" applyNumberFormat="1" applyFont="1" applyProtection="1">
      <protection locked="0"/>
    </xf>
    <xf numFmtId="167" fontId="25" fillId="4" borderId="0" xfId="1" applyNumberFormat="1" applyFont="1" applyFill="1" applyBorder="1" applyAlignment="1" applyProtection="1">
      <alignment horizontal="right" vertical="center" wrapText="1"/>
      <protection locked="0"/>
    </xf>
    <xf numFmtId="168" fontId="9" fillId="0" borderId="0" xfId="2" applyNumberFormat="1" applyFont="1" applyFill="1" applyBorder="1" applyAlignment="1" applyProtection="1">
      <alignment horizontal="left"/>
      <protection locked="0"/>
    </xf>
    <xf numFmtId="176" fontId="25" fillId="4" borderId="0" xfId="1" applyNumberFormat="1" applyFont="1" applyFill="1" applyBorder="1" applyAlignment="1" applyProtection="1">
      <alignment vertical="center" wrapText="1"/>
      <protection locked="0"/>
    </xf>
    <xf numFmtId="176" fontId="25" fillId="0" borderId="0" xfId="1" applyNumberFormat="1" applyFont="1" applyFill="1" applyBorder="1" applyAlignment="1" applyProtection="1">
      <alignment vertical="center"/>
      <protection locked="0"/>
    </xf>
    <xf numFmtId="176" fontId="25" fillId="4" borderId="0" xfId="1" applyNumberFormat="1" applyFont="1" applyFill="1" applyBorder="1" applyAlignment="1" applyProtection="1">
      <alignment vertical="center"/>
      <protection locked="0"/>
    </xf>
    <xf numFmtId="168" fontId="9" fillId="0" borderId="0" xfId="2" applyNumberFormat="1" applyFont="1" applyFill="1" applyBorder="1" applyAlignment="1" applyProtection="1">
      <alignment horizontal="left" vertical="center"/>
      <protection locked="0"/>
    </xf>
    <xf numFmtId="166" fontId="9" fillId="0" borderId="0" xfId="1" applyNumberFormat="1" applyFont="1" applyFill="1" applyBorder="1" applyAlignment="1" applyProtection="1">
      <alignment horizontal="center" vertical="center"/>
      <protection locked="0"/>
    </xf>
    <xf numFmtId="0" fontId="25" fillId="0" borderId="0" xfId="0" applyFont="1" applyAlignment="1" applyProtection="1">
      <alignment horizontal="left" vertical="center" wrapText="1"/>
      <protection locked="0"/>
    </xf>
    <xf numFmtId="166" fontId="9" fillId="0" borderId="0" xfId="1" applyNumberFormat="1" applyFont="1" applyFill="1" applyBorder="1" applyAlignment="1" applyProtection="1">
      <alignment horizontal="left" vertical="center"/>
      <protection locked="0"/>
    </xf>
    <xf numFmtId="168" fontId="26" fillId="0" borderId="1" xfId="2" applyNumberFormat="1" applyFont="1" applyFill="1" applyBorder="1" applyAlignment="1" applyProtection="1">
      <alignment horizontal="right"/>
      <protection locked="0"/>
    </xf>
    <xf numFmtId="172" fontId="25" fillId="4" borderId="0" xfId="1" applyNumberFormat="1" applyFont="1" applyFill="1" applyBorder="1" applyAlignment="1" applyProtection="1">
      <alignment horizontal="right"/>
      <protection locked="0"/>
    </xf>
    <xf numFmtId="172" fontId="9" fillId="0" borderId="0" xfId="1" applyNumberFormat="1" applyFont="1" applyFill="1" applyBorder="1" applyAlignment="1" applyProtection="1">
      <alignment horizontal="right"/>
      <protection locked="0"/>
    </xf>
    <xf numFmtId="172" fontId="9" fillId="4" borderId="0" xfId="1" applyNumberFormat="1" applyFont="1" applyFill="1" applyBorder="1" applyAlignment="1" applyProtection="1">
      <alignment horizontal="right"/>
      <protection locked="0"/>
    </xf>
    <xf numFmtId="0" fontId="9" fillId="4" borderId="0" xfId="0" applyFont="1" applyFill="1" applyProtection="1">
      <protection locked="0"/>
    </xf>
    <xf numFmtId="0" fontId="9" fillId="4" borderId="0" xfId="0" applyFont="1" applyFill="1" applyAlignment="1" applyProtection="1">
      <alignment horizontal="right"/>
      <protection locked="0"/>
    </xf>
    <xf numFmtId="172" fontId="25" fillId="0" borderId="0" xfId="1" applyNumberFormat="1" applyFont="1" applyFill="1" applyBorder="1" applyAlignment="1" applyProtection="1">
      <alignment horizontal="right"/>
      <protection locked="0"/>
    </xf>
    <xf numFmtId="174" fontId="21" fillId="0" borderId="3" xfId="2" applyNumberFormat="1" applyFont="1" applyFill="1" applyBorder="1" applyAlignment="1" applyProtection="1">
      <alignment horizontal="right"/>
      <protection locked="0"/>
    </xf>
    <xf numFmtId="174" fontId="21" fillId="4" borderId="3" xfId="2" applyNumberFormat="1" applyFont="1" applyFill="1" applyBorder="1" applyAlignment="1" applyProtection="1">
      <alignment horizontal="right"/>
      <protection locked="0"/>
    </xf>
    <xf numFmtId="168" fontId="26" fillId="0" borderId="0" xfId="2" applyNumberFormat="1" applyFont="1" applyFill="1" applyBorder="1" applyAlignment="1" applyProtection="1">
      <alignment horizontal="right"/>
      <protection locked="0"/>
    </xf>
    <xf numFmtId="172" fontId="26" fillId="0" borderId="0" xfId="1" applyNumberFormat="1" applyFont="1" applyFill="1" applyBorder="1" applyAlignment="1" applyProtection="1">
      <alignment horizontal="right"/>
      <protection locked="0"/>
    </xf>
    <xf numFmtId="172" fontId="21" fillId="0" borderId="0" xfId="1" applyNumberFormat="1" applyFont="1" applyFill="1" applyBorder="1" applyAlignment="1" applyProtection="1">
      <alignment horizontal="right"/>
      <protection locked="0"/>
    </xf>
    <xf numFmtId="168" fontId="9" fillId="0" borderId="0" xfId="0" applyNumberFormat="1" applyFont="1" applyProtection="1">
      <protection locked="0"/>
    </xf>
    <xf numFmtId="0" fontId="9" fillId="5" borderId="0" xfId="0" applyFont="1" applyFill="1" applyAlignment="1" applyProtection="1">
      <alignment horizontal="right"/>
      <protection locked="0"/>
    </xf>
    <xf numFmtId="172" fontId="25" fillId="5" borderId="0" xfId="1" applyNumberFormat="1" applyFont="1" applyFill="1" applyBorder="1" applyAlignment="1" applyProtection="1">
      <alignment horizontal="right"/>
      <protection locked="0"/>
    </xf>
    <xf numFmtId="172" fontId="25" fillId="0" borderId="0" xfId="1" applyNumberFormat="1" applyFont="1" applyFill="1" applyAlignment="1" applyProtection="1">
      <alignment horizontal="right"/>
      <protection locked="0"/>
    </xf>
    <xf numFmtId="172" fontId="25" fillId="5" borderId="0" xfId="1" applyNumberFormat="1" applyFont="1" applyFill="1" applyAlignment="1" applyProtection="1">
      <alignment horizontal="right"/>
      <protection locked="0"/>
    </xf>
    <xf numFmtId="172" fontId="9" fillId="0" borderId="0" xfId="0" applyNumberFormat="1" applyFont="1" applyProtection="1">
      <protection locked="0"/>
    </xf>
    <xf numFmtId="172" fontId="9" fillId="5" borderId="0" xfId="0" applyNumberFormat="1" applyFont="1" applyFill="1" applyProtection="1">
      <protection locked="0"/>
    </xf>
    <xf numFmtId="0" fontId="9" fillId="0" borderId="0" xfId="0" quotePrefix="1" applyFont="1" applyAlignment="1" applyProtection="1">
      <alignment horizontal="right"/>
      <protection locked="0"/>
    </xf>
    <xf numFmtId="172" fontId="9" fillId="4" borderId="0" xfId="1" applyNumberFormat="1" applyFont="1" applyFill="1" applyAlignment="1" applyProtection="1">
      <alignment horizontal="right"/>
      <protection locked="0"/>
    </xf>
    <xf numFmtId="172" fontId="9" fillId="0" borderId="0" xfId="1" applyNumberFormat="1" applyFont="1" applyFill="1" applyAlignment="1" applyProtection="1">
      <alignment horizontal="right"/>
      <protection locked="0"/>
    </xf>
    <xf numFmtId="172" fontId="9" fillId="4" borderId="0" xfId="0" applyNumberFormat="1" applyFont="1" applyFill="1" applyAlignment="1" applyProtection="1">
      <alignment horizontal="right"/>
      <protection locked="0"/>
    </xf>
    <xf numFmtId="172" fontId="9" fillId="0" borderId="0" xfId="0" applyNumberFormat="1" applyFont="1" applyAlignment="1" applyProtection="1">
      <alignment horizontal="right"/>
      <protection locked="0"/>
    </xf>
    <xf numFmtId="165" fontId="9" fillId="0" borderId="0" xfId="1" applyNumberFormat="1" applyFont="1" applyFill="1" applyAlignment="1" applyProtection="1">
      <alignment horizontal="right"/>
      <protection locked="0"/>
    </xf>
    <xf numFmtId="0" fontId="4" fillId="0" borderId="0" xfId="0" applyFont="1" applyProtection="1">
      <protection locked="0"/>
    </xf>
    <xf numFmtId="0" fontId="4" fillId="0" borderId="0" xfId="0" applyFont="1" applyAlignment="1" applyProtection="1">
      <alignment horizontal="right"/>
      <protection locked="0"/>
    </xf>
    <xf numFmtId="1" fontId="43" fillId="0" borderId="0" xfId="1" applyNumberFormat="1" applyFont="1" applyFill="1" applyBorder="1" applyAlignment="1" applyProtection="1">
      <alignment horizontal="right" vertical="center"/>
      <protection locked="0"/>
    </xf>
    <xf numFmtId="165" fontId="44" fillId="0" borderId="0" xfId="1" applyNumberFormat="1" applyFont="1" applyFill="1" applyBorder="1" applyAlignment="1" applyProtection="1">
      <alignment horizontal="right" vertical="center"/>
      <protection locked="0"/>
    </xf>
    <xf numFmtId="0" fontId="45" fillId="0" borderId="0" xfId="0" applyFont="1" applyAlignment="1" applyProtection="1">
      <alignment horizontal="left"/>
      <protection locked="0"/>
    </xf>
    <xf numFmtId="0" fontId="4" fillId="0" borderId="0" xfId="0" applyFont="1" applyAlignment="1" applyProtection="1">
      <alignment horizontal="left"/>
      <protection locked="0"/>
    </xf>
    <xf numFmtId="164" fontId="33" fillId="0" borderId="0" xfId="1" applyFont="1" applyFill="1" applyAlignment="1" applyProtection="1">
      <alignment horizontal="left" vertical="center" indent="1"/>
      <protection locked="0"/>
    </xf>
    <xf numFmtId="172" fontId="25" fillId="4" borderId="0" xfId="1" applyNumberFormat="1" applyFont="1" applyFill="1" applyBorder="1" applyAlignment="1" applyProtection="1">
      <alignment horizontal="right" wrapText="1"/>
      <protection locked="0"/>
    </xf>
    <xf numFmtId="172" fontId="25" fillId="0" borderId="0" xfId="1" applyNumberFormat="1" applyFont="1" applyFill="1" applyBorder="1" applyAlignment="1" applyProtection="1">
      <alignment horizontal="right" wrapText="1"/>
      <protection locked="0"/>
    </xf>
    <xf numFmtId="168" fontId="25" fillId="4" borderId="0" xfId="2" applyNumberFormat="1" applyFont="1" applyFill="1" applyBorder="1" applyAlignment="1" applyProtection="1">
      <alignment horizontal="right"/>
      <protection locked="0"/>
    </xf>
    <xf numFmtId="168" fontId="25" fillId="0" borderId="0" xfId="2" applyNumberFormat="1" applyFont="1" applyFill="1" applyBorder="1" applyAlignment="1" applyProtection="1">
      <alignment horizontal="right"/>
      <protection locked="0"/>
    </xf>
    <xf numFmtId="172" fontId="45" fillId="0" borderId="0" xfId="1" applyNumberFormat="1" applyFont="1" applyFill="1" applyBorder="1" applyAlignment="1" applyProtection="1">
      <alignment horizontal="right"/>
      <protection locked="0"/>
    </xf>
    <xf numFmtId="168" fontId="45" fillId="0" borderId="0" xfId="2" applyNumberFormat="1" applyFont="1" applyFill="1" applyBorder="1" applyAlignment="1" applyProtection="1">
      <alignment horizontal="right"/>
      <protection locked="0"/>
    </xf>
    <xf numFmtId="168" fontId="9" fillId="4" borderId="0" xfId="2" applyNumberFormat="1" applyFont="1" applyFill="1" applyBorder="1" applyAlignment="1" applyProtection="1">
      <alignment horizontal="right" vertical="center" wrapText="1"/>
      <protection locked="0"/>
    </xf>
    <xf numFmtId="168" fontId="9" fillId="0" borderId="0" xfId="2" applyNumberFormat="1" applyFont="1" applyFill="1" applyBorder="1" applyAlignment="1" applyProtection="1">
      <alignment horizontal="right" vertical="center" wrapText="1"/>
      <protection locked="0"/>
    </xf>
    <xf numFmtId="0" fontId="29" fillId="0" borderId="0" xfId="0" applyFont="1" applyProtection="1">
      <protection locked="0"/>
    </xf>
    <xf numFmtId="174" fontId="9" fillId="4" borderId="0" xfId="2" applyNumberFormat="1" applyFont="1" applyFill="1" applyBorder="1" applyAlignment="1" applyProtection="1">
      <alignment horizontal="right" vertical="center" wrapText="1"/>
      <protection locked="0"/>
    </xf>
    <xf numFmtId="174" fontId="9" fillId="0" borderId="0" xfId="2" applyNumberFormat="1" applyFont="1" applyFill="1" applyBorder="1" applyAlignment="1" applyProtection="1">
      <alignment horizontal="right" vertical="center" wrapText="1"/>
      <protection locked="0"/>
    </xf>
    <xf numFmtId="168" fontId="9" fillId="0" borderId="0" xfId="2" applyNumberFormat="1" applyFont="1" applyAlignment="1" applyProtection="1">
      <alignment horizontal="right"/>
      <protection locked="0"/>
    </xf>
    <xf numFmtId="0" fontId="25" fillId="0" borderId="0" xfId="0" applyFont="1" applyProtection="1">
      <protection locked="0"/>
    </xf>
    <xf numFmtId="172" fontId="25" fillId="0" borderId="0" xfId="1" applyNumberFormat="1" applyFont="1" applyFill="1" applyBorder="1" applyProtection="1">
      <protection locked="0"/>
    </xf>
    <xf numFmtId="0" fontId="25" fillId="0" borderId="0" xfId="0" applyFont="1" applyAlignment="1" applyProtection="1">
      <alignment horizontal="left" vertical="center" indent="3"/>
      <protection locked="0"/>
    </xf>
    <xf numFmtId="172" fontId="25" fillId="4" borderId="0" xfId="1" applyNumberFormat="1" applyFont="1" applyFill="1" applyBorder="1" applyAlignment="1" applyProtection="1">
      <alignment horizontal="right" vertical="center"/>
      <protection locked="0"/>
    </xf>
    <xf numFmtId="172" fontId="25" fillId="0" borderId="0" xfId="1" applyNumberFormat="1" applyFont="1" applyFill="1" applyBorder="1" applyAlignment="1" applyProtection="1">
      <alignment horizontal="right" vertical="center"/>
      <protection locked="0"/>
    </xf>
    <xf numFmtId="172" fontId="9" fillId="4" borderId="0" xfId="0" applyNumberFormat="1" applyFont="1" applyFill="1" applyProtection="1">
      <protection locked="0"/>
    </xf>
    <xf numFmtId="0" fontId="29" fillId="0" borderId="0" xfId="0" applyFont="1" applyAlignment="1" applyProtection="1">
      <alignment horizontal="left"/>
      <protection locked="0"/>
    </xf>
    <xf numFmtId="9" fontId="9" fillId="0" borderId="0" xfId="0" applyNumberFormat="1" applyFont="1" applyProtection="1">
      <protection locked="0"/>
    </xf>
    <xf numFmtId="164" fontId="9" fillId="0" borderId="0" xfId="0" applyNumberFormat="1" applyFont="1" applyProtection="1">
      <protection locked="0"/>
    </xf>
    <xf numFmtId="172" fontId="25" fillId="0" borderId="0" xfId="1" applyNumberFormat="1" applyFont="1" applyFill="1" applyBorder="1" applyAlignment="1" applyProtection="1">
      <alignment horizontal="center" vertical="center" wrapText="1"/>
      <protection locked="0"/>
    </xf>
    <xf numFmtId="172" fontId="25" fillId="4" borderId="0" xfId="1" applyNumberFormat="1" applyFont="1" applyFill="1" applyBorder="1" applyAlignment="1" applyProtection="1">
      <alignment horizontal="center" vertical="center" wrapText="1"/>
      <protection locked="0"/>
    </xf>
    <xf numFmtId="168" fontId="25" fillId="0" borderId="0" xfId="2" applyNumberFormat="1" applyFont="1" applyFill="1" applyBorder="1" applyAlignment="1" applyProtection="1">
      <alignment horizontal="right" vertical="center"/>
      <protection locked="0"/>
    </xf>
    <xf numFmtId="165" fontId="26" fillId="4" borderId="0" xfId="1" applyNumberFormat="1" applyFont="1" applyFill="1" applyBorder="1" applyAlignment="1" applyProtection="1">
      <alignment horizontal="left" vertical="center" wrapText="1"/>
      <protection locked="0"/>
    </xf>
    <xf numFmtId="0" fontId="26" fillId="0" borderId="0" xfId="0" applyFont="1" applyProtection="1">
      <protection locked="0"/>
    </xf>
    <xf numFmtId="168" fontId="25" fillId="4" borderId="0" xfId="2" applyNumberFormat="1" applyFont="1" applyFill="1" applyBorder="1" applyAlignment="1" applyProtection="1">
      <alignment horizontal="right" vertical="center"/>
      <protection locked="0"/>
    </xf>
    <xf numFmtId="172" fontId="9" fillId="0" borderId="0" xfId="1" applyNumberFormat="1" applyFont="1" applyFill="1" applyBorder="1" applyProtection="1">
      <protection locked="0"/>
    </xf>
    <xf numFmtId="172" fontId="26" fillId="0" borderId="0" xfId="1" applyNumberFormat="1" applyFont="1" applyFill="1" applyBorder="1" applyAlignment="1" applyProtection="1">
      <alignment horizontal="right" vertical="center"/>
      <protection locked="0"/>
    </xf>
    <xf numFmtId="9" fontId="25" fillId="0" borderId="0" xfId="2" applyFont="1" applyFill="1" applyBorder="1" applyAlignment="1" applyProtection="1">
      <alignment horizontal="right" vertical="center"/>
      <protection locked="0"/>
    </xf>
    <xf numFmtId="172" fontId="25" fillId="0" borderId="0" xfId="0" applyNumberFormat="1" applyFont="1" applyAlignment="1" applyProtection="1">
      <alignment horizontal="right" vertical="center" wrapText="1"/>
      <protection locked="0"/>
    </xf>
    <xf numFmtId="172" fontId="25" fillId="4" borderId="0" xfId="0" applyNumberFormat="1" applyFont="1" applyFill="1" applyAlignment="1" applyProtection="1">
      <alignment horizontal="right" vertical="center" wrapText="1"/>
      <protection locked="0"/>
    </xf>
    <xf numFmtId="168" fontId="9" fillId="0" borderId="0" xfId="2" applyNumberFormat="1" applyFont="1" applyProtection="1">
      <protection locked="0"/>
    </xf>
    <xf numFmtId="172" fontId="9" fillId="4" borderId="0" xfId="1" applyNumberFormat="1" applyFont="1" applyFill="1" applyBorder="1" applyProtection="1">
      <protection locked="0"/>
    </xf>
    <xf numFmtId="172" fontId="9" fillId="0" borderId="0" xfId="1" applyNumberFormat="1" applyFont="1" applyFill="1" applyBorder="1" applyAlignment="1" applyProtection="1">
      <alignment horizontal="center"/>
      <protection locked="0"/>
    </xf>
    <xf numFmtId="172" fontId="9" fillId="4" borderId="0" xfId="1" applyNumberFormat="1" applyFont="1" applyFill="1" applyBorder="1" applyAlignment="1" applyProtection="1">
      <alignment horizontal="center"/>
      <protection locked="0"/>
    </xf>
    <xf numFmtId="0" fontId="21" fillId="4" borderId="0" xfId="0" applyFont="1" applyFill="1" applyProtection="1">
      <protection locked="0"/>
    </xf>
    <xf numFmtId="9" fontId="9" fillId="0" borderId="0" xfId="2" applyFont="1" applyProtection="1">
      <protection locked="0"/>
    </xf>
    <xf numFmtId="168" fontId="9" fillId="4" borderId="0" xfId="2" applyNumberFormat="1" applyFont="1" applyFill="1" applyProtection="1">
      <protection locked="0"/>
    </xf>
    <xf numFmtId="168" fontId="9" fillId="4" borderId="0" xfId="2" applyNumberFormat="1" applyFont="1" applyFill="1" applyBorder="1" applyProtection="1">
      <protection locked="0"/>
    </xf>
    <xf numFmtId="172" fontId="25" fillId="4" borderId="0" xfId="1" applyNumberFormat="1" applyFont="1" applyFill="1" applyAlignment="1" applyProtection="1">
      <alignment horizontal="right"/>
      <protection locked="0"/>
    </xf>
    <xf numFmtId="0" fontId="25" fillId="0" borderId="0" xfId="0" applyFont="1" applyAlignment="1" applyProtection="1">
      <alignment vertical="center"/>
      <protection locked="0"/>
    </xf>
    <xf numFmtId="172" fontId="26" fillId="4" borderId="0" xfId="1" applyNumberFormat="1" applyFont="1" applyFill="1" applyBorder="1" applyAlignment="1" applyProtection="1">
      <alignment horizontal="right" vertical="center"/>
      <protection locked="0"/>
    </xf>
    <xf numFmtId="172" fontId="25" fillId="4" borderId="0" xfId="1" applyNumberFormat="1" applyFont="1" applyFill="1" applyAlignment="1" applyProtection="1">
      <alignment horizontal="right" vertical="center"/>
      <protection locked="0"/>
    </xf>
    <xf numFmtId="171" fontId="9" fillId="0" borderId="0" xfId="0" applyNumberFormat="1" applyFont="1" applyProtection="1">
      <protection locked="0"/>
    </xf>
    <xf numFmtId="0" fontId="21" fillId="0" borderId="0" xfId="0" applyFont="1" applyAlignment="1" applyProtection="1">
      <alignment vertical="center"/>
      <protection locked="0"/>
    </xf>
    <xf numFmtId="0" fontId="21" fillId="0" borderId="0" xfId="0" applyFont="1" applyAlignment="1" applyProtection="1">
      <alignment horizontal="right" vertical="center"/>
      <protection locked="0"/>
    </xf>
    <xf numFmtId="0" fontId="26" fillId="0" borderId="0" xfId="0" applyFont="1" applyAlignment="1" applyProtection="1">
      <alignment horizontal="right" vertical="center"/>
      <protection locked="0"/>
    </xf>
    <xf numFmtId="172" fontId="26" fillId="0" borderId="0" xfId="0" applyNumberFormat="1" applyFont="1" applyAlignment="1" applyProtection="1">
      <alignment horizontal="right" vertical="center"/>
      <protection locked="0"/>
    </xf>
    <xf numFmtId="172" fontId="25" fillId="4" borderId="0" xfId="1" applyNumberFormat="1" applyFont="1" applyFill="1" applyBorder="1" applyAlignment="1" applyProtection="1">
      <alignment vertical="center"/>
      <protection locked="0"/>
    </xf>
    <xf numFmtId="172" fontId="25" fillId="0" borderId="0" xfId="1" applyNumberFormat="1" applyFont="1" applyFill="1" applyBorder="1" applyAlignment="1" applyProtection="1">
      <alignment vertical="center"/>
      <protection locked="0"/>
    </xf>
    <xf numFmtId="0" fontId="25" fillId="0" borderId="0" xfId="0" applyFont="1" applyAlignment="1" applyProtection="1">
      <alignment horizontal="left" vertical="center"/>
      <protection locked="0"/>
    </xf>
    <xf numFmtId="164" fontId="9" fillId="0" borderId="0" xfId="2" applyNumberFormat="1" applyFont="1" applyFill="1" applyBorder="1" applyAlignment="1" applyProtection="1">
      <alignment vertical="center"/>
      <protection locked="0"/>
    </xf>
    <xf numFmtId="172" fontId="21" fillId="0" borderId="0" xfId="1" applyNumberFormat="1" applyFont="1" applyFill="1" applyBorder="1" applyAlignment="1" applyProtection="1">
      <alignment vertical="center"/>
      <protection locked="0"/>
    </xf>
    <xf numFmtId="172" fontId="21" fillId="0" borderId="0" xfId="1" applyNumberFormat="1" applyFont="1" applyFill="1" applyBorder="1" applyAlignment="1" applyProtection="1">
      <alignment horizontal="right" vertical="center"/>
      <protection locked="0"/>
    </xf>
    <xf numFmtId="166" fontId="21" fillId="0" borderId="0" xfId="1" applyNumberFormat="1" applyFont="1" applyFill="1" applyBorder="1" applyAlignment="1" applyProtection="1">
      <alignment horizontal="right" vertical="center"/>
      <protection locked="0"/>
    </xf>
    <xf numFmtId="172" fontId="9" fillId="0" borderId="0" xfId="0" applyNumberFormat="1" applyFont="1" applyAlignment="1" applyProtection="1">
      <alignment horizontal="right" vertical="center"/>
      <protection locked="0"/>
    </xf>
    <xf numFmtId="0" fontId="9" fillId="0" borderId="0" xfId="0" applyFont="1" applyAlignment="1" applyProtection="1">
      <alignment horizontal="right" vertical="center"/>
      <protection locked="0"/>
    </xf>
    <xf numFmtId="175" fontId="25" fillId="4" borderId="0" xfId="1" applyNumberFormat="1" applyFont="1" applyFill="1" applyBorder="1" applyAlignment="1" applyProtection="1">
      <alignment vertical="center"/>
      <protection locked="0"/>
    </xf>
    <xf numFmtId="183" fontId="25" fillId="4" borderId="0" xfId="2" applyNumberFormat="1" applyFont="1" applyFill="1" applyBorder="1" applyAlignment="1" applyProtection="1">
      <alignment vertical="center"/>
      <protection locked="0"/>
    </xf>
    <xf numFmtId="175" fontId="25" fillId="0" borderId="0" xfId="1" applyNumberFormat="1" applyFont="1" applyFill="1" applyBorder="1" applyAlignment="1" applyProtection="1">
      <alignment vertical="center"/>
      <protection locked="0"/>
    </xf>
    <xf numFmtId="183" fontId="25" fillId="0" borderId="0" xfId="2" applyNumberFormat="1" applyFont="1" applyFill="1" applyBorder="1" applyAlignment="1" applyProtection="1">
      <alignment vertical="center"/>
      <protection locked="0"/>
    </xf>
    <xf numFmtId="180" fontId="25" fillId="0" borderId="0" xfId="2" applyNumberFormat="1" applyFont="1" applyFill="1" applyBorder="1" applyAlignment="1" applyProtection="1">
      <alignment vertical="center"/>
      <protection locked="0"/>
    </xf>
    <xf numFmtId="183" fontId="25" fillId="4" borderId="0" xfId="2" applyNumberFormat="1" applyFont="1" applyFill="1" applyBorder="1" applyAlignment="1" applyProtection="1">
      <alignment horizontal="right" vertical="center"/>
      <protection locked="0"/>
    </xf>
    <xf numFmtId="172" fontId="9" fillId="0" borderId="0" xfId="1" applyNumberFormat="1" applyFont="1" applyFill="1" applyBorder="1" applyAlignment="1" applyProtection="1">
      <alignment horizontal="right" vertical="center"/>
      <protection locked="0"/>
    </xf>
    <xf numFmtId="183" fontId="9" fillId="0" borderId="0" xfId="2" applyNumberFormat="1" applyFont="1" applyFill="1" applyBorder="1" applyAlignment="1" applyProtection="1">
      <alignment horizontal="right" vertical="center"/>
      <protection locked="0"/>
    </xf>
    <xf numFmtId="181" fontId="25" fillId="0" borderId="0" xfId="2" applyNumberFormat="1" applyFont="1" applyFill="1" applyBorder="1" applyAlignment="1" applyProtection="1">
      <alignment vertical="center"/>
      <protection locked="0"/>
    </xf>
    <xf numFmtId="181" fontId="25" fillId="0" borderId="0" xfId="2" applyNumberFormat="1" applyFont="1" applyFill="1" applyBorder="1" applyAlignment="1" applyProtection="1">
      <alignment horizontal="right" vertical="center"/>
      <protection locked="0"/>
    </xf>
    <xf numFmtId="183" fontId="25" fillId="0" borderId="0" xfId="2" applyNumberFormat="1" applyFont="1" applyFill="1" applyBorder="1" applyAlignment="1" applyProtection="1">
      <alignment horizontal="right" vertical="center"/>
      <protection locked="0"/>
    </xf>
    <xf numFmtId="168" fontId="25" fillId="4" borderId="0" xfId="2" applyNumberFormat="1" applyFont="1" applyFill="1" applyBorder="1" applyAlignment="1" applyProtection="1">
      <alignment vertical="center"/>
      <protection locked="0"/>
    </xf>
    <xf numFmtId="182" fontId="25" fillId="4" borderId="0" xfId="2" applyNumberFormat="1" applyFont="1" applyFill="1" applyBorder="1" applyAlignment="1" applyProtection="1">
      <alignment vertical="center"/>
      <protection locked="0"/>
    </xf>
    <xf numFmtId="182" fontId="25" fillId="4" borderId="0" xfId="2" applyNumberFormat="1" applyFont="1" applyFill="1" applyBorder="1" applyAlignment="1" applyProtection="1">
      <alignment horizontal="right" vertical="center"/>
      <protection locked="0"/>
    </xf>
    <xf numFmtId="180" fontId="25" fillId="0" borderId="0" xfId="2" applyNumberFormat="1" applyFont="1" applyFill="1" applyBorder="1" applyAlignment="1" applyProtection="1">
      <alignment horizontal="right" vertical="center"/>
      <protection locked="0"/>
    </xf>
    <xf numFmtId="175" fontId="9" fillId="0" borderId="0" xfId="1" applyNumberFormat="1" applyFont="1" applyFill="1" applyBorder="1" applyAlignment="1" applyProtection="1">
      <alignment horizontal="right" vertical="center"/>
      <protection locked="0"/>
    </xf>
    <xf numFmtId="180" fontId="25" fillId="4" borderId="0" xfId="2" applyNumberFormat="1" applyFont="1" applyFill="1" applyBorder="1" applyAlignment="1" applyProtection="1">
      <alignment horizontal="right" vertical="center"/>
      <protection locked="0"/>
    </xf>
    <xf numFmtId="168" fontId="25" fillId="0" borderId="0" xfId="2" applyNumberFormat="1" applyFont="1" applyFill="1" applyBorder="1" applyAlignment="1" applyProtection="1">
      <alignment vertical="center"/>
      <protection locked="0"/>
    </xf>
    <xf numFmtId="182" fontId="25" fillId="0" borderId="0" xfId="2" applyNumberFormat="1" applyFont="1" applyFill="1" applyBorder="1" applyAlignment="1" applyProtection="1">
      <alignment vertical="center"/>
      <protection locked="0"/>
    </xf>
    <xf numFmtId="182" fontId="25" fillId="0" borderId="0" xfId="2" applyNumberFormat="1" applyFont="1" applyFill="1" applyBorder="1" applyAlignment="1" applyProtection="1">
      <alignment horizontal="right" vertical="center"/>
      <protection locked="0"/>
    </xf>
    <xf numFmtId="168" fontId="9" fillId="4" borderId="0" xfId="2" applyNumberFormat="1" applyFont="1" applyFill="1" applyBorder="1" applyAlignment="1" applyProtection="1">
      <alignment vertical="center"/>
      <protection locked="0"/>
    </xf>
    <xf numFmtId="168" fontId="9" fillId="0" borderId="0" xfId="2" applyNumberFormat="1" applyFont="1" applyFill="1" applyBorder="1" applyAlignment="1" applyProtection="1">
      <alignment horizontal="right" vertical="center"/>
      <protection locked="0"/>
    </xf>
    <xf numFmtId="172" fontId="9" fillId="0" borderId="0" xfId="1" applyNumberFormat="1" applyFont="1" applyFill="1" applyBorder="1" applyAlignment="1" applyProtection="1">
      <alignment vertical="center"/>
      <protection locked="0"/>
    </xf>
    <xf numFmtId="172" fontId="26" fillId="4" borderId="0" xfId="1" applyNumberFormat="1" applyFont="1" applyFill="1" applyBorder="1" applyAlignment="1" applyProtection="1">
      <alignment horizontal="right"/>
      <protection locked="0"/>
    </xf>
    <xf numFmtId="0" fontId="26" fillId="0" borderId="0" xfId="0" applyFont="1" applyAlignment="1" applyProtection="1">
      <alignment horizontal="left" vertical="center"/>
      <protection locked="0"/>
    </xf>
    <xf numFmtId="168" fontId="26" fillId="5" borderId="0" xfId="2" applyNumberFormat="1" applyFont="1" applyFill="1" applyBorder="1" applyAlignment="1" applyProtection="1">
      <alignment horizontal="right"/>
      <protection locked="0"/>
    </xf>
    <xf numFmtId="165" fontId="26" fillId="0" borderId="0" xfId="1" applyNumberFormat="1" applyFont="1" applyFill="1" applyBorder="1" applyAlignment="1" applyProtection="1">
      <alignment vertical="center" wrapText="1"/>
      <protection locked="0"/>
    </xf>
    <xf numFmtId="167" fontId="26" fillId="4" borderId="0" xfId="1" applyNumberFormat="1" applyFont="1" applyFill="1" applyBorder="1" applyAlignment="1" applyProtection="1">
      <alignment horizontal="right" vertical="center" wrapText="1"/>
      <protection locked="0"/>
    </xf>
    <xf numFmtId="0" fontId="15" fillId="9" borderId="5" xfId="0" applyFont="1" applyFill="1" applyBorder="1" applyAlignment="1" applyProtection="1">
      <alignment horizontal="left" vertical="center" indent="1"/>
      <protection locked="0" hidden="1"/>
    </xf>
    <xf numFmtId="0" fontId="48" fillId="0" borderId="0" xfId="0" applyFont="1" applyAlignment="1" applyProtection="1">
      <alignment horizontal="left" vertical="center"/>
      <protection locked="0" hidden="1"/>
    </xf>
    <xf numFmtId="165" fontId="48" fillId="0" borderId="8" xfId="1" applyNumberFormat="1" applyFont="1" applyFill="1" applyBorder="1" applyAlignment="1" applyProtection="1">
      <alignment horizontal="center" vertical="center"/>
      <protection locked="0" hidden="1"/>
    </xf>
    <xf numFmtId="165" fontId="48" fillId="0" borderId="11" xfId="1" applyNumberFormat="1" applyFont="1" applyFill="1" applyBorder="1" applyAlignment="1" applyProtection="1">
      <alignment horizontal="center" vertical="center"/>
      <protection locked="0" hidden="1"/>
    </xf>
    <xf numFmtId="0" fontId="26" fillId="0" borderId="0" xfId="0" applyFont="1" applyAlignment="1" applyProtection="1">
      <alignment horizontal="left" vertical="center"/>
      <protection locked="0" hidden="1"/>
    </xf>
    <xf numFmtId="0" fontId="25" fillId="4" borderId="12" xfId="0" applyFont="1" applyFill="1" applyBorder="1" applyAlignment="1" applyProtection="1">
      <alignment horizontal="left" vertical="center" indent="1"/>
      <protection locked="0" hidden="1"/>
    </xf>
    <xf numFmtId="175" fontId="25" fillId="4" borderId="12" xfId="1" applyNumberFormat="1" applyFont="1" applyFill="1" applyBorder="1" applyAlignment="1" applyProtection="1">
      <alignment vertical="center"/>
      <protection locked="0"/>
    </xf>
    <xf numFmtId="183" fontId="25" fillId="4" borderId="12" xfId="2" applyNumberFormat="1" applyFont="1" applyFill="1" applyBorder="1" applyAlignment="1" applyProtection="1">
      <alignment vertical="center"/>
      <protection locked="0"/>
    </xf>
    <xf numFmtId="0" fontId="26" fillId="4" borderId="0" xfId="0" applyFont="1" applyFill="1" applyAlignment="1" applyProtection="1">
      <alignment horizontal="left" vertical="center"/>
      <protection locked="0" hidden="1"/>
    </xf>
    <xf numFmtId="0" fontId="9" fillId="4" borderId="0" xfId="0" applyFont="1" applyFill="1" applyAlignment="1" applyProtection="1">
      <alignment horizontal="right" vertical="center"/>
      <protection locked="0"/>
    </xf>
    <xf numFmtId="180" fontId="9" fillId="4" borderId="0" xfId="2" applyNumberFormat="1" applyFont="1" applyFill="1" applyBorder="1" applyAlignment="1" applyProtection="1">
      <alignment horizontal="right" vertical="center"/>
      <protection locked="0"/>
    </xf>
    <xf numFmtId="181" fontId="9" fillId="4" borderId="0" xfId="2" applyNumberFormat="1" applyFont="1" applyFill="1" applyBorder="1" applyAlignment="1" applyProtection="1">
      <alignment horizontal="right" vertical="center"/>
      <protection locked="0"/>
    </xf>
    <xf numFmtId="180" fontId="9" fillId="0" borderId="0" xfId="2" applyNumberFormat="1" applyFont="1" applyBorder="1" applyAlignment="1" applyProtection="1">
      <alignment horizontal="right" vertical="center"/>
      <protection locked="0"/>
    </xf>
    <xf numFmtId="0" fontId="25" fillId="0" borderId="12" xfId="0" applyFont="1" applyBorder="1" applyAlignment="1" applyProtection="1">
      <alignment horizontal="left" vertical="center" indent="1"/>
      <protection locked="0" hidden="1"/>
    </xf>
    <xf numFmtId="172" fontId="25" fillId="0" borderId="12" xfId="1" applyNumberFormat="1" applyFont="1" applyFill="1" applyBorder="1" applyAlignment="1" applyProtection="1">
      <alignment vertical="center"/>
      <protection locked="0"/>
    </xf>
    <xf numFmtId="183" fontId="25" fillId="0" borderId="12" xfId="2" applyNumberFormat="1" applyFont="1" applyFill="1" applyBorder="1" applyAlignment="1" applyProtection="1">
      <alignment vertical="center"/>
      <protection locked="0"/>
    </xf>
    <xf numFmtId="0" fontId="9" fillId="0" borderId="12" xfId="0" applyFont="1" applyBorder="1" applyAlignment="1" applyProtection="1">
      <alignment horizontal="left" vertical="center" indent="1"/>
      <protection locked="0" hidden="1"/>
    </xf>
    <xf numFmtId="183" fontId="25" fillId="0" borderId="12" xfId="2" applyNumberFormat="1" applyFont="1" applyFill="1" applyBorder="1" applyAlignment="1" applyProtection="1">
      <alignment horizontal="right" vertical="center"/>
      <protection locked="0"/>
    </xf>
    <xf numFmtId="165" fontId="25" fillId="4" borderId="12" xfId="1" applyNumberFormat="1" applyFont="1" applyFill="1" applyBorder="1" applyAlignment="1" applyProtection="1">
      <alignment horizontal="left" vertical="center" wrapText="1" indent="1"/>
      <protection locked="0" hidden="1"/>
    </xf>
    <xf numFmtId="168" fontId="25" fillId="4" borderId="12" xfId="2" applyNumberFormat="1" applyFont="1" applyFill="1" applyBorder="1" applyAlignment="1" applyProtection="1">
      <alignment vertical="center"/>
      <protection locked="0"/>
    </xf>
    <xf numFmtId="182" fontId="25" fillId="4" borderId="12" xfId="2" applyNumberFormat="1" applyFont="1" applyFill="1" applyBorder="1" applyAlignment="1" applyProtection="1">
      <alignment vertical="center"/>
      <protection locked="0"/>
    </xf>
    <xf numFmtId="182" fontId="25" fillId="4" borderId="12" xfId="2" applyNumberFormat="1" applyFont="1" applyFill="1" applyBorder="1" applyAlignment="1" applyProtection="1">
      <alignment horizontal="right" vertical="center"/>
      <protection locked="0"/>
    </xf>
    <xf numFmtId="168" fontId="25" fillId="0" borderId="12" xfId="2" applyNumberFormat="1" applyFont="1" applyFill="1" applyBorder="1" applyAlignment="1" applyProtection="1">
      <alignment vertical="center"/>
      <protection locked="0"/>
    </xf>
    <xf numFmtId="182" fontId="25" fillId="0" borderId="12" xfId="2" applyNumberFormat="1" applyFont="1" applyFill="1" applyBorder="1" applyAlignment="1" applyProtection="1">
      <alignment vertical="center"/>
      <protection locked="0"/>
    </xf>
    <xf numFmtId="182" fontId="25" fillId="0" borderId="12" xfId="2" applyNumberFormat="1" applyFont="1" applyFill="1" applyBorder="1" applyAlignment="1" applyProtection="1">
      <alignment horizontal="right" vertical="center"/>
      <protection locked="0"/>
    </xf>
    <xf numFmtId="165" fontId="21" fillId="4" borderId="12" xfId="1" applyNumberFormat="1" applyFont="1" applyFill="1" applyBorder="1" applyAlignment="1" applyProtection="1">
      <alignment horizontal="left" vertical="center" wrapText="1"/>
      <protection locked="0" hidden="1"/>
    </xf>
    <xf numFmtId="172" fontId="21" fillId="4" borderId="12" xfId="1" applyNumberFormat="1" applyFont="1" applyFill="1" applyBorder="1" applyAlignment="1" applyProtection="1">
      <alignment horizontal="right" vertical="center"/>
      <protection locked="0"/>
    </xf>
    <xf numFmtId="0" fontId="21" fillId="4" borderId="12" xfId="0" applyFont="1" applyFill="1" applyBorder="1" applyAlignment="1" applyProtection="1">
      <alignment horizontal="left" vertical="center"/>
      <protection locked="0" hidden="1"/>
    </xf>
    <xf numFmtId="172" fontId="21" fillId="4" borderId="12" xfId="1" applyNumberFormat="1" applyFont="1" applyFill="1" applyBorder="1" applyAlignment="1" applyProtection="1">
      <alignment vertical="center"/>
      <protection locked="0"/>
    </xf>
    <xf numFmtId="49" fontId="49" fillId="0" borderId="8" xfId="1" applyNumberFormat="1" applyFont="1" applyFill="1" applyBorder="1" applyAlignment="1" applyProtection="1">
      <alignment horizontal="center" vertical="center"/>
      <protection locked="0" hidden="1"/>
    </xf>
    <xf numFmtId="49" fontId="49" fillId="0" borderId="11" xfId="1" applyNumberFormat="1" applyFont="1" applyFill="1" applyBorder="1" applyAlignment="1" applyProtection="1">
      <alignment horizontal="center" vertical="center"/>
      <protection locked="0" hidden="1"/>
    </xf>
    <xf numFmtId="0" fontId="26" fillId="4" borderId="12" xfId="0" applyFont="1" applyFill="1" applyBorder="1" applyAlignment="1" applyProtection="1">
      <alignment horizontal="left" vertical="center"/>
      <protection locked="0" hidden="1"/>
    </xf>
    <xf numFmtId="172" fontId="26" fillId="4" borderId="12" xfId="1" applyNumberFormat="1" applyFont="1" applyFill="1" applyBorder="1" applyAlignment="1" applyProtection="1">
      <alignment horizontal="right" vertical="center"/>
      <protection locked="0"/>
    </xf>
    <xf numFmtId="0" fontId="26" fillId="0" borderId="12" xfId="0" applyFont="1" applyBorder="1" applyAlignment="1" applyProtection="1">
      <alignment vertical="center"/>
      <protection locked="0" hidden="1"/>
    </xf>
    <xf numFmtId="172" fontId="26" fillId="0" borderId="12" xfId="1" applyNumberFormat="1" applyFont="1" applyFill="1" applyBorder="1" applyAlignment="1" applyProtection="1">
      <alignment horizontal="right" vertical="center"/>
      <protection locked="0"/>
    </xf>
    <xf numFmtId="0" fontId="26" fillId="4" borderId="12" xfId="0" applyFont="1" applyFill="1" applyBorder="1" applyAlignment="1" applyProtection="1">
      <alignment vertical="center"/>
      <protection locked="0" hidden="1"/>
    </xf>
    <xf numFmtId="165" fontId="26" fillId="4" borderId="12" xfId="1" applyNumberFormat="1" applyFont="1" applyFill="1" applyBorder="1" applyAlignment="1" applyProtection="1">
      <alignment horizontal="left" vertical="center" wrapText="1"/>
      <protection locked="0" hidden="1"/>
    </xf>
    <xf numFmtId="165" fontId="26" fillId="0" borderId="12" xfId="1" applyNumberFormat="1" applyFont="1" applyFill="1" applyBorder="1" applyAlignment="1" applyProtection="1">
      <alignment horizontal="left" vertical="center" wrapText="1"/>
      <protection locked="0" hidden="1"/>
    </xf>
    <xf numFmtId="9" fontId="9" fillId="4" borderId="0" xfId="2" applyFont="1" applyFill="1" applyBorder="1" applyProtection="1">
      <protection locked="0"/>
    </xf>
    <xf numFmtId="0" fontId="25" fillId="4" borderId="12" xfId="0" applyFont="1" applyFill="1" applyBorder="1" applyAlignment="1" applyProtection="1">
      <alignment horizontal="left" indent="1"/>
      <protection locked="0" hidden="1"/>
    </xf>
    <xf numFmtId="172" fontId="25" fillId="4" borderId="12" xfId="1" applyNumberFormat="1" applyFont="1" applyFill="1" applyBorder="1" applyAlignment="1" applyProtection="1">
      <alignment horizontal="right"/>
      <protection locked="0"/>
    </xf>
    <xf numFmtId="165" fontId="26" fillId="0" borderId="12" xfId="1" applyNumberFormat="1" applyFont="1" applyFill="1" applyBorder="1" applyAlignment="1" applyProtection="1">
      <alignment horizontal="left" vertical="center" wrapText="1"/>
      <protection locked="0"/>
    </xf>
    <xf numFmtId="0" fontId="25" fillId="0" borderId="12" xfId="0" applyFont="1" applyBorder="1" applyAlignment="1" applyProtection="1">
      <alignment horizontal="left" indent="1"/>
      <protection locked="0" hidden="1"/>
    </xf>
    <xf numFmtId="172" fontId="25" fillId="0" borderId="12" xfId="1" applyNumberFormat="1" applyFont="1" applyFill="1" applyBorder="1" applyAlignment="1" applyProtection="1">
      <alignment horizontal="right"/>
      <protection locked="0"/>
    </xf>
    <xf numFmtId="172" fontId="25" fillId="4" borderId="12" xfId="1" applyNumberFormat="1" applyFont="1" applyFill="1" applyBorder="1" applyAlignment="1" applyProtection="1">
      <alignment horizontal="right" vertical="center"/>
      <protection locked="0"/>
    </xf>
    <xf numFmtId="0" fontId="25" fillId="0" borderId="12" xfId="0" applyFont="1" applyBorder="1" applyAlignment="1" applyProtection="1">
      <alignment horizontal="left" indent="2"/>
      <protection locked="0" hidden="1"/>
    </xf>
    <xf numFmtId="172" fontId="25" fillId="0" borderId="12" xfId="0" applyNumberFormat="1" applyFont="1" applyBorder="1" applyAlignment="1" applyProtection="1">
      <alignment horizontal="right" vertical="center" wrapText="1"/>
      <protection locked="0"/>
    </xf>
    <xf numFmtId="0" fontId="26" fillId="4" borderId="12" xfId="0" applyFont="1" applyFill="1" applyBorder="1" applyAlignment="1" applyProtection="1">
      <alignment horizontal="left" vertical="center" wrapText="1"/>
      <protection locked="0" hidden="1"/>
    </xf>
    <xf numFmtId="167" fontId="26" fillId="4" borderId="12" xfId="0" applyNumberFormat="1" applyFont="1" applyFill="1" applyBorder="1" applyAlignment="1" applyProtection="1">
      <alignment horizontal="right" vertical="center" wrapText="1"/>
      <protection locked="0"/>
    </xf>
    <xf numFmtId="172" fontId="9" fillId="0" borderId="12" xfId="1" applyNumberFormat="1" applyFont="1" applyFill="1" applyBorder="1" applyProtection="1">
      <protection locked="0"/>
    </xf>
    <xf numFmtId="172" fontId="21" fillId="0" borderId="12" xfId="0" applyNumberFormat="1" applyFont="1" applyBorder="1" applyProtection="1">
      <protection locked="0"/>
    </xf>
    <xf numFmtId="168" fontId="9" fillId="0" borderId="12" xfId="2" applyNumberFormat="1" applyFont="1" applyFill="1" applyBorder="1" applyProtection="1">
      <protection locked="0"/>
    </xf>
    <xf numFmtId="0" fontId="21" fillId="4" borderId="12" xfId="0" applyFont="1" applyFill="1" applyBorder="1" applyProtection="1">
      <protection locked="0" hidden="1"/>
    </xf>
    <xf numFmtId="172" fontId="21" fillId="4" borderId="12" xfId="0" applyNumberFormat="1" applyFont="1" applyFill="1" applyBorder="1" applyProtection="1">
      <protection locked="0"/>
    </xf>
    <xf numFmtId="168" fontId="26" fillId="4" borderId="12" xfId="2" applyNumberFormat="1" applyFont="1" applyFill="1" applyBorder="1" applyAlignment="1" applyProtection="1">
      <alignment horizontal="right" vertical="center" wrapText="1"/>
      <protection locked="0"/>
    </xf>
    <xf numFmtId="168" fontId="26" fillId="0" borderId="12" xfId="2" applyNumberFormat="1" applyFont="1" applyFill="1" applyBorder="1" applyAlignment="1" applyProtection="1">
      <alignment horizontal="right" vertical="center" wrapText="1"/>
      <protection locked="0"/>
    </xf>
    <xf numFmtId="0" fontId="21" fillId="0" borderId="12" xfId="0" applyFont="1" applyBorder="1" applyAlignment="1" applyProtection="1">
      <alignment horizontal="left"/>
      <protection locked="0" hidden="1"/>
    </xf>
    <xf numFmtId="0" fontId="21" fillId="4" borderId="12" xfId="0" applyFont="1" applyFill="1" applyBorder="1" applyAlignment="1" applyProtection="1">
      <alignment horizontal="left"/>
      <protection locked="0" hidden="1"/>
    </xf>
    <xf numFmtId="172" fontId="25" fillId="0" borderId="12" xfId="1" applyNumberFormat="1" applyFont="1" applyFill="1" applyBorder="1" applyAlignment="1" applyProtection="1">
      <alignment horizontal="right" vertical="center"/>
      <protection locked="0"/>
    </xf>
    <xf numFmtId="0" fontId="9" fillId="4" borderId="12" xfId="0" applyFont="1" applyFill="1" applyBorder="1" applyAlignment="1" applyProtection="1">
      <alignment horizontal="left" indent="1"/>
      <protection locked="0" hidden="1"/>
    </xf>
    <xf numFmtId="172" fontId="9" fillId="4" borderId="12" xfId="0" applyNumberFormat="1" applyFont="1" applyFill="1" applyBorder="1" applyProtection="1">
      <protection locked="0"/>
    </xf>
    <xf numFmtId="168" fontId="26" fillId="0" borderId="12" xfId="2" applyNumberFormat="1" applyFont="1" applyFill="1" applyBorder="1" applyAlignment="1" applyProtection="1">
      <alignment horizontal="right" vertical="center"/>
      <protection locked="0"/>
    </xf>
    <xf numFmtId="165" fontId="9" fillId="4" borderId="12" xfId="1" applyNumberFormat="1" applyFont="1" applyFill="1" applyBorder="1" applyAlignment="1" applyProtection="1">
      <alignment horizontal="left" vertical="center" wrapText="1" indent="1"/>
      <protection locked="0" hidden="1"/>
    </xf>
    <xf numFmtId="168" fontId="9" fillId="4" borderId="12" xfId="2" applyNumberFormat="1" applyFont="1" applyFill="1" applyBorder="1" applyAlignment="1" applyProtection="1">
      <alignment horizontal="right" vertical="center" wrapText="1"/>
      <protection locked="0"/>
    </xf>
    <xf numFmtId="49" fontId="48" fillId="0" borderId="8" xfId="1" applyNumberFormat="1" applyFont="1" applyFill="1" applyBorder="1" applyAlignment="1" applyProtection="1">
      <alignment horizontal="center" vertical="center"/>
      <protection locked="0" hidden="1"/>
    </xf>
    <xf numFmtId="168" fontId="21" fillId="0" borderId="12" xfId="2" applyNumberFormat="1" applyFont="1" applyFill="1" applyBorder="1" applyAlignment="1" applyProtection="1">
      <alignment horizontal="right"/>
      <protection locked="0"/>
    </xf>
    <xf numFmtId="165" fontId="26" fillId="5" borderId="0" xfId="1" applyNumberFormat="1" applyFont="1" applyFill="1" applyBorder="1" applyAlignment="1" applyProtection="1">
      <alignment horizontal="left" vertical="center" wrapText="1"/>
      <protection locked="0" hidden="1"/>
    </xf>
    <xf numFmtId="0" fontId="9" fillId="5" borderId="12" xfId="0" applyFont="1" applyFill="1" applyBorder="1" applyAlignment="1" applyProtection="1">
      <alignment horizontal="left" vertical="center" wrapText="1" indent="1"/>
      <protection locked="0" hidden="1"/>
    </xf>
    <xf numFmtId="172" fontId="25" fillId="5" borderId="12" xfId="1" applyNumberFormat="1" applyFont="1" applyFill="1" applyBorder="1" applyAlignment="1" applyProtection="1">
      <alignment horizontal="right"/>
      <protection locked="0"/>
    </xf>
    <xf numFmtId="165" fontId="26" fillId="5" borderId="12" xfId="1" applyNumberFormat="1" applyFont="1" applyFill="1" applyBorder="1" applyAlignment="1" applyProtection="1">
      <alignment horizontal="left" vertical="center" wrapText="1"/>
      <protection locked="0" hidden="1"/>
    </xf>
    <xf numFmtId="168" fontId="21" fillId="5" borderId="12" xfId="2" applyNumberFormat="1" applyFont="1" applyFill="1" applyBorder="1" applyAlignment="1" applyProtection="1">
      <alignment horizontal="right"/>
      <protection locked="0"/>
    </xf>
    <xf numFmtId="165" fontId="25" fillId="0" borderId="12" xfId="1" applyNumberFormat="1" applyFont="1" applyFill="1" applyBorder="1" applyAlignment="1" applyProtection="1">
      <alignment horizontal="left" vertical="center" wrapText="1" indent="1"/>
      <protection locked="0" hidden="1"/>
    </xf>
    <xf numFmtId="174" fontId="21" fillId="0" borderId="12" xfId="2" applyNumberFormat="1" applyFont="1" applyFill="1" applyBorder="1" applyAlignment="1" applyProtection="1">
      <alignment horizontal="right"/>
      <protection locked="0"/>
    </xf>
    <xf numFmtId="165" fontId="25" fillId="4" borderId="12" xfId="1" applyNumberFormat="1" applyFont="1" applyFill="1" applyBorder="1" applyAlignment="1" applyProtection="1">
      <alignment horizontal="left" vertical="center" wrapText="1"/>
      <protection locked="0" hidden="1"/>
    </xf>
    <xf numFmtId="167" fontId="25" fillId="4" borderId="12" xfId="1" applyNumberFormat="1" applyFont="1" applyFill="1" applyBorder="1" applyAlignment="1" applyProtection="1">
      <alignment horizontal="right" vertical="center" wrapText="1"/>
      <protection locked="0"/>
    </xf>
    <xf numFmtId="165" fontId="26" fillId="0" borderId="0" xfId="1" applyNumberFormat="1" applyFont="1" applyFill="1" applyBorder="1" applyAlignment="1" applyProtection="1">
      <alignment vertical="center" wrapText="1"/>
      <protection locked="0" hidden="1"/>
    </xf>
    <xf numFmtId="166" fontId="9" fillId="4" borderId="12" xfId="1" applyNumberFormat="1" applyFont="1" applyFill="1" applyBorder="1" applyAlignment="1" applyProtection="1">
      <alignment horizontal="right" vertical="center"/>
      <protection locked="0"/>
    </xf>
    <xf numFmtId="0" fontId="25" fillId="4" borderId="12" xfId="0" applyFont="1" applyFill="1" applyBorder="1" applyAlignment="1" applyProtection="1">
      <alignment horizontal="left" vertical="center" wrapText="1" indent="1"/>
      <protection locked="0" hidden="1"/>
    </xf>
    <xf numFmtId="166" fontId="25" fillId="4" borderId="12" xfId="1" applyNumberFormat="1" applyFont="1" applyFill="1" applyBorder="1" applyAlignment="1" applyProtection="1">
      <alignment horizontal="right" vertical="center"/>
      <protection locked="0"/>
    </xf>
    <xf numFmtId="0" fontId="25" fillId="0" borderId="12" xfId="0" applyFont="1" applyBorder="1" applyAlignment="1" applyProtection="1">
      <alignment horizontal="left" vertical="center" wrapText="1" indent="1"/>
      <protection locked="0" hidden="1"/>
    </xf>
    <xf numFmtId="166" fontId="25" fillId="0" borderId="12" xfId="1" applyNumberFormat="1" applyFont="1" applyFill="1" applyBorder="1" applyAlignment="1" applyProtection="1">
      <alignment horizontal="right" vertical="center"/>
      <protection locked="0"/>
    </xf>
    <xf numFmtId="166" fontId="21" fillId="4" borderId="12" xfId="0" applyNumberFormat="1" applyFont="1" applyFill="1" applyBorder="1" applyProtection="1">
      <protection locked="0"/>
    </xf>
    <xf numFmtId="170" fontId="9" fillId="4" borderId="12" xfId="1" applyNumberFormat="1" applyFont="1" applyFill="1" applyBorder="1" applyAlignment="1" applyProtection="1">
      <alignment horizontal="right" vertical="center" wrapText="1"/>
      <protection locked="0"/>
    </xf>
    <xf numFmtId="0" fontId="48" fillId="0" borderId="8" xfId="0" applyFont="1" applyBorder="1" applyAlignment="1" applyProtection="1">
      <alignment horizontal="center" vertical="center"/>
      <protection locked="0" hidden="1"/>
    </xf>
    <xf numFmtId="0" fontId="51" fillId="0" borderId="8" xfId="0" applyFont="1" applyBorder="1" applyAlignment="1" applyProtection="1">
      <alignment horizontal="center" vertical="center"/>
      <protection locked="0" hidden="1"/>
    </xf>
    <xf numFmtId="168" fontId="21" fillId="0" borderId="0" xfId="2" applyNumberFormat="1" applyFont="1" applyFill="1" applyProtection="1">
      <protection locked="0"/>
    </xf>
    <xf numFmtId="9" fontId="21" fillId="0" borderId="0" xfId="2" applyFont="1" applyFill="1" applyProtection="1">
      <protection locked="0"/>
    </xf>
    <xf numFmtId="175" fontId="45" fillId="0" borderId="0" xfId="1" applyNumberFormat="1" applyFont="1" applyFill="1" applyBorder="1" applyAlignment="1" applyProtection="1">
      <alignment horizontal="right"/>
      <protection locked="0"/>
    </xf>
    <xf numFmtId="172" fontId="4" fillId="0" borderId="0" xfId="0" applyNumberFormat="1" applyFont="1" applyAlignment="1" applyProtection="1">
      <alignment horizontal="right"/>
      <protection locked="0"/>
    </xf>
    <xf numFmtId="168" fontId="9" fillId="0" borderId="0" xfId="0" applyNumberFormat="1" applyFont="1" applyAlignment="1" applyProtection="1">
      <alignment horizontal="right"/>
      <protection locked="0"/>
    </xf>
    <xf numFmtId="175" fontId="9" fillId="0" borderId="0" xfId="1" applyNumberFormat="1" applyFont="1" applyAlignment="1" applyProtection="1">
      <alignment horizontal="right"/>
      <protection locked="0"/>
    </xf>
    <xf numFmtId="9" fontId="9" fillId="0" borderId="0" xfId="2" applyFont="1" applyAlignment="1" applyProtection="1">
      <alignment horizontal="right"/>
      <protection locked="0"/>
    </xf>
    <xf numFmtId="0" fontId="25" fillId="5" borderId="0" xfId="0" applyFont="1" applyFill="1" applyAlignment="1" applyProtection="1">
      <alignment horizontal="left" indent="1"/>
      <protection locked="0" hidden="1"/>
    </xf>
    <xf numFmtId="168" fontId="9" fillId="5" borderId="0" xfId="2" applyNumberFormat="1" applyFont="1" applyFill="1" applyProtection="1">
      <protection locked="0"/>
    </xf>
    <xf numFmtId="9" fontId="25" fillId="5" borderId="0" xfId="2" applyFont="1" applyFill="1" applyBorder="1" applyAlignment="1" applyProtection="1">
      <alignment horizontal="right" vertical="center"/>
      <protection locked="0"/>
    </xf>
    <xf numFmtId="168" fontId="25" fillId="0" borderId="0" xfId="2" applyNumberFormat="1" applyFont="1" applyFill="1" applyBorder="1" applyAlignment="1" applyProtection="1">
      <alignment horizontal="right" vertical="center" wrapText="1"/>
      <protection locked="0"/>
    </xf>
    <xf numFmtId="165" fontId="9" fillId="4" borderId="0" xfId="1" applyNumberFormat="1" applyFont="1" applyFill="1" applyBorder="1" applyAlignment="1" applyProtection="1">
      <alignment vertical="center" wrapText="1"/>
      <protection locked="0" hidden="1"/>
    </xf>
    <xf numFmtId="0" fontId="27" fillId="4" borderId="0" xfId="0" applyFont="1" applyFill="1" applyAlignment="1" applyProtection="1">
      <alignment horizontal="left" indent="5"/>
      <protection locked="0" hidden="1"/>
    </xf>
    <xf numFmtId="168" fontId="21" fillId="4" borderId="12" xfId="2" applyNumberFormat="1" applyFont="1" applyFill="1" applyBorder="1" applyAlignment="1" applyProtection="1">
      <alignment horizontal="right"/>
      <protection locked="0"/>
    </xf>
    <xf numFmtId="168" fontId="26" fillId="4" borderId="0" xfId="2" applyNumberFormat="1" applyFont="1" applyFill="1" applyBorder="1" applyAlignment="1" applyProtection="1">
      <alignment horizontal="right"/>
      <protection locked="0"/>
    </xf>
    <xf numFmtId="172" fontId="9" fillId="0" borderId="0" xfId="1" applyNumberFormat="1" applyFont="1" applyFill="1" applyProtection="1">
      <protection locked="0"/>
    </xf>
    <xf numFmtId="9" fontId="9" fillId="4" borderId="0" xfId="2" applyFont="1" applyFill="1" applyBorder="1" applyAlignment="1" applyProtection="1">
      <alignment horizontal="right" vertical="center"/>
      <protection locked="0"/>
    </xf>
    <xf numFmtId="0" fontId="19" fillId="0" borderId="0" xfId="0" applyFont="1" applyAlignment="1" applyProtection="1">
      <alignment horizontal="center"/>
      <protection locked="0" hidden="1"/>
    </xf>
    <xf numFmtId="0" fontId="9"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50" fillId="2" borderId="0" xfId="0" applyFont="1" applyFill="1" applyAlignment="1" applyProtection="1">
      <alignment horizontal="center" vertical="center"/>
      <protection locked="0" hidden="1"/>
    </xf>
    <xf numFmtId="0" fontId="9" fillId="2" borderId="0" xfId="0" applyFont="1" applyFill="1" applyAlignment="1" applyProtection="1">
      <alignment horizontal="left" vertical="top" wrapText="1"/>
      <protection locked="0" hidden="1"/>
    </xf>
    <xf numFmtId="0" fontId="33" fillId="4" borderId="0" xfId="0" applyFont="1" applyFill="1" applyAlignment="1" applyProtection="1">
      <alignment horizontal="center" vertical="center" wrapText="1"/>
      <protection locked="0" hidden="1"/>
    </xf>
    <xf numFmtId="0" fontId="37" fillId="0" borderId="0" xfId="0" applyFont="1" applyAlignment="1" applyProtection="1">
      <alignment horizontal="center" vertical="center"/>
      <protection locked="0" hidden="1"/>
    </xf>
    <xf numFmtId="0" fontId="33" fillId="2" borderId="0" xfId="0" applyFont="1" applyFill="1" applyAlignment="1" applyProtection="1">
      <alignment horizontal="left" wrapText="1"/>
      <protection locked="0" hidden="1"/>
    </xf>
  </cellXfs>
  <cellStyles count="12">
    <cellStyle name="Comma" xfId="1" builtinId="3"/>
    <cellStyle name="Estilo 2" xfId="8" xr:uid="{00000000-0005-0000-0000-000000000000}"/>
    <cellStyle name="Hyperlink" xfId="11" builtinId="8"/>
    <cellStyle name="Normal" xfId="0" builtinId="0"/>
    <cellStyle name="Normal 11" xfId="5" xr:uid="{00000000-0005-0000-0000-000002000000}"/>
    <cellStyle name="Normal 2" xfId="9" xr:uid="{00000000-0005-0000-0000-000003000000}"/>
    <cellStyle name="Normal 22" xfId="10" xr:uid="{2EEDC521-205B-2040-ACE3-A03EF593B3D5}"/>
    <cellStyle name="Normal 6 2 2" xfId="4" xr:uid="{00000000-0005-0000-0000-000004000000}"/>
    <cellStyle name="Percent" xfId="2" builtinId="5"/>
    <cellStyle name="Vírgula 3" xfId="7" xr:uid="{00000000-0005-0000-0000-000007000000}"/>
    <cellStyle name="Vírgula 4" xfId="3" xr:uid="{00000000-0005-0000-0000-000008000000}"/>
    <cellStyle name="Vírgula 7" xfId="6" xr:uid="{00000000-0005-0000-0000-000009000000}"/>
  </cellStyles>
  <dxfs count="0"/>
  <tableStyles count="0" defaultTableStyle="TableStyleMedium2" defaultPivotStyle="PivotStyleLight16"/>
  <colors>
    <mruColors>
      <color rgb="FFF2F2F2"/>
      <color rgb="FFEB7100"/>
      <color rgb="FFFFCA96"/>
      <color rgb="FFEBEBEB"/>
      <color rgb="FFFE7800"/>
      <color rgb="FF808080"/>
      <color rgb="FFFDE4D6"/>
      <color rgb="FFFDE5D7"/>
      <color rgb="FFF0F6F6"/>
      <color rgb="FFFEE6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1.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2.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6.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7.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8.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2.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20.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2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Summary | Sum&#225;rio'!A1"/><Relationship Id="rId1" Type="http://schemas.openxmlformats.org/officeDocument/2006/relationships/image" Target="../media/image7.jpeg"/><Relationship Id="rId4" Type="http://schemas.openxmlformats.org/officeDocument/2006/relationships/image" Target="../media/image6.svg"/></Relationships>
</file>

<file path=xl/drawings/_rels/drawing22.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4.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5.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6.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7.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8.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_rels/drawing9.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Summary | Sum&#225;rio'!A1"/></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17</xdr:row>
      <xdr:rowOff>228600</xdr:rowOff>
    </xdr:from>
    <xdr:to>
      <xdr:col>3</xdr:col>
      <xdr:colOff>88900</xdr:colOff>
      <xdr:row>33</xdr:row>
      <xdr:rowOff>50800</xdr:rowOff>
    </xdr:to>
    <xdr:pic>
      <xdr:nvPicPr>
        <xdr:cNvPr id="20" name="Picture 19">
          <a:extLst>
            <a:ext uri="{FF2B5EF4-FFF2-40B4-BE49-F238E27FC236}">
              <a16:creationId xmlns:a16="http://schemas.microsoft.com/office/drawing/2014/main" id="{F921A25F-6393-5E23-4B0C-98AF3B502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4330700"/>
          <a:ext cx="3073400" cy="3073400"/>
        </a:xfrm>
        <a:prstGeom prst="rect">
          <a:avLst/>
        </a:prstGeom>
        <a:noFill/>
        <a:ln>
          <a:noFill/>
        </a:ln>
        <a:effectLst>
          <a:outerShdw blurRad="50800" dist="38100" dir="2700000" algn="tl" rotWithShape="0">
            <a:prstClr val="black">
              <a:alpha val="40000"/>
            </a:prstClr>
          </a:outerShdw>
        </a:effectLst>
      </xdr:spPr>
    </xdr:pic>
    <xdr:clientData/>
  </xdr:twoCellAnchor>
  <xdr:twoCellAnchor>
    <xdr:from>
      <xdr:col>3</xdr:col>
      <xdr:colOff>1239024</xdr:colOff>
      <xdr:row>7</xdr:row>
      <xdr:rowOff>139391</xdr:rowOff>
    </xdr:from>
    <xdr:to>
      <xdr:col>6</xdr:col>
      <xdr:colOff>3199340</xdr:colOff>
      <xdr:row>7</xdr:row>
      <xdr:rowOff>596591</xdr:rowOff>
    </xdr:to>
    <xdr:sp macro="" textlink="">
      <xdr:nvSpPr>
        <xdr:cNvPr id="7" name="Rounded Rectangle 5">
          <a:extLst>
            <a:ext uri="{FF2B5EF4-FFF2-40B4-BE49-F238E27FC236}">
              <a16:creationId xmlns:a16="http://schemas.microsoft.com/office/drawing/2014/main" id="{00000000-0008-0000-0100-000007000000}"/>
            </a:ext>
          </a:extLst>
        </xdr:cNvPr>
        <xdr:cNvSpPr/>
      </xdr:nvSpPr>
      <xdr:spPr>
        <a:xfrm>
          <a:off x="4909634" y="1486830"/>
          <a:ext cx="3803365" cy="457200"/>
        </a:xfrm>
        <a:prstGeom prst="roundRect">
          <a:avLst/>
        </a:prstGeom>
        <a:solidFill>
          <a:srgbClr val="EB71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bg1"/>
              </a:solidFill>
              <a:latin typeface="Calibri" panose="020F0502020204030204" pitchFamily="34" charset="0"/>
              <a:cs typeface="Calibri" panose="020F0502020204030204" pitchFamily="34" charset="0"/>
            </a:rPr>
            <a:t>Inter&amp;Co</a:t>
          </a:r>
        </a:p>
      </xdr:txBody>
    </xdr:sp>
    <xdr:clientData/>
  </xdr:twoCellAnchor>
  <xdr:twoCellAnchor>
    <xdr:from>
      <xdr:col>7</xdr:col>
      <xdr:colOff>30976</xdr:colOff>
      <xdr:row>7</xdr:row>
      <xdr:rowOff>139390</xdr:rowOff>
    </xdr:from>
    <xdr:to>
      <xdr:col>9</xdr:col>
      <xdr:colOff>3447685</xdr:colOff>
      <xdr:row>7</xdr:row>
      <xdr:rowOff>596590</xdr:rowOff>
    </xdr:to>
    <xdr:sp macro="" textlink="Names!BI1">
      <xdr:nvSpPr>
        <xdr:cNvPr id="8" name="Rounded Rectangle 6">
          <a:extLst>
            <a:ext uri="{FF2B5EF4-FFF2-40B4-BE49-F238E27FC236}">
              <a16:creationId xmlns:a16="http://schemas.microsoft.com/office/drawing/2014/main" id="{00000000-0008-0000-0100-000008000000}"/>
            </a:ext>
          </a:extLst>
        </xdr:cNvPr>
        <xdr:cNvSpPr/>
      </xdr:nvSpPr>
      <xdr:spPr>
        <a:xfrm>
          <a:off x="8998415" y="1486829"/>
          <a:ext cx="3803904" cy="457200"/>
        </a:xfrm>
        <a:prstGeom prst="roundRect">
          <a:avLst/>
        </a:prstGeom>
        <a:solidFill>
          <a:srgbClr val="FFCA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04166D6-72A5-9E43-B582-0186843AB261}" type="TxLink">
            <a:rPr lang="en-US" sz="1800" b="1" i="0" u="none" strike="noStrike">
              <a:solidFill>
                <a:schemeClr val="tx1"/>
              </a:solidFill>
              <a:latin typeface="Calibri" panose="020F0502020204030204" pitchFamily="34" charset="0"/>
              <a:cs typeface="Calibri" panose="020F0502020204030204" pitchFamily="34" charset="0"/>
            </a:rPr>
            <a:pPr algn="ctr"/>
            <a:t>Operational Data</a:t>
          </a:fld>
          <a:endParaRPr lang="en-US" sz="1800" b="1">
            <a:solidFill>
              <a:schemeClr val="tx1"/>
            </a:solidFill>
            <a:latin typeface="Calibri" panose="020F0502020204030204" pitchFamily="34" charset="0"/>
            <a:cs typeface="Calibri" panose="020F0502020204030204" pitchFamily="34" charset="0"/>
          </a:endParaRPr>
        </a:p>
      </xdr:txBody>
    </xdr:sp>
    <xdr:clientData/>
  </xdr:twoCellAnchor>
  <xdr:twoCellAnchor>
    <xdr:from>
      <xdr:col>0</xdr:col>
      <xdr:colOff>246879</xdr:colOff>
      <xdr:row>0</xdr:row>
      <xdr:rowOff>101600</xdr:rowOff>
    </xdr:from>
    <xdr:to>
      <xdr:col>11</xdr:col>
      <xdr:colOff>12700</xdr:colOff>
      <xdr:row>35</xdr:row>
      <xdr:rowOff>47625</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246879" y="101600"/>
          <a:ext cx="13138921" cy="7858125"/>
        </a:xfrm>
        <a:prstGeom prst="roundRect">
          <a:avLst>
            <a:gd name="adj" fmla="val 2191"/>
          </a:avLst>
        </a:prstGeom>
        <a:noFill/>
        <a:ln w="31750">
          <a:solidFill>
            <a:srgbClr val="EB71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61804</xdr:colOff>
      <xdr:row>19</xdr:row>
      <xdr:rowOff>177122</xdr:rowOff>
    </xdr:from>
    <xdr:to>
      <xdr:col>9</xdr:col>
      <xdr:colOff>3478513</xdr:colOff>
      <xdr:row>21</xdr:row>
      <xdr:rowOff>231639</xdr:rowOff>
    </xdr:to>
    <xdr:sp macro="" textlink="Names!BI2">
      <xdr:nvSpPr>
        <xdr:cNvPr id="4" name="Rounded Rectangle 6">
          <a:extLst>
            <a:ext uri="{FF2B5EF4-FFF2-40B4-BE49-F238E27FC236}">
              <a16:creationId xmlns:a16="http://schemas.microsoft.com/office/drawing/2014/main" id="{00000000-0008-0000-0100-000004000000}"/>
            </a:ext>
          </a:extLst>
        </xdr:cNvPr>
        <xdr:cNvSpPr/>
      </xdr:nvSpPr>
      <xdr:spPr>
        <a:xfrm>
          <a:off x="9029243" y="4560171"/>
          <a:ext cx="3803904" cy="457200"/>
        </a:xfrm>
        <a:prstGeom prst="roundRect">
          <a:avLst/>
        </a:prstGeom>
        <a:solidFill>
          <a:srgbClr val="EBEB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33C4277-FB5B-444D-8487-FA67393E39B5}" type="TxLink">
            <a:rPr lang="en-US" sz="2000" b="1" i="0" u="none" strike="noStrike">
              <a:solidFill>
                <a:srgbClr val="000000"/>
              </a:solidFill>
              <a:latin typeface="Calibri"/>
              <a:cs typeface="Calibri"/>
            </a:rPr>
            <a:pPr algn="ctr"/>
            <a:t>Others</a:t>
          </a:fld>
          <a:endParaRPr lang="en-US" sz="2000" b="1">
            <a:solidFill>
              <a:schemeClr val="tx1"/>
            </a:solidFill>
            <a:latin typeface="Calibri" panose="020F0502020204030204" pitchFamily="34" charset="0"/>
            <a:cs typeface="Calibri" panose="020F0502020204030204" pitchFamily="34" charset="0"/>
          </a:endParaRPr>
        </a:p>
      </xdr:txBody>
    </xdr:sp>
    <xdr:clientData/>
  </xdr:twoCellAnchor>
  <xdr:twoCellAnchor>
    <xdr:from>
      <xdr:col>2</xdr:col>
      <xdr:colOff>406400</xdr:colOff>
      <xdr:row>7</xdr:row>
      <xdr:rowOff>482600</xdr:rowOff>
    </xdr:from>
    <xdr:to>
      <xdr:col>3</xdr:col>
      <xdr:colOff>38125</xdr:colOff>
      <xdr:row>32</xdr:row>
      <xdr:rowOff>111760</xdr:rowOff>
    </xdr:to>
    <xdr:grpSp>
      <xdr:nvGrpSpPr>
        <xdr:cNvPr id="2" name="Group 1">
          <a:extLst>
            <a:ext uri="{FF2B5EF4-FFF2-40B4-BE49-F238E27FC236}">
              <a16:creationId xmlns:a16="http://schemas.microsoft.com/office/drawing/2014/main" id="{BCF0504F-F650-6351-DB66-44A8E0E6C53A}"/>
            </a:ext>
          </a:extLst>
        </xdr:cNvPr>
        <xdr:cNvGrpSpPr>
          <a:grpSpLocks noChangeAspect="1"/>
        </xdr:cNvGrpSpPr>
      </xdr:nvGrpSpPr>
      <xdr:grpSpPr>
        <a:xfrm>
          <a:off x="939800" y="1943100"/>
          <a:ext cx="2768625" cy="5394960"/>
          <a:chOff x="427607" y="2009196"/>
          <a:chExt cx="1603206" cy="3124024"/>
        </a:xfrm>
      </xdr:grpSpPr>
      <xdr:sp macro="" textlink="">
        <xdr:nvSpPr>
          <xdr:cNvPr id="6" name="Rounded Rectangle 5">
            <a:extLst>
              <a:ext uri="{FF2B5EF4-FFF2-40B4-BE49-F238E27FC236}">
                <a16:creationId xmlns:a16="http://schemas.microsoft.com/office/drawing/2014/main" id="{CF75E346-C663-1A44-56A5-E5C03EED2989}"/>
              </a:ext>
            </a:extLst>
          </xdr:cNvPr>
          <xdr:cNvSpPr/>
        </xdr:nvSpPr>
        <xdr:spPr>
          <a:xfrm>
            <a:off x="599608" y="2163361"/>
            <a:ext cx="1315896" cy="313664"/>
          </a:xfrm>
          <a:prstGeom prst="roundRect">
            <a:avLst/>
          </a:prstGeom>
          <a:solidFill>
            <a:srgbClr val="F6F6FB"/>
          </a:solid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ounded Rectangle 14">
            <a:extLst>
              <a:ext uri="{FF2B5EF4-FFF2-40B4-BE49-F238E27FC236}">
                <a16:creationId xmlns:a16="http://schemas.microsoft.com/office/drawing/2014/main" id="{414F5CF1-DE6E-5269-2656-A6AA10B82CA6}"/>
              </a:ext>
            </a:extLst>
          </xdr:cNvPr>
          <xdr:cNvSpPr/>
        </xdr:nvSpPr>
        <xdr:spPr>
          <a:xfrm>
            <a:off x="601753" y="4892594"/>
            <a:ext cx="1287652" cy="50109"/>
          </a:xfrm>
          <a:prstGeom prst="roundRect">
            <a:avLst/>
          </a:prstGeom>
          <a:solidFill>
            <a:srgbClr val="F6F6FB"/>
          </a:solid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pic>
        <xdr:nvPicPr>
          <xdr:cNvPr id="17" name="Picture 16" descr="A screenshot of a credit card&#10;&#10;Description automatically generated">
            <a:extLst>
              <a:ext uri="{FF2B5EF4-FFF2-40B4-BE49-F238E27FC236}">
                <a16:creationId xmlns:a16="http://schemas.microsoft.com/office/drawing/2014/main" id="{640828C3-2BA8-B4C0-CA30-F848E48FF83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592662" y="2264951"/>
            <a:ext cx="1315896" cy="2656706"/>
          </a:xfrm>
          <a:prstGeom prst="rect">
            <a:avLst/>
          </a:prstGeom>
        </xdr:spPr>
      </xdr:pic>
      <xdr:pic>
        <xdr:nvPicPr>
          <xdr:cNvPr id="18" name="Picture 17" descr="A cell phone with a black screen&#10;&#10;Description automatically generated">
            <a:extLst>
              <a:ext uri="{FF2B5EF4-FFF2-40B4-BE49-F238E27FC236}">
                <a16:creationId xmlns:a16="http://schemas.microsoft.com/office/drawing/2014/main" id="{44120E90-8796-D70D-25DE-E39FBF3DD9F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a:xfrm>
            <a:off x="427607" y="2009196"/>
            <a:ext cx="1603206" cy="3124024"/>
          </a:xfrm>
          <a:prstGeom prst="rect">
            <a:avLst/>
          </a:prstGeom>
        </xdr:spPr>
      </xdr:pic>
    </xdr:grpSp>
    <xdr:clientData/>
  </xdr:twoCellAnchor>
  <xdr:twoCellAnchor editAs="oneCell">
    <xdr:from>
      <xdr:col>6</xdr:col>
      <xdr:colOff>1779814</xdr:colOff>
      <xdr:row>2</xdr:row>
      <xdr:rowOff>54572</xdr:rowOff>
    </xdr:from>
    <xdr:to>
      <xdr:col>9</xdr:col>
      <xdr:colOff>1221014</xdr:colOff>
      <xdr:row>4</xdr:row>
      <xdr:rowOff>88234</xdr:rowOff>
    </xdr:to>
    <xdr:pic>
      <xdr:nvPicPr>
        <xdr:cNvPr id="24" name="Picture 23">
          <a:extLst>
            <a:ext uri="{FF2B5EF4-FFF2-40B4-BE49-F238E27FC236}">
              <a16:creationId xmlns:a16="http://schemas.microsoft.com/office/drawing/2014/main" id="{F3E7C130-12D5-8789-A5E1-7B11D162228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79368" y="315376"/>
          <a:ext cx="3285217" cy="5099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3" name="Group 2">
          <a:extLst>
            <a:ext uri="{FF2B5EF4-FFF2-40B4-BE49-F238E27FC236}">
              <a16:creationId xmlns:a16="http://schemas.microsoft.com/office/drawing/2014/main" id="{CDB15A3B-59CE-F22B-5778-4E355F64813A}"/>
            </a:ext>
          </a:extLst>
        </xdr:cNvPr>
        <xdr:cNvGrpSpPr/>
      </xdr:nvGrpSpPr>
      <xdr:grpSpPr>
        <a:xfrm>
          <a:off x="20320000" y="165100"/>
          <a:ext cx="1697892" cy="285953"/>
          <a:chOff x="203200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2" name="Group 1">
          <a:extLst>
            <a:ext uri="{FF2B5EF4-FFF2-40B4-BE49-F238E27FC236}">
              <a16:creationId xmlns:a16="http://schemas.microsoft.com/office/drawing/2014/main" id="{885CC066-D0B7-2356-2E74-318DCFF98DA8}"/>
            </a:ext>
          </a:extLst>
        </xdr:cNvPr>
        <xdr:cNvGrpSpPr/>
      </xdr:nvGrpSpPr>
      <xdr:grpSpPr>
        <a:xfrm>
          <a:off x="20320000" y="165100"/>
          <a:ext cx="1697892" cy="285953"/>
          <a:chOff x="20320000" y="165100"/>
          <a:chExt cx="1697892" cy="285953"/>
        </a:xfrm>
      </xdr:grpSpPr>
      <xdr:sp macro="" textlink="Names!BG2">
        <xdr:nvSpPr>
          <xdr:cNvPr id="7" name="Rounded Rectangle 6">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8"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2" name="Group 1">
          <a:extLst>
            <a:ext uri="{FF2B5EF4-FFF2-40B4-BE49-F238E27FC236}">
              <a16:creationId xmlns:a16="http://schemas.microsoft.com/office/drawing/2014/main" id="{7F318109-BAEA-1236-840C-9CD89BDA6920}"/>
            </a:ext>
          </a:extLst>
        </xdr:cNvPr>
        <xdr:cNvGrpSpPr/>
      </xdr:nvGrpSpPr>
      <xdr:grpSpPr>
        <a:xfrm>
          <a:off x="20320000" y="165100"/>
          <a:ext cx="1697892" cy="285953"/>
          <a:chOff x="203200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3" name="Group 2">
          <a:extLst>
            <a:ext uri="{FF2B5EF4-FFF2-40B4-BE49-F238E27FC236}">
              <a16:creationId xmlns:a16="http://schemas.microsoft.com/office/drawing/2014/main" id="{BE1BF364-ABE7-D4BE-B9E3-F12BB310787F}"/>
            </a:ext>
          </a:extLst>
        </xdr:cNvPr>
        <xdr:cNvGrpSpPr/>
      </xdr:nvGrpSpPr>
      <xdr:grpSpPr>
        <a:xfrm>
          <a:off x="20320000" y="165100"/>
          <a:ext cx="1697892" cy="285953"/>
          <a:chOff x="203200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2" name="Group 1">
          <a:extLst>
            <a:ext uri="{FF2B5EF4-FFF2-40B4-BE49-F238E27FC236}">
              <a16:creationId xmlns:a16="http://schemas.microsoft.com/office/drawing/2014/main" id="{EB849EDF-963F-6509-9A5D-AA823D778E2F}"/>
            </a:ext>
          </a:extLst>
        </xdr:cNvPr>
        <xdr:cNvGrpSpPr/>
      </xdr:nvGrpSpPr>
      <xdr:grpSpPr>
        <a:xfrm>
          <a:off x="20320000" y="165100"/>
          <a:ext cx="1697892" cy="285953"/>
          <a:chOff x="20320000" y="165100"/>
          <a:chExt cx="1697892" cy="285953"/>
        </a:xfrm>
      </xdr:grpSpPr>
      <xdr:sp macro="" textlink="Names!BG2">
        <xdr:nvSpPr>
          <xdr:cNvPr id="7" name="Rounded Rectangle 6">
            <a:hlinkClick xmlns:r="http://schemas.openxmlformats.org/officeDocument/2006/relationships" r:id="rId1"/>
            <a:extLst>
              <a:ext uri="{FF2B5EF4-FFF2-40B4-BE49-F238E27FC236}">
                <a16:creationId xmlns:a16="http://schemas.microsoft.com/office/drawing/2014/main" id="{00000000-0008-0000-0E00-000007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8"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1</xdr:row>
      <xdr:rowOff>0</xdr:rowOff>
    </xdr:from>
    <xdr:to>
      <xdr:col>19</xdr:col>
      <xdr:colOff>46892</xdr:colOff>
      <xdr:row>2</xdr:row>
      <xdr:rowOff>120853</xdr:rowOff>
    </xdr:to>
    <xdr:grpSp>
      <xdr:nvGrpSpPr>
        <xdr:cNvPr id="3" name="Group 2">
          <a:extLst>
            <a:ext uri="{FF2B5EF4-FFF2-40B4-BE49-F238E27FC236}">
              <a16:creationId xmlns:a16="http://schemas.microsoft.com/office/drawing/2014/main" id="{A241AE2E-2B0C-574C-AA72-A4A5467107AD}"/>
            </a:ext>
          </a:extLst>
        </xdr:cNvPr>
        <xdr:cNvGrpSpPr/>
      </xdr:nvGrpSpPr>
      <xdr:grpSpPr>
        <a:xfrm>
          <a:off x="17856200" y="165100"/>
          <a:ext cx="1697892" cy="285953"/>
          <a:chOff x="178562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178562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7945426" y="165100"/>
            <a:ext cx="258937" cy="264917"/>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1</xdr:row>
      <xdr:rowOff>0</xdr:rowOff>
    </xdr:from>
    <xdr:to>
      <xdr:col>19</xdr:col>
      <xdr:colOff>46892</xdr:colOff>
      <xdr:row>2</xdr:row>
      <xdr:rowOff>120853</xdr:rowOff>
    </xdr:to>
    <xdr:grpSp>
      <xdr:nvGrpSpPr>
        <xdr:cNvPr id="3" name="Group 2">
          <a:extLst>
            <a:ext uri="{FF2B5EF4-FFF2-40B4-BE49-F238E27FC236}">
              <a16:creationId xmlns:a16="http://schemas.microsoft.com/office/drawing/2014/main" id="{D600BE1E-9B4D-23D0-16B6-6F72C8DDD5FE}"/>
            </a:ext>
          </a:extLst>
        </xdr:cNvPr>
        <xdr:cNvGrpSpPr/>
      </xdr:nvGrpSpPr>
      <xdr:grpSpPr>
        <a:xfrm>
          <a:off x="17843500" y="165100"/>
          <a:ext cx="1697892" cy="285953"/>
          <a:chOff x="178435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78435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7932726" y="165100"/>
            <a:ext cx="258937" cy="264917"/>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0</xdr:colOff>
      <xdr:row>1</xdr:row>
      <xdr:rowOff>0</xdr:rowOff>
    </xdr:from>
    <xdr:to>
      <xdr:col>18</xdr:col>
      <xdr:colOff>46892</xdr:colOff>
      <xdr:row>2</xdr:row>
      <xdr:rowOff>120853</xdr:rowOff>
    </xdr:to>
    <xdr:grpSp>
      <xdr:nvGrpSpPr>
        <xdr:cNvPr id="2" name="Group 1">
          <a:extLst>
            <a:ext uri="{FF2B5EF4-FFF2-40B4-BE49-F238E27FC236}">
              <a16:creationId xmlns:a16="http://schemas.microsoft.com/office/drawing/2014/main" id="{C5010395-7F73-A238-F650-882F6AD3094D}"/>
            </a:ext>
          </a:extLst>
        </xdr:cNvPr>
        <xdr:cNvGrpSpPr/>
      </xdr:nvGrpSpPr>
      <xdr:grpSpPr>
        <a:xfrm>
          <a:off x="17018000" y="165100"/>
          <a:ext cx="1697892" cy="285953"/>
          <a:chOff x="170180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17018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7107226" y="165100"/>
            <a:ext cx="258937" cy="264917"/>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0</xdr:colOff>
      <xdr:row>1</xdr:row>
      <xdr:rowOff>689</xdr:rowOff>
    </xdr:from>
    <xdr:to>
      <xdr:col>19</xdr:col>
      <xdr:colOff>46892</xdr:colOff>
      <xdr:row>2</xdr:row>
      <xdr:rowOff>120853</xdr:rowOff>
    </xdr:to>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178435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clientData/>
  </xdr:twoCellAnchor>
  <xdr:twoCellAnchor>
    <xdr:from>
      <xdr:col>17</xdr:col>
      <xdr:colOff>89226</xdr:colOff>
      <xdr:row>1</xdr:row>
      <xdr:rowOff>0</xdr:rowOff>
    </xdr:from>
    <xdr:to>
      <xdr:col>17</xdr:col>
      <xdr:colOff>348163</xdr:colOff>
      <xdr:row>2</xdr:row>
      <xdr:rowOff>99817</xdr:rowOff>
    </xdr:to>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7932726" y="165100"/>
          <a:ext cx="258937" cy="26491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0</xdr:colOff>
      <xdr:row>1</xdr:row>
      <xdr:rowOff>0</xdr:rowOff>
    </xdr:from>
    <xdr:to>
      <xdr:col>19</xdr:col>
      <xdr:colOff>46892</xdr:colOff>
      <xdr:row>2</xdr:row>
      <xdr:rowOff>120853</xdr:rowOff>
    </xdr:to>
    <xdr:grpSp>
      <xdr:nvGrpSpPr>
        <xdr:cNvPr id="2" name="Group 1">
          <a:extLst>
            <a:ext uri="{FF2B5EF4-FFF2-40B4-BE49-F238E27FC236}">
              <a16:creationId xmlns:a16="http://schemas.microsoft.com/office/drawing/2014/main" id="{9260F10E-E378-FB80-5CF3-AB54D7C00257}"/>
            </a:ext>
          </a:extLst>
        </xdr:cNvPr>
        <xdr:cNvGrpSpPr/>
      </xdr:nvGrpSpPr>
      <xdr:grpSpPr>
        <a:xfrm>
          <a:off x="17843500" y="165100"/>
          <a:ext cx="1697892" cy="285953"/>
          <a:chOff x="178435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78435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7932726" y="165100"/>
            <a:ext cx="258937" cy="26491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266700</xdr:colOff>
      <xdr:row>0</xdr:row>
      <xdr:rowOff>88900</xdr:rowOff>
    </xdr:from>
    <xdr:to>
      <xdr:col>14</xdr:col>
      <xdr:colOff>313592</xdr:colOff>
      <xdr:row>2</xdr:row>
      <xdr:rowOff>44653</xdr:rowOff>
    </xdr:to>
    <xdr:grpSp>
      <xdr:nvGrpSpPr>
        <xdr:cNvPr id="2" name="Group 1">
          <a:extLst>
            <a:ext uri="{FF2B5EF4-FFF2-40B4-BE49-F238E27FC236}">
              <a16:creationId xmlns:a16="http://schemas.microsoft.com/office/drawing/2014/main" id="{948A8473-6824-E811-D85A-9A548DAFA38C}"/>
            </a:ext>
          </a:extLst>
        </xdr:cNvPr>
        <xdr:cNvGrpSpPr/>
      </xdr:nvGrpSpPr>
      <xdr:grpSpPr>
        <a:xfrm>
          <a:off x="13982700" y="88900"/>
          <a:ext cx="1697892" cy="285953"/>
          <a:chOff x="13982700" y="889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3982700" y="895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4071926" y="88900"/>
            <a:ext cx="258937" cy="264917"/>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571471</xdr:colOff>
      <xdr:row>69</xdr:row>
      <xdr:rowOff>131773</xdr:rowOff>
    </xdr:from>
    <xdr:to>
      <xdr:col>16</xdr:col>
      <xdr:colOff>0</xdr:colOff>
      <xdr:row>127</xdr:row>
      <xdr:rowOff>20393</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1083262" y="9912669"/>
          <a:ext cx="10514526" cy="9783246"/>
        </a:xfrm>
        <a:prstGeom prst="roundRect">
          <a:avLst>
            <a:gd name="adj" fmla="val 2191"/>
          </a:avLst>
        </a:prstGeom>
        <a:noFill/>
        <a:ln w="31750">
          <a:solidFill>
            <a:srgbClr val="FF79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0</xdr:colOff>
      <xdr:row>6</xdr:row>
      <xdr:rowOff>163285</xdr:rowOff>
    </xdr:from>
    <xdr:to>
      <xdr:col>21</xdr:col>
      <xdr:colOff>289888</xdr:colOff>
      <xdr:row>27</xdr:row>
      <xdr:rowOff>9070</xdr:rowOff>
    </xdr:to>
    <xdr:sp macro="" textlink="">
      <xdr:nvSpPr>
        <xdr:cNvPr id="7" name="Rounded Rectangle 6">
          <a:extLst>
            <a:ext uri="{FF2B5EF4-FFF2-40B4-BE49-F238E27FC236}">
              <a16:creationId xmlns:a16="http://schemas.microsoft.com/office/drawing/2014/main" id="{00000000-0008-0000-1400-000007000000}"/>
            </a:ext>
          </a:extLst>
        </xdr:cNvPr>
        <xdr:cNvSpPr/>
      </xdr:nvSpPr>
      <xdr:spPr>
        <a:xfrm>
          <a:off x="5678714" y="734785"/>
          <a:ext cx="13797245" cy="3846285"/>
        </a:xfrm>
        <a:prstGeom prst="roundRect">
          <a:avLst>
            <a:gd name="adj" fmla="val 2728"/>
          </a:avLst>
        </a:prstGeom>
        <a:noFill/>
        <a:ln w="31750">
          <a:solidFill>
            <a:srgbClr val="EB71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635000</xdr:colOff>
      <xdr:row>29</xdr:row>
      <xdr:rowOff>168312</xdr:rowOff>
    </xdr:from>
    <xdr:to>
      <xdr:col>22</xdr:col>
      <xdr:colOff>2313</xdr:colOff>
      <xdr:row>43</xdr:row>
      <xdr:rowOff>190499</xdr:rowOff>
    </xdr:to>
    <xdr:sp macro="" textlink="">
      <xdr:nvSpPr>
        <xdr:cNvPr id="8" name="Rounded Rectangle 7">
          <a:extLst>
            <a:ext uri="{FF2B5EF4-FFF2-40B4-BE49-F238E27FC236}">
              <a16:creationId xmlns:a16="http://schemas.microsoft.com/office/drawing/2014/main" id="{00000000-0008-0000-1400-000008000000}"/>
            </a:ext>
          </a:extLst>
        </xdr:cNvPr>
        <xdr:cNvSpPr/>
      </xdr:nvSpPr>
      <xdr:spPr>
        <a:xfrm>
          <a:off x="6883400" y="6302412"/>
          <a:ext cx="14683513" cy="2689187"/>
        </a:xfrm>
        <a:prstGeom prst="roundRect">
          <a:avLst>
            <a:gd name="adj" fmla="val 4180"/>
          </a:avLst>
        </a:prstGeom>
        <a:noFill/>
        <a:ln w="31750">
          <a:solidFill>
            <a:srgbClr val="EB71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15302</xdr:colOff>
      <xdr:row>6</xdr:row>
      <xdr:rowOff>175636</xdr:rowOff>
    </xdr:from>
    <xdr:to>
      <xdr:col>6</xdr:col>
      <xdr:colOff>29195</xdr:colOff>
      <xdr:row>21</xdr:row>
      <xdr:rowOff>25399</xdr:rowOff>
    </xdr:to>
    <xdr:sp macro="" textlink="">
      <xdr:nvSpPr>
        <xdr:cNvPr id="9" name="Rounded Rectangle 8">
          <a:extLst>
            <a:ext uri="{FF2B5EF4-FFF2-40B4-BE49-F238E27FC236}">
              <a16:creationId xmlns:a16="http://schemas.microsoft.com/office/drawing/2014/main" id="{00000000-0008-0000-1400-000009000000}"/>
            </a:ext>
          </a:extLst>
        </xdr:cNvPr>
        <xdr:cNvSpPr/>
      </xdr:nvSpPr>
      <xdr:spPr>
        <a:xfrm>
          <a:off x="269302" y="1928236"/>
          <a:ext cx="6008293" cy="2707263"/>
        </a:xfrm>
        <a:prstGeom prst="roundRect">
          <a:avLst>
            <a:gd name="adj" fmla="val 4765"/>
          </a:avLst>
        </a:prstGeom>
        <a:noFill/>
        <a:ln w="31750">
          <a:solidFill>
            <a:srgbClr val="EB71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21</xdr:row>
      <xdr:rowOff>175638</xdr:rowOff>
    </xdr:from>
    <xdr:to>
      <xdr:col>6</xdr:col>
      <xdr:colOff>27213</xdr:colOff>
      <xdr:row>28</xdr:row>
      <xdr:rowOff>40532</xdr:rowOff>
    </xdr:to>
    <xdr:sp macro="" textlink="">
      <xdr:nvSpPr>
        <xdr:cNvPr id="10" name="Rounded Rectangle 9">
          <a:extLst>
            <a:ext uri="{FF2B5EF4-FFF2-40B4-BE49-F238E27FC236}">
              <a16:creationId xmlns:a16="http://schemas.microsoft.com/office/drawing/2014/main" id="{00000000-0008-0000-1400-00000A000000}"/>
            </a:ext>
          </a:extLst>
        </xdr:cNvPr>
        <xdr:cNvSpPr/>
      </xdr:nvSpPr>
      <xdr:spPr>
        <a:xfrm>
          <a:off x="256702" y="3580319"/>
          <a:ext cx="4769447" cy="1188936"/>
        </a:xfrm>
        <a:prstGeom prst="roundRect">
          <a:avLst>
            <a:gd name="adj" fmla="val 8801"/>
          </a:avLst>
        </a:prstGeom>
        <a:noFill/>
        <a:ln w="31750">
          <a:solidFill>
            <a:srgbClr val="EB71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14514</xdr:colOff>
      <xdr:row>1</xdr:row>
      <xdr:rowOff>0</xdr:rowOff>
    </xdr:from>
    <xdr:to>
      <xdr:col>22</xdr:col>
      <xdr:colOff>0</xdr:colOff>
      <xdr:row>6</xdr:row>
      <xdr:rowOff>5266</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68514" y="186267"/>
          <a:ext cx="19018553" cy="1563132"/>
        </a:xfrm>
        <a:prstGeom prst="roundRect">
          <a:avLst>
            <a:gd name="adj" fmla="val 4895"/>
          </a:avLst>
        </a:prstGeom>
        <a:noFill/>
        <a:ln w="31750">
          <a:solidFill>
            <a:srgbClr val="EB71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44</xdr:row>
      <xdr:rowOff>159786</xdr:rowOff>
    </xdr:from>
    <xdr:to>
      <xdr:col>22</xdr:col>
      <xdr:colOff>33866</xdr:colOff>
      <xdr:row>48</xdr:row>
      <xdr:rowOff>33867</xdr:rowOff>
    </xdr:to>
    <xdr:sp macro="" textlink="">
      <xdr:nvSpPr>
        <xdr:cNvPr id="15" name="Rounded Rectangle 14">
          <a:extLst>
            <a:ext uri="{FF2B5EF4-FFF2-40B4-BE49-F238E27FC236}">
              <a16:creationId xmlns:a16="http://schemas.microsoft.com/office/drawing/2014/main" id="{00000000-0008-0000-1400-00000F000000}"/>
            </a:ext>
          </a:extLst>
        </xdr:cNvPr>
        <xdr:cNvSpPr/>
      </xdr:nvSpPr>
      <xdr:spPr>
        <a:xfrm>
          <a:off x="254000" y="8880453"/>
          <a:ext cx="19066933" cy="873147"/>
        </a:xfrm>
        <a:prstGeom prst="roundRect">
          <a:avLst>
            <a:gd name="adj" fmla="val 8801"/>
          </a:avLst>
        </a:prstGeom>
        <a:noFill/>
        <a:ln w="31750">
          <a:solidFill>
            <a:srgbClr val="EB71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67733</xdr:colOff>
      <xdr:row>2</xdr:row>
      <xdr:rowOff>50800</xdr:rowOff>
    </xdr:from>
    <xdr:to>
      <xdr:col>21</xdr:col>
      <xdr:colOff>106159</xdr:colOff>
      <xdr:row>3</xdr:row>
      <xdr:rowOff>150487</xdr:rowOff>
    </xdr:to>
    <xdr:grpSp>
      <xdr:nvGrpSpPr>
        <xdr:cNvPr id="3" name="Group 2">
          <a:extLst>
            <a:ext uri="{FF2B5EF4-FFF2-40B4-BE49-F238E27FC236}">
              <a16:creationId xmlns:a16="http://schemas.microsoft.com/office/drawing/2014/main" id="{AAB57A62-6309-807B-193E-157CC383DF28}"/>
            </a:ext>
          </a:extLst>
        </xdr:cNvPr>
        <xdr:cNvGrpSpPr/>
      </xdr:nvGrpSpPr>
      <xdr:grpSpPr>
        <a:xfrm>
          <a:off x="20616333" y="342900"/>
          <a:ext cx="1816426" cy="290187"/>
          <a:chOff x="20616333" y="342900"/>
          <a:chExt cx="1816426" cy="290187"/>
        </a:xfrm>
      </xdr:grpSpPr>
      <xdr:sp macro="" textlink="Names!BG2">
        <xdr:nvSpPr>
          <xdr:cNvPr id="21" name="Rounded Rectangle 20">
            <a:hlinkClick xmlns:r="http://schemas.openxmlformats.org/officeDocument/2006/relationships" r:id="rId1"/>
            <a:extLst>
              <a:ext uri="{FF2B5EF4-FFF2-40B4-BE49-F238E27FC236}">
                <a16:creationId xmlns:a16="http://schemas.microsoft.com/office/drawing/2014/main" id="{00000000-0008-0000-1400-000015000000}"/>
              </a:ext>
            </a:extLst>
          </xdr:cNvPr>
          <xdr:cNvSpPr/>
        </xdr:nvSpPr>
        <xdr:spPr>
          <a:xfrm>
            <a:off x="20616333" y="343599"/>
            <a:ext cx="1816426" cy="289488"/>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22"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1400-000016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711788" y="342900"/>
            <a:ext cx="277014" cy="268840"/>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35109</xdr:colOff>
      <xdr:row>3</xdr:row>
      <xdr:rowOff>127000</xdr:rowOff>
    </xdr:from>
    <xdr:to>
      <xdr:col>14</xdr:col>
      <xdr:colOff>749300</xdr:colOff>
      <xdr:row>33</xdr:row>
      <xdr:rowOff>101600</xdr:rowOff>
    </xdr:to>
    <xdr:sp macro="" textlink="">
      <xdr:nvSpPr>
        <xdr:cNvPr id="2" name="CaixaDeTexto 6">
          <a:extLst>
            <a:ext uri="{FF2B5EF4-FFF2-40B4-BE49-F238E27FC236}">
              <a16:creationId xmlns:a16="http://schemas.microsoft.com/office/drawing/2014/main" id="{00000000-0008-0000-1500-000002000000}"/>
            </a:ext>
          </a:extLst>
        </xdr:cNvPr>
        <xdr:cNvSpPr txBox="1"/>
      </xdr:nvSpPr>
      <xdr:spPr>
        <a:xfrm>
          <a:off x="4988109" y="698500"/>
          <a:ext cx="7318191" cy="5588000"/>
        </a:xfrm>
        <a:prstGeom prst="rect">
          <a:avLst/>
        </a:prstGeom>
        <a:noFill/>
      </xdr:spPr>
      <xdr:txBody>
        <a:bodyPr wrap="square" rtlCol="0">
          <a:noAutofit/>
        </a:bodyPr>
        <a:lstStyle>
          <a:defPPr lvl="0">
            <a:defRPr lang="pt-BR"/>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algn="just"/>
          <a:r>
            <a:rPr lang="pt-BR" sz="1100" dirty="0">
              <a:latin typeface="Arial" panose="020B0604020202020204" pitchFamily="34" charset="0"/>
              <a:ea typeface="Inter Light BETA" panose="020B0402030000000004" pitchFamily="34" charset="0"/>
              <a:cs typeface="Arial" panose="020B0604020202020204" pitchFamily="34" charset="0"/>
            </a:rPr>
            <a:t>Os números de nossas principais métricas (Unit </a:t>
          </a:r>
          <a:r>
            <a:rPr lang="pt-BR" sz="1100" dirty="0" err="1">
              <a:latin typeface="Arial" panose="020B0604020202020204" pitchFamily="34" charset="0"/>
              <a:ea typeface="Inter Light BETA" panose="020B0402030000000004" pitchFamily="34" charset="0"/>
              <a:cs typeface="Arial" panose="020B0604020202020204" pitchFamily="34" charset="0"/>
            </a:rPr>
            <a:t>Economics</a:t>
          </a:r>
          <a:r>
            <a:rPr lang="pt-BR" sz="1100" dirty="0">
              <a:latin typeface="Arial" panose="020B0604020202020204" pitchFamily="34" charset="0"/>
              <a:ea typeface="Inter Light BETA" panose="020B0402030000000004" pitchFamily="34" charset="0"/>
              <a:cs typeface="Arial" panose="020B0604020202020204" pitchFamily="34" charset="0"/>
            </a:rPr>
            <a:t>), que incluem usuários ativos, como receita média por cliente ativo (ARPAC) e custo para servir (CTS), são calculados usando os dados internos da Inter. Embora acreditemos que essas métricas sejam baseadas em estimativas razoáveis, mas existem desafios inerentes à medição do uso de nossos negócios. Além disso, buscamos continuamente melhorar nossas estimativas, que podem mudar devido a melhorias ou mudanças na metodologia, nos processos de cálculo dessas métricas e, de tempos em tempos, podemos descobrir imprecisões e fazer ajustes para melhorar a precisão, incluindo ajustes que podem resultar no recálculo de nossas métricas históricas. </a:t>
          </a:r>
        </a:p>
        <a:p>
          <a:pPr algn="just"/>
          <a:endParaRPr lang="pt-BR" sz="1100" dirty="0">
            <a:latin typeface="Arial" panose="020B0604020202020204" pitchFamily="34" charset="0"/>
            <a:ea typeface="Inter Light BETA" panose="020B0402030000000004" pitchFamily="34" charset="0"/>
            <a:cs typeface="Arial" panose="020B0604020202020204" pitchFamily="34" charset="0"/>
          </a:endParaRPr>
        </a:p>
        <a:p>
          <a:pPr algn="just"/>
          <a:endParaRPr lang="pt-BR" sz="1100" dirty="0">
            <a:latin typeface="Arial" panose="020B0604020202020204" pitchFamily="34" charset="0"/>
            <a:ea typeface="Inter Light BETA" panose="020B0402030000000004" pitchFamily="34" charset="0"/>
            <a:cs typeface="Arial" panose="020B0604020202020204" pitchFamily="34" charset="0"/>
          </a:endParaRPr>
        </a:p>
        <a:p>
          <a:pPr algn="just"/>
          <a:r>
            <a:rPr lang="pt-BR" sz="1100" b="1" dirty="0">
              <a:solidFill>
                <a:srgbClr val="FF7A00"/>
              </a:solidFill>
              <a:latin typeface="Arial" panose="020B0604020202020204" pitchFamily="34" charset="0"/>
              <a:ea typeface="Inter Light BETA" panose="020B0402030000000004" pitchFamily="34" charset="0"/>
              <a:cs typeface="Arial" panose="020B0604020202020204" pitchFamily="34" charset="0"/>
            </a:rPr>
            <a:t>Sobre Medidas Financeiras Não-IFRS </a:t>
          </a:r>
        </a:p>
        <a:p>
          <a:pPr algn="just"/>
          <a:r>
            <a:rPr lang="pt-BR" sz="1100" b="1" dirty="0">
              <a:latin typeface="Arial" panose="020B0604020202020204" pitchFamily="34" charset="0"/>
              <a:ea typeface="Inter Light BETA" panose="020B0402030000000004" pitchFamily="34" charset="0"/>
              <a:cs typeface="Arial" panose="020B0604020202020204" pitchFamily="34" charset="0"/>
            </a:rPr>
            <a:t> </a:t>
          </a:r>
          <a:endParaRPr lang="pt-BR" sz="1100" dirty="0">
            <a:latin typeface="Arial" panose="020B0604020202020204" pitchFamily="34" charset="0"/>
            <a:ea typeface="Inter Light BETA" panose="020B0402030000000004" pitchFamily="34" charset="0"/>
            <a:cs typeface="Arial" panose="020B0604020202020204" pitchFamily="34" charset="0"/>
          </a:endParaRPr>
        </a:p>
        <a:p>
          <a:pPr algn="just"/>
          <a:r>
            <a:rPr lang="pt-BR" sz="1100" dirty="0">
              <a:latin typeface="Arial" panose="020B0604020202020204" pitchFamily="34" charset="0"/>
              <a:ea typeface="Inter Light BETA" panose="020B0402030000000004" pitchFamily="34" charset="0"/>
              <a:cs typeface="Arial" panose="020B0604020202020204" pitchFamily="34" charset="0"/>
            </a:rPr>
            <a:t>Para complementar as medidas financeiras apresentadas neste comunicado de imprensa e na teleconferência, apresentação ou webcast relacionados de acordo com o IFRS, a </a:t>
          </a:r>
          <a:r>
            <a:rPr lang="pt-BR" sz="1100" dirty="0" err="1">
              <a:latin typeface="Arial" panose="020B0604020202020204" pitchFamily="34" charset="0"/>
              <a:ea typeface="Inter Light BETA" panose="020B0402030000000004" pitchFamily="34" charset="0"/>
              <a:cs typeface="Arial" panose="020B0604020202020204" pitchFamily="34" charset="0"/>
            </a:rPr>
            <a:t>Inter&amp;Co</a:t>
          </a:r>
          <a:r>
            <a:rPr lang="pt-BR" sz="1100" dirty="0">
              <a:latin typeface="Arial" panose="020B0604020202020204" pitchFamily="34" charset="0"/>
              <a:ea typeface="Inter Light BETA" panose="020B0402030000000004" pitchFamily="34" charset="0"/>
              <a:cs typeface="Arial" panose="020B0604020202020204" pitchFamily="34" charset="0"/>
            </a:rPr>
            <a:t> também apresenta medidas não IFRS de desempenho financeiro, conforme destacado ao longo dos documentos. As Medidas Financeiras não IFRS incluem, entre outras: Resultado Líquido Ajustado, Custo de Serviço, Custo de </a:t>
          </a:r>
          <a:r>
            <a:rPr lang="pt-BR" sz="1100" dirty="0" err="1">
              <a:latin typeface="Arial" panose="020B0604020202020204" pitchFamily="34" charset="0"/>
              <a:ea typeface="Inter Light BETA" panose="020B0402030000000004" pitchFamily="34" charset="0"/>
              <a:cs typeface="Arial" panose="020B0604020202020204" pitchFamily="34" charset="0"/>
            </a:rPr>
            <a:t>Fundig</a:t>
          </a:r>
          <a:r>
            <a:rPr lang="pt-BR" sz="1100" dirty="0">
              <a:latin typeface="Arial" panose="020B0604020202020204" pitchFamily="34" charset="0"/>
              <a:ea typeface="Inter Light BETA" panose="020B0402030000000004" pitchFamily="34" charset="0"/>
              <a:cs typeface="Arial" panose="020B0604020202020204" pitchFamily="34" charset="0"/>
            </a:rPr>
            <a:t>, Índice de Eficiência, Originação, NPL &gt; 90 dias, NPL 15 a 90 dias, NPL e Formação da Fase 3, </a:t>
          </a:r>
          <a:r>
            <a:rPr lang="pt-BR" sz="1100" dirty="0" err="1">
              <a:latin typeface="Arial" panose="020B0604020202020204" pitchFamily="34" charset="0"/>
              <a:ea typeface="Inter Light BETA" panose="020B0402030000000004" pitchFamily="34" charset="0"/>
              <a:cs typeface="Arial" panose="020B0604020202020204" pitchFamily="34" charset="0"/>
            </a:rPr>
            <a:t>Cost</a:t>
          </a:r>
          <a:r>
            <a:rPr lang="pt-BR" sz="1100" dirty="0">
              <a:latin typeface="Arial" panose="020B0604020202020204" pitchFamily="34" charset="0"/>
              <a:ea typeface="Inter Light BETA" panose="020B0402030000000004" pitchFamily="34" charset="0"/>
              <a:cs typeface="Arial" panose="020B0604020202020204" pitchFamily="34" charset="0"/>
            </a:rPr>
            <a:t> </a:t>
          </a:r>
          <a:r>
            <a:rPr lang="pt-BR" sz="1100" dirty="0" err="1">
              <a:latin typeface="Arial" panose="020B0604020202020204" pitchFamily="34" charset="0"/>
              <a:ea typeface="Inter Light BETA" panose="020B0402030000000004" pitchFamily="34" charset="0"/>
              <a:cs typeface="Arial" panose="020B0604020202020204" pitchFamily="34" charset="0"/>
            </a:rPr>
            <a:t>of</a:t>
          </a:r>
          <a:r>
            <a:rPr lang="pt-BR" sz="1100" dirty="0">
              <a:latin typeface="Arial" panose="020B0604020202020204" pitchFamily="34" charset="0"/>
              <a:ea typeface="Inter Light BETA" panose="020B0402030000000004" pitchFamily="34" charset="0"/>
              <a:cs typeface="Arial" panose="020B0604020202020204" pitchFamily="34" charset="0"/>
            </a:rPr>
            <a:t> Risk, índice de Cobertura, </a:t>
          </a:r>
          <a:r>
            <a:rPr lang="pt-BR" sz="1100" dirty="0" err="1">
              <a:latin typeface="Arial" panose="020B0604020202020204" pitchFamily="34" charset="0"/>
              <a:ea typeface="Inter Light BETA" panose="020B0402030000000004" pitchFamily="34" charset="0"/>
              <a:cs typeface="Arial" panose="020B0604020202020204" pitchFamily="34" charset="0"/>
            </a:rPr>
            <a:t>Fuding</a:t>
          </a:r>
          <a:r>
            <a:rPr lang="pt-BR" sz="1100" dirty="0">
              <a:latin typeface="Arial" panose="020B0604020202020204" pitchFamily="34" charset="0"/>
              <a:ea typeface="Inter Light BETA" panose="020B0402030000000004" pitchFamily="34" charset="0"/>
              <a:cs typeface="Arial" panose="020B0604020202020204" pitchFamily="34" charset="0"/>
            </a:rPr>
            <a:t>, Custo de </a:t>
          </a:r>
          <a:r>
            <a:rPr lang="pt-BR" sz="1100" dirty="0" err="1">
              <a:latin typeface="Arial" panose="020B0604020202020204" pitchFamily="34" charset="0"/>
              <a:ea typeface="Inter Light BETA" panose="020B0402030000000004" pitchFamily="34" charset="0"/>
              <a:cs typeface="Arial" panose="020B0604020202020204" pitchFamily="34" charset="0"/>
            </a:rPr>
            <a:t>Funding</a:t>
          </a:r>
          <a:r>
            <a:rPr lang="pt-BR" sz="1100" dirty="0">
              <a:latin typeface="Arial" panose="020B0604020202020204" pitchFamily="34" charset="0"/>
              <a:ea typeface="Inter Light BETA" panose="020B0402030000000004" pitchFamily="34" charset="0"/>
              <a:cs typeface="Arial" panose="020B0604020202020204" pitchFamily="34" charset="0"/>
            </a:rPr>
            <a:t>, Volume Bruto de Mercadorias (GMV), Prêmios, Entradas Líquidas, Depósitos e Investimentos de Serviços Globais, </a:t>
          </a:r>
          <a:r>
            <a:rPr lang="pt-BR" sz="1100" dirty="0" err="1">
              <a:latin typeface="Arial" panose="020B0604020202020204" pitchFamily="34" charset="0"/>
              <a:ea typeface="Inter Light BETA" panose="020B0402030000000004" pitchFamily="34" charset="0"/>
              <a:cs typeface="Arial" panose="020B0604020202020204" pitchFamily="34" charset="0"/>
            </a:rPr>
            <a:t>Fee</a:t>
          </a:r>
          <a:r>
            <a:rPr lang="pt-BR" sz="1100" dirty="0">
              <a:latin typeface="Arial" panose="020B0604020202020204" pitchFamily="34" charset="0"/>
              <a:ea typeface="Inter Light BETA" panose="020B0402030000000004" pitchFamily="34" charset="0"/>
              <a:cs typeface="Arial" panose="020B0604020202020204" pitchFamily="34" charset="0"/>
            </a:rPr>
            <a:t> Income </a:t>
          </a:r>
          <a:r>
            <a:rPr lang="pt-BR" sz="1100" dirty="0" err="1">
              <a:latin typeface="Arial" panose="020B0604020202020204" pitchFamily="34" charset="0"/>
              <a:ea typeface="Inter Light BETA" panose="020B0402030000000004" pitchFamily="34" charset="0"/>
              <a:cs typeface="Arial" panose="020B0604020202020204" pitchFamily="34" charset="0"/>
            </a:rPr>
            <a:t>Ratio</a:t>
          </a:r>
          <a:r>
            <a:rPr lang="pt-BR" sz="1100" dirty="0">
              <a:latin typeface="Arial" panose="020B0604020202020204" pitchFamily="34" charset="0"/>
              <a:ea typeface="Inter Light BETA" panose="020B0402030000000004" pitchFamily="34" charset="0"/>
              <a:cs typeface="Arial" panose="020B0604020202020204" pitchFamily="34" charset="0"/>
            </a:rPr>
            <a:t>,  Custo de Aquisição de Clientes, Cartões + PIX TPV, ARPAC Bruto, ARPAC Líquido, NIM Marginal 1.0, NIM Marginal 2.0, Margem de Juros Líquida IEP + Non-int. CC Recebíveis (1.0), Margem Líquida de Juros IEP (2.0), </a:t>
          </a:r>
          <a:r>
            <a:rPr lang="pt-BR" sz="1100" dirty="0" err="1">
              <a:latin typeface="Arial" panose="020B0604020202020204" pitchFamily="34" charset="0"/>
              <a:ea typeface="Inter Light BETA" panose="020B0402030000000004" pitchFamily="34" charset="0"/>
              <a:cs typeface="Arial" panose="020B0604020202020204" pitchFamily="34" charset="0"/>
            </a:rPr>
            <a:t>Cost</a:t>
          </a:r>
          <a:r>
            <a:rPr lang="pt-BR" sz="1100" dirty="0">
              <a:latin typeface="Arial" panose="020B0604020202020204" pitchFamily="34" charset="0"/>
              <a:ea typeface="Inter Light BETA" panose="020B0402030000000004" pitchFamily="34" charset="0"/>
              <a:cs typeface="Arial" panose="020B0604020202020204" pitchFamily="34" charset="0"/>
            </a:rPr>
            <a:t> de servir.</a:t>
          </a:r>
        </a:p>
        <a:p>
          <a:pPr algn="just"/>
          <a:endParaRPr lang="pt-BR" sz="1100" dirty="0">
            <a:latin typeface="Arial" panose="020B0604020202020204" pitchFamily="34" charset="0"/>
            <a:ea typeface="Inter Light BETA" panose="020B0402030000000004" pitchFamily="34" charset="0"/>
            <a:cs typeface="Arial" panose="020B0604020202020204" pitchFamily="34" charset="0"/>
          </a:endParaRPr>
        </a:p>
        <a:p>
          <a:pPr algn="just"/>
          <a:r>
            <a:rPr lang="pt-BR" sz="1100" dirty="0">
              <a:latin typeface="Arial" panose="020B0604020202020204" pitchFamily="34" charset="0"/>
              <a:ea typeface="Inter Light BETA" panose="020B0402030000000004" pitchFamily="34" charset="0"/>
              <a:cs typeface="Arial" panose="020B0604020202020204" pitchFamily="34" charset="0"/>
            </a:rPr>
            <a:t>Uma "medida financeira não IFRS" refere-se a uma medida numérica da posição histórica ou financeira da </a:t>
          </a:r>
          <a:r>
            <a:rPr lang="pt-BR" sz="1100" dirty="0" err="1">
              <a:latin typeface="Arial" panose="020B0604020202020204" pitchFamily="34" charset="0"/>
              <a:ea typeface="Inter Light BETA" panose="020B0402030000000004" pitchFamily="34" charset="0"/>
              <a:cs typeface="Arial" panose="020B0604020202020204" pitchFamily="34" charset="0"/>
            </a:rPr>
            <a:t>Inter&amp;Co</a:t>
          </a:r>
          <a:r>
            <a:rPr lang="pt-BR" sz="1100" dirty="0">
              <a:latin typeface="Arial" panose="020B0604020202020204" pitchFamily="34" charset="0"/>
              <a:ea typeface="Inter Light BETA" panose="020B0402030000000004" pitchFamily="34" charset="0"/>
              <a:cs typeface="Arial" panose="020B0604020202020204" pitchFamily="34" charset="0"/>
            </a:rPr>
            <a:t> que exclui ou inclui montantes que normalmente não são excluídos ou incluídos na medida mais diretamente comparável calculada e apresentada de acordo com o IFRS nas demonstrações financeiras da </a:t>
          </a:r>
          <a:r>
            <a:rPr lang="pt-BR" sz="1100" dirty="0" err="1">
              <a:latin typeface="Arial" panose="020B0604020202020204" pitchFamily="34" charset="0"/>
              <a:ea typeface="Inter Light BETA" panose="020B0402030000000004" pitchFamily="34" charset="0"/>
              <a:cs typeface="Arial" panose="020B0604020202020204" pitchFamily="34" charset="0"/>
            </a:rPr>
            <a:t>Inter&amp;Co</a:t>
          </a:r>
          <a:r>
            <a:rPr lang="pt-BR" sz="1100" dirty="0">
              <a:latin typeface="Arial" panose="020B0604020202020204" pitchFamily="34" charset="0"/>
              <a:ea typeface="Inter Light BETA" panose="020B0402030000000004" pitchFamily="34" charset="0"/>
              <a:cs typeface="Arial" panose="020B0604020202020204" pitchFamily="34" charset="0"/>
            </a:rPr>
            <a:t>. </a:t>
          </a:r>
        </a:p>
        <a:p>
          <a:pPr algn="just"/>
          <a:endParaRPr lang="pt-BR" sz="1100" dirty="0">
            <a:latin typeface="Arial" panose="020B0604020202020204" pitchFamily="34" charset="0"/>
            <a:ea typeface="Inter Light BETA" panose="020B0402030000000004" pitchFamily="34" charset="0"/>
            <a:cs typeface="Arial" panose="020B0604020202020204" pitchFamily="34" charset="0"/>
          </a:endParaRPr>
        </a:p>
        <a:p>
          <a:pPr algn="just"/>
          <a:r>
            <a:rPr lang="pt-BR" sz="1100" dirty="0">
              <a:latin typeface="Arial" panose="020B0604020202020204" pitchFamily="34" charset="0"/>
              <a:ea typeface="Inter Light BETA" panose="020B0402030000000004" pitchFamily="34" charset="0"/>
              <a:cs typeface="Arial" panose="020B0604020202020204" pitchFamily="34" charset="0"/>
            </a:rPr>
            <a:t>A </a:t>
          </a:r>
          <a:r>
            <a:rPr lang="pt-BR" sz="1100" dirty="0" err="1">
              <a:latin typeface="Arial" panose="020B0604020202020204" pitchFamily="34" charset="0"/>
              <a:ea typeface="Inter Light BETA" panose="020B0402030000000004" pitchFamily="34" charset="0"/>
              <a:cs typeface="Arial" panose="020B0604020202020204" pitchFamily="34" charset="0"/>
            </a:rPr>
            <a:t>Inter&amp;Co</a:t>
          </a:r>
          <a:r>
            <a:rPr lang="pt-BR" sz="1100" dirty="0">
              <a:latin typeface="Arial" panose="020B0604020202020204" pitchFamily="34" charset="0"/>
              <a:ea typeface="Inter Light BETA" panose="020B0402030000000004" pitchFamily="34" charset="0"/>
              <a:cs typeface="Arial" panose="020B0604020202020204" pitchFamily="34" charset="0"/>
            </a:rPr>
            <a:t> fornece certas medidas não-IFRS como informações adicionais relacionadas aos seus resultados operacionais como complemento aos resultados fornecidos de acordo com o IFRS. As informações financeiras não IFRS aqui apresentadas devem ser consideradas em conjunto com, e não como um substituto ou superior a, as informações financeiras apresentadas de acordo com o IFRS. Existem limitações significativas associadas ao uso de medidas financeiras não IFRS. Além disso, estas medidas podem diferir das informações não IFRS, mesmo quando com títulos semelhantes, utilizadas por outras empresas e, por conseguinte, não devem ser utilizadas para comparar o desempenho da </a:t>
          </a:r>
          <a:r>
            <a:rPr lang="pt-BR" sz="1100" dirty="0" err="1">
              <a:latin typeface="Arial" panose="020B0604020202020204" pitchFamily="34" charset="0"/>
              <a:ea typeface="Inter Light BETA" panose="020B0402030000000004" pitchFamily="34" charset="0"/>
              <a:cs typeface="Arial" panose="020B0604020202020204" pitchFamily="34" charset="0"/>
            </a:rPr>
            <a:t>Inter&amp;Co</a:t>
          </a:r>
          <a:r>
            <a:rPr lang="pt-BR" sz="1100" dirty="0">
              <a:latin typeface="Arial" panose="020B0604020202020204" pitchFamily="34" charset="0"/>
              <a:ea typeface="Inter Light BETA" panose="020B0402030000000004" pitchFamily="34" charset="0"/>
              <a:cs typeface="Arial" panose="020B0604020202020204" pitchFamily="34" charset="0"/>
            </a:rPr>
            <a:t> com o de outras empresas.</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Arial" panose="020B0604020202020204" pitchFamily="34" charset="0"/>
            <a:ea typeface="Inter Light BETA" panose="020B04020300000000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Arial" panose="020B0604020202020204" pitchFamily="34" charset="0"/>
            <a:ea typeface="Inter Light BETA" panose="020B0402030000000004" pitchFamily="34" charset="0"/>
            <a:cs typeface="Arial" panose="020B060402020202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Arial" panose="020B0604020202020204" pitchFamily="34" charset="0"/>
            <a:ea typeface="Inter Light BETA" panose="020B0402030000000004" pitchFamily="34" charset="0"/>
            <a:cs typeface="Arial" panose="020B0604020202020204" pitchFamily="34" charset="0"/>
          </a:endParaRPr>
        </a:p>
      </xdr:txBody>
    </xdr:sp>
    <xdr:clientData/>
  </xdr:twoCellAnchor>
  <xdr:twoCellAnchor>
    <xdr:from>
      <xdr:col>0</xdr:col>
      <xdr:colOff>0</xdr:colOff>
      <xdr:row>1</xdr:row>
      <xdr:rowOff>120601</xdr:rowOff>
    </xdr:from>
    <xdr:to>
      <xdr:col>5</xdr:col>
      <xdr:colOff>375697</xdr:colOff>
      <xdr:row>4</xdr:row>
      <xdr:rowOff>180882</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0" y="311101"/>
          <a:ext cx="4503197" cy="63178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lvl="0">
            <a:defRPr lang="pt-BR"/>
          </a:defPPr>
          <a:lvl1pPr marL="0" lvl="0" algn="l" defTabSz="914400" rtl="0" eaLnBrk="1" latinLnBrk="0" hangingPunct="1">
            <a:defRPr sz="1800" kern="1200">
              <a:solidFill>
                <a:schemeClr val="lt1"/>
              </a:solidFill>
              <a:latin typeface="+mn-lt"/>
              <a:ea typeface="+mn-ea"/>
              <a:cs typeface="+mn-cs"/>
            </a:defRPr>
          </a:lvl1pPr>
          <a:lvl2pPr marL="457200" lvl="1" algn="l" defTabSz="914400" rtl="0" eaLnBrk="1" latinLnBrk="0" hangingPunct="1">
            <a:defRPr sz="1800" kern="1200">
              <a:solidFill>
                <a:schemeClr val="lt1"/>
              </a:solidFill>
              <a:latin typeface="+mn-lt"/>
              <a:ea typeface="+mn-ea"/>
              <a:cs typeface="+mn-cs"/>
            </a:defRPr>
          </a:lvl2pPr>
          <a:lvl3pPr marL="914400" lvl="2" algn="l" defTabSz="914400" rtl="0" eaLnBrk="1" latinLnBrk="0" hangingPunct="1">
            <a:defRPr sz="1800" kern="1200">
              <a:solidFill>
                <a:schemeClr val="lt1"/>
              </a:solidFill>
              <a:latin typeface="+mn-lt"/>
              <a:ea typeface="+mn-ea"/>
              <a:cs typeface="+mn-cs"/>
            </a:defRPr>
          </a:lvl3pPr>
          <a:lvl4pPr marL="1371600" lvl="3" algn="l" defTabSz="914400" rtl="0" eaLnBrk="1" latinLnBrk="0" hangingPunct="1">
            <a:defRPr sz="1800" kern="1200">
              <a:solidFill>
                <a:schemeClr val="lt1"/>
              </a:solidFill>
              <a:latin typeface="+mn-lt"/>
              <a:ea typeface="+mn-ea"/>
              <a:cs typeface="+mn-cs"/>
            </a:defRPr>
          </a:lvl4pPr>
          <a:lvl5pPr marL="1828800" lvl="4" algn="l" defTabSz="914400" rtl="0" eaLnBrk="1" latinLnBrk="0" hangingPunct="1">
            <a:defRPr sz="1800" kern="1200">
              <a:solidFill>
                <a:schemeClr val="lt1"/>
              </a:solidFill>
              <a:latin typeface="+mn-lt"/>
              <a:ea typeface="+mn-ea"/>
              <a:cs typeface="+mn-cs"/>
            </a:defRPr>
          </a:lvl5pPr>
          <a:lvl6pPr marL="2286000" lvl="5" algn="l" defTabSz="914400" rtl="0" eaLnBrk="1" latinLnBrk="0" hangingPunct="1">
            <a:defRPr sz="1800" kern="1200">
              <a:solidFill>
                <a:schemeClr val="lt1"/>
              </a:solidFill>
              <a:latin typeface="+mn-lt"/>
              <a:ea typeface="+mn-ea"/>
              <a:cs typeface="+mn-cs"/>
            </a:defRPr>
          </a:lvl6pPr>
          <a:lvl7pPr marL="2743200" lvl="6" algn="l" defTabSz="914400" rtl="0" eaLnBrk="1" latinLnBrk="0" hangingPunct="1">
            <a:defRPr sz="1800" kern="1200">
              <a:solidFill>
                <a:schemeClr val="lt1"/>
              </a:solidFill>
              <a:latin typeface="+mn-lt"/>
              <a:ea typeface="+mn-ea"/>
              <a:cs typeface="+mn-cs"/>
            </a:defRPr>
          </a:lvl7pPr>
          <a:lvl8pPr marL="3200400" lvl="7" algn="l" defTabSz="914400" rtl="0" eaLnBrk="1" latinLnBrk="0" hangingPunct="1">
            <a:defRPr sz="1800" kern="1200">
              <a:solidFill>
                <a:schemeClr val="lt1"/>
              </a:solidFill>
              <a:latin typeface="+mn-lt"/>
              <a:ea typeface="+mn-ea"/>
              <a:cs typeface="+mn-cs"/>
            </a:defRPr>
          </a:lvl8pPr>
          <a:lvl9pPr marL="3657600" lvl="8" algn="l" defTabSz="914400" rtl="0" eaLnBrk="1" latinLnBrk="0" hangingPunct="1">
            <a:defRPr sz="1800" kern="1200">
              <a:solidFill>
                <a:schemeClr val="lt1"/>
              </a:solidFill>
              <a:latin typeface="+mn-lt"/>
              <a:ea typeface="+mn-ea"/>
              <a:cs typeface="+mn-cs"/>
            </a:defRPr>
          </a:lvl9pPr>
        </a:lstStyle>
        <a:p>
          <a:pPr algn="r"/>
          <a:r>
            <a:rPr lang="en-US" sz="4000" b="1">
              <a:solidFill>
                <a:srgbClr val="FF7A00"/>
              </a:solidFill>
              <a:latin typeface="Calibri" panose="020F0502020204030204" pitchFamily="34" charset="0"/>
              <a:cs typeface="Calibri" panose="020F0502020204030204" pitchFamily="34" charset="0"/>
            </a:rPr>
            <a:t>Disclaimer</a:t>
          </a:r>
        </a:p>
      </xdr:txBody>
    </xdr:sp>
    <xdr:clientData/>
  </xdr:twoCellAnchor>
  <xdr:twoCellAnchor editAs="oneCell">
    <xdr:from>
      <xdr:col>0</xdr:col>
      <xdr:colOff>180112</xdr:colOff>
      <xdr:row>6</xdr:row>
      <xdr:rowOff>55393</xdr:rowOff>
    </xdr:from>
    <xdr:to>
      <xdr:col>5</xdr:col>
      <xdr:colOff>476688</xdr:colOff>
      <xdr:row>31</xdr:row>
      <xdr:rowOff>36164</xdr:rowOff>
    </xdr:to>
    <xdr:pic>
      <xdr:nvPicPr>
        <xdr:cNvPr id="4" name="Picture 3" descr="A person sitting on an orange chair with a computer&#10;&#10;Description automatically generated with medium confidence">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80112" y="1198393"/>
          <a:ext cx="4424076" cy="4743271"/>
        </a:xfrm>
        <a:prstGeom prst="roundRect">
          <a:avLst/>
        </a:prstGeom>
      </xdr:spPr>
    </xdr:pic>
    <xdr:clientData/>
  </xdr:twoCellAnchor>
  <xdr:twoCellAnchor>
    <xdr:from>
      <xdr:col>21</xdr:col>
      <xdr:colOff>502140</xdr:colOff>
      <xdr:row>4</xdr:row>
      <xdr:rowOff>18689</xdr:rowOff>
    </xdr:from>
    <xdr:to>
      <xdr:col>30</xdr:col>
      <xdr:colOff>446138</xdr:colOff>
      <xdr:row>34</xdr:row>
      <xdr:rowOff>76043</xdr:rowOff>
    </xdr:to>
    <xdr:sp macro="" textlink="">
      <xdr:nvSpPr>
        <xdr:cNvPr id="5" name="CaixaDeTexto 6">
          <a:extLst>
            <a:ext uri="{FF2B5EF4-FFF2-40B4-BE49-F238E27FC236}">
              <a16:creationId xmlns:a16="http://schemas.microsoft.com/office/drawing/2014/main" id="{00000000-0008-0000-1500-000005000000}"/>
            </a:ext>
          </a:extLst>
        </xdr:cNvPr>
        <xdr:cNvSpPr txBox="1"/>
      </xdr:nvSpPr>
      <xdr:spPr>
        <a:xfrm>
          <a:off x="17708592" y="756108"/>
          <a:ext cx="7318191" cy="5588000"/>
        </a:xfrm>
        <a:prstGeom prst="rect">
          <a:avLst/>
        </a:prstGeom>
        <a:noFill/>
      </xdr:spPr>
      <xdr:txBody>
        <a:bodyPr wrap="square" rtlCol="0">
          <a:noAutofit/>
        </a:bodyPr>
        <a:lstStyle>
          <a:defPPr lvl="0">
            <a:defRPr lang="pt-BR"/>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rPr>
            <a:t>The numbers for our key metrics (Unit Economics), which include active users, as average revenue per active client (ARPAC), cost to serve (CTS), are calculated using Inter’s internal data. Although we believe these metrics are based on reasonable estimates, but there are challenges inherent in measuring the use of our business. In addition, we continually seek to improve our estimates, which may change due to improvements or changes in methodology, in processes for calculating these metrics and, from time to time, we may discover inaccuracies and make adjustments to improve accuracy, including adjustments that may result in recalculating our historical metrics. </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600" b="1" i="0" u="none" strike="noStrike" kern="1200" cap="none" spc="0" normalizeH="0" baseline="0">
              <a:ln>
                <a:noFill/>
              </a:ln>
              <a:solidFill>
                <a:srgbClr val="FF7A00"/>
              </a:solidFill>
              <a:effectLst/>
              <a:uLnTx/>
              <a:uFillTx/>
              <a:latin typeface="Calibri" panose="020F0502020204030204" pitchFamily="34" charset="0"/>
              <a:ea typeface="Inter Light BETA" panose="020B0402030000000004" pitchFamily="34" charset="0"/>
              <a:cs typeface="Calibri" panose="020F0502020204030204" pitchFamily="34" charset="0"/>
            </a:rPr>
            <a:t>About Non-IFRS Financial Measures </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rPr>
            <a:t>To supplement the financial measures presented in this press release and related conference call, presentation, or webcast in accordance with IFRS, Inter&amp;Co also presents non-IFRS measures of financial performance, as highlighted throughout the documents. The non-IFRS Financial Measures include, among others: Adjusted Net Income, Cost to Serve, Cost of Funding, Efficiency Ratio, Underwriting, NPL &gt; 90 days, NPL 15 to 90 days, NPL and Stage 3 Formation, Cost of Risk, Coverage Ratio, Funding, All-in Cost of Funding, Gross Merchandise Volume (GMV), Premiuns, Net Inflows, Global Services Deposits and Investments, Fee Income Ratio, Client Acquisition Cost, Cards+PIX TPV, Gross ARPAC, Net ARPAC, Marginal NIM 1.0, Marginal NIM 2.0, Net Interest Margin IEP + Non-int. CC Receivables (1.0), Net Interest Margin IEP (2.0), Cost-to-Serve.</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rPr>
            <a:t>A “non-IFRS financial measure” refers to a numerical measure of Inter&amp;Co’s historical or financial position that either excludes or includes amounts that are not normally excluded or included in the most directly comparable measure calculated and presented in accordance with IFRS in Inter&amp;Co’s financial statements. </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rPr>
            <a:t>Inter&amp;Co provides certain non-IFRS measures as additional information relating to its operating results as a complement to results provided in accordance with IFRS. The non-IFRS financial information presented herein should be considered together with, and not as a substitute for or superior to, the financial information presented in accordance with IFRS. There are significant limitations associated with the use of non-IFRS financial measures. Further, these measures may differ from the non-IFRS information, even where similarly titled, used by other companies and therefore should not be used to compare Inter&amp;Co’s performance to that of other companies. </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1200" cap="none" spc="0" normalizeH="0" baseline="0">
            <a:ln>
              <a:noFill/>
            </a:ln>
            <a:solidFill>
              <a:prstClr val="black"/>
            </a:solidFill>
            <a:effectLst/>
            <a:uLnTx/>
            <a:uFillTx/>
            <a:latin typeface="Calibri" panose="020F0502020204030204" pitchFamily="34" charset="0"/>
            <a:ea typeface="Inter Light BETA" panose="020B0402030000000004" pitchFamily="34" charset="0"/>
            <a:cs typeface="Calibri" panose="020F0502020204030204" pitchFamily="34" charset="0"/>
          </a:endParaRPr>
        </a:p>
      </xdr:txBody>
    </xdr:sp>
    <xdr:clientData/>
  </xdr:twoCellAnchor>
  <xdr:twoCellAnchor>
    <xdr:from>
      <xdr:col>15</xdr:col>
      <xdr:colOff>430160</xdr:colOff>
      <xdr:row>2</xdr:row>
      <xdr:rowOff>-1</xdr:rowOff>
    </xdr:from>
    <xdr:to>
      <xdr:col>21</xdr:col>
      <xdr:colOff>17228</xdr:colOff>
      <xdr:row>5</xdr:row>
      <xdr:rowOff>78716</xdr:rowOff>
    </xdr:to>
    <xdr:sp macro="" textlink="">
      <xdr:nvSpPr>
        <xdr:cNvPr id="6" name="Rounded Rectangle 5">
          <a:extLst>
            <a:ext uri="{FF2B5EF4-FFF2-40B4-BE49-F238E27FC236}">
              <a16:creationId xmlns:a16="http://schemas.microsoft.com/office/drawing/2014/main" id="{00000000-0008-0000-1500-000006000000}"/>
            </a:ext>
          </a:extLst>
        </xdr:cNvPr>
        <xdr:cNvSpPr/>
      </xdr:nvSpPr>
      <xdr:spPr>
        <a:xfrm>
          <a:off x="12720483" y="368709"/>
          <a:ext cx="4503197" cy="631781"/>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lvl="0">
            <a:defRPr lang="pt-BR"/>
          </a:defPPr>
          <a:lvl1pPr marL="0" lvl="0" algn="l" defTabSz="914400" rtl="0" eaLnBrk="1" latinLnBrk="0" hangingPunct="1">
            <a:defRPr sz="1800" kern="1200">
              <a:solidFill>
                <a:schemeClr val="lt1"/>
              </a:solidFill>
              <a:latin typeface="+mn-lt"/>
              <a:ea typeface="+mn-ea"/>
              <a:cs typeface="+mn-cs"/>
            </a:defRPr>
          </a:lvl1pPr>
          <a:lvl2pPr marL="457200" lvl="1" algn="l" defTabSz="914400" rtl="0" eaLnBrk="1" latinLnBrk="0" hangingPunct="1">
            <a:defRPr sz="1800" kern="1200">
              <a:solidFill>
                <a:schemeClr val="lt1"/>
              </a:solidFill>
              <a:latin typeface="+mn-lt"/>
              <a:ea typeface="+mn-ea"/>
              <a:cs typeface="+mn-cs"/>
            </a:defRPr>
          </a:lvl2pPr>
          <a:lvl3pPr marL="914400" lvl="2" algn="l" defTabSz="914400" rtl="0" eaLnBrk="1" latinLnBrk="0" hangingPunct="1">
            <a:defRPr sz="1800" kern="1200">
              <a:solidFill>
                <a:schemeClr val="lt1"/>
              </a:solidFill>
              <a:latin typeface="+mn-lt"/>
              <a:ea typeface="+mn-ea"/>
              <a:cs typeface="+mn-cs"/>
            </a:defRPr>
          </a:lvl3pPr>
          <a:lvl4pPr marL="1371600" lvl="3" algn="l" defTabSz="914400" rtl="0" eaLnBrk="1" latinLnBrk="0" hangingPunct="1">
            <a:defRPr sz="1800" kern="1200">
              <a:solidFill>
                <a:schemeClr val="lt1"/>
              </a:solidFill>
              <a:latin typeface="+mn-lt"/>
              <a:ea typeface="+mn-ea"/>
              <a:cs typeface="+mn-cs"/>
            </a:defRPr>
          </a:lvl4pPr>
          <a:lvl5pPr marL="1828800" lvl="4" algn="l" defTabSz="914400" rtl="0" eaLnBrk="1" latinLnBrk="0" hangingPunct="1">
            <a:defRPr sz="1800" kern="1200">
              <a:solidFill>
                <a:schemeClr val="lt1"/>
              </a:solidFill>
              <a:latin typeface="+mn-lt"/>
              <a:ea typeface="+mn-ea"/>
              <a:cs typeface="+mn-cs"/>
            </a:defRPr>
          </a:lvl5pPr>
          <a:lvl6pPr marL="2286000" lvl="5" algn="l" defTabSz="914400" rtl="0" eaLnBrk="1" latinLnBrk="0" hangingPunct="1">
            <a:defRPr sz="1800" kern="1200">
              <a:solidFill>
                <a:schemeClr val="lt1"/>
              </a:solidFill>
              <a:latin typeface="+mn-lt"/>
              <a:ea typeface="+mn-ea"/>
              <a:cs typeface="+mn-cs"/>
            </a:defRPr>
          </a:lvl6pPr>
          <a:lvl7pPr marL="2743200" lvl="6" algn="l" defTabSz="914400" rtl="0" eaLnBrk="1" latinLnBrk="0" hangingPunct="1">
            <a:defRPr sz="1800" kern="1200">
              <a:solidFill>
                <a:schemeClr val="lt1"/>
              </a:solidFill>
              <a:latin typeface="+mn-lt"/>
              <a:ea typeface="+mn-ea"/>
              <a:cs typeface="+mn-cs"/>
            </a:defRPr>
          </a:lvl7pPr>
          <a:lvl8pPr marL="3200400" lvl="7" algn="l" defTabSz="914400" rtl="0" eaLnBrk="1" latinLnBrk="0" hangingPunct="1">
            <a:defRPr sz="1800" kern="1200">
              <a:solidFill>
                <a:schemeClr val="lt1"/>
              </a:solidFill>
              <a:latin typeface="+mn-lt"/>
              <a:ea typeface="+mn-ea"/>
              <a:cs typeface="+mn-cs"/>
            </a:defRPr>
          </a:lvl8pPr>
          <a:lvl9pPr marL="3657600" lvl="8" algn="l" defTabSz="914400" rtl="0" eaLnBrk="1" latinLnBrk="0" hangingPunct="1">
            <a:defRPr sz="1800" kern="1200">
              <a:solidFill>
                <a:schemeClr val="lt1"/>
              </a:solidFill>
              <a:latin typeface="+mn-lt"/>
              <a:ea typeface="+mn-ea"/>
              <a:cs typeface="+mn-cs"/>
            </a:defRPr>
          </a:lvl9pPr>
        </a:lstStyle>
        <a:p>
          <a:pPr algn="r"/>
          <a:r>
            <a:rPr lang="en-US" sz="4000" b="1">
              <a:solidFill>
                <a:srgbClr val="FF7A00"/>
              </a:solidFill>
              <a:latin typeface="Calibri" panose="020F0502020204030204" pitchFamily="34" charset="0"/>
              <a:cs typeface="Calibri" panose="020F0502020204030204" pitchFamily="34" charset="0"/>
            </a:rPr>
            <a:t>Disclaimer</a:t>
          </a:r>
        </a:p>
      </xdr:txBody>
    </xdr:sp>
    <xdr:clientData/>
  </xdr:twoCellAnchor>
  <xdr:twoCellAnchor editAs="oneCell">
    <xdr:from>
      <xdr:col>15</xdr:col>
      <xdr:colOff>610272</xdr:colOff>
      <xdr:row>6</xdr:row>
      <xdr:rowOff>149872</xdr:rowOff>
    </xdr:from>
    <xdr:to>
      <xdr:col>21</xdr:col>
      <xdr:colOff>118219</xdr:colOff>
      <xdr:row>32</xdr:row>
      <xdr:rowOff>99917</xdr:rowOff>
    </xdr:to>
    <xdr:pic>
      <xdr:nvPicPr>
        <xdr:cNvPr id="7" name="Picture 6" descr="A person sitting on an orange chair with a computer&#10;&#10;Description automatically generated with medium confidence">
          <a:extLst>
            <a:ext uri="{FF2B5EF4-FFF2-40B4-BE49-F238E27FC236}">
              <a16:creationId xmlns:a16="http://schemas.microsoft.com/office/drawing/2014/main" id="{00000000-0008-0000-1500-000007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900595" y="1256001"/>
          <a:ext cx="4424076" cy="4743271"/>
        </a:xfrm>
        <a:prstGeom prst="roundRect">
          <a:avLst/>
        </a:prstGeom>
      </xdr:spPr>
    </xdr:pic>
    <xdr:clientData/>
  </xdr:twoCellAnchor>
  <xdr:twoCellAnchor>
    <xdr:from>
      <xdr:col>31</xdr:col>
      <xdr:colOff>0</xdr:colOff>
      <xdr:row>1</xdr:row>
      <xdr:rowOff>0</xdr:rowOff>
    </xdr:from>
    <xdr:to>
      <xdr:col>33</xdr:col>
      <xdr:colOff>46892</xdr:colOff>
      <xdr:row>2</xdr:row>
      <xdr:rowOff>140108</xdr:rowOff>
    </xdr:to>
    <xdr:grpSp>
      <xdr:nvGrpSpPr>
        <xdr:cNvPr id="8" name="Group 7">
          <a:extLst>
            <a:ext uri="{FF2B5EF4-FFF2-40B4-BE49-F238E27FC236}">
              <a16:creationId xmlns:a16="http://schemas.microsoft.com/office/drawing/2014/main" id="{00000000-0008-0000-1500-000008000000}"/>
            </a:ext>
          </a:extLst>
        </xdr:cNvPr>
        <xdr:cNvGrpSpPr/>
      </xdr:nvGrpSpPr>
      <xdr:grpSpPr>
        <a:xfrm>
          <a:off x="25590500" y="190500"/>
          <a:ext cx="1697892" cy="330608"/>
          <a:chOff x="9503508" y="419387"/>
          <a:chExt cx="1697892" cy="285953"/>
        </a:xfrm>
      </xdr:grpSpPr>
      <xdr:sp macro="" textlink="Names!BG2">
        <xdr:nvSpPr>
          <xdr:cNvPr id="9" name="Rounded Rectangle 8">
            <a:hlinkClick xmlns:r="http://schemas.openxmlformats.org/officeDocument/2006/relationships" r:id="rId2"/>
            <a:extLst>
              <a:ext uri="{FF2B5EF4-FFF2-40B4-BE49-F238E27FC236}">
                <a16:creationId xmlns:a16="http://schemas.microsoft.com/office/drawing/2014/main" id="{00000000-0008-0000-1500-000009000000}"/>
              </a:ext>
            </a:extLst>
          </xdr:cNvPr>
          <xdr:cNvSpPr/>
        </xdr:nvSpPr>
        <xdr:spPr>
          <a:xfrm>
            <a:off x="9503508" y="420076"/>
            <a:ext cx="1697892" cy="285264"/>
          </a:xfrm>
          <a:prstGeom prst="roundRect">
            <a:avLst/>
          </a:prstGeom>
          <a:solidFill>
            <a:srgbClr val="FE78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10" name="Gráfico 4" descr="Seta de linha: retorno na horizontal com preenchimento sólido">
            <a:hlinkClick xmlns:r="http://schemas.openxmlformats.org/officeDocument/2006/relationships" r:id="rId2"/>
            <a:extLst>
              <a:ext uri="{FF2B5EF4-FFF2-40B4-BE49-F238E27FC236}">
                <a16:creationId xmlns:a16="http://schemas.microsoft.com/office/drawing/2014/main" id="{00000000-0008-0000-1500-00000A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9592734" y="419387"/>
            <a:ext cx="258937" cy="264917"/>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177800</xdr:colOff>
      <xdr:row>0</xdr:row>
      <xdr:rowOff>50800</xdr:rowOff>
    </xdr:from>
    <xdr:to>
      <xdr:col>6</xdr:col>
      <xdr:colOff>780505</xdr:colOff>
      <xdr:row>2</xdr:row>
      <xdr:rowOff>78712</xdr:rowOff>
    </xdr:to>
    <xdr:sp macro="" textlink="">
      <xdr:nvSpPr>
        <xdr:cNvPr id="11" name="Content Placeholder 1">
          <a:extLst>
            <a:ext uri="{FF2B5EF4-FFF2-40B4-BE49-F238E27FC236}">
              <a16:creationId xmlns:a16="http://schemas.microsoft.com/office/drawing/2014/main" id="{00000000-0008-0000-1600-00000B000000}"/>
            </a:ext>
          </a:extLst>
        </xdr:cNvPr>
        <xdr:cNvSpPr txBox="1">
          <a:spLocks/>
        </xdr:cNvSpPr>
      </xdr:nvSpPr>
      <xdr:spPr>
        <a:xfrm>
          <a:off x="177800" y="50800"/>
          <a:ext cx="5631905" cy="434312"/>
        </a:xfrm>
        <a:prstGeom prst="rect">
          <a:avLst/>
        </a:prstGeom>
      </xdr:spPr>
      <xdr:txBody>
        <a:bodyPr vert="horz" wrap="square" lIns="0" tIns="0" rIns="0" bIns="0" rtlCol="0" anchor="ctr">
          <a:noAutofit/>
        </a:bodyPr>
        <a:lstStyle>
          <a:defPPr lvl="0">
            <a:defRPr lang="pt-BR"/>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lang="pt-BR" sz="2200">
              <a:solidFill>
                <a:srgbClr val="FF7B02"/>
              </a:solidFill>
              <a:latin typeface="Calibri" panose="020F0502020204030204" pitchFamily="34" charset="0"/>
              <a:cs typeface="Calibri" panose="020F0502020204030204" pitchFamily="34" charset="0"/>
            </a:rPr>
            <a:t>Glossary</a:t>
          </a:r>
          <a:r>
            <a:rPr kumimoji="0" lang="pt-BR" sz="2400" b="1" i="0" u="none" strike="noStrike" kern="0" cap="none" spc="0" normalizeH="0" baseline="0">
              <a:ln>
                <a:noFill/>
              </a:ln>
              <a:solidFill>
                <a:srgbClr val="FF7A00"/>
              </a:solidFill>
              <a:effectLst/>
              <a:uLnTx/>
              <a:uFillTx/>
              <a:latin typeface="Calibri" panose="020F0502020204030204" pitchFamily="34" charset="0"/>
              <a:ea typeface="+mn-ea"/>
              <a:cs typeface="Calibri" panose="020F0502020204030204" pitchFamily="34" charset="0"/>
            </a:rPr>
            <a:t> </a:t>
          </a:r>
          <a:r>
            <a:rPr lang="pt-BR" sz="2200" b="0">
              <a:solidFill>
                <a:srgbClr val="000000"/>
              </a:solidFill>
              <a:latin typeface="Calibri" panose="020F0502020204030204" pitchFamily="34" charset="0"/>
              <a:cs typeface="Calibri" panose="020F0502020204030204" pitchFamily="34" charset="0"/>
            </a:rPr>
            <a:t>of operational definitions</a:t>
          </a:r>
        </a:p>
      </xdr:txBody>
    </xdr:sp>
    <xdr:clientData/>
  </xdr:twoCellAnchor>
  <xdr:twoCellAnchor>
    <xdr:from>
      <xdr:col>0</xdr:col>
      <xdr:colOff>177800</xdr:colOff>
      <xdr:row>48</xdr:row>
      <xdr:rowOff>187926</xdr:rowOff>
    </xdr:from>
    <xdr:to>
      <xdr:col>9</xdr:col>
      <xdr:colOff>152762</xdr:colOff>
      <xdr:row>51</xdr:row>
      <xdr:rowOff>12638</xdr:rowOff>
    </xdr:to>
    <xdr:sp macro="" textlink="">
      <xdr:nvSpPr>
        <xdr:cNvPr id="13" name="Content Placeholder 1">
          <a:extLst>
            <a:ext uri="{FF2B5EF4-FFF2-40B4-BE49-F238E27FC236}">
              <a16:creationId xmlns:a16="http://schemas.microsoft.com/office/drawing/2014/main" id="{00000000-0008-0000-1600-00000D000000}"/>
            </a:ext>
          </a:extLst>
        </xdr:cNvPr>
        <xdr:cNvSpPr txBox="1">
          <a:spLocks/>
        </xdr:cNvSpPr>
      </xdr:nvSpPr>
      <xdr:spPr>
        <a:xfrm>
          <a:off x="177800" y="6893526"/>
          <a:ext cx="7518762" cy="434312"/>
        </a:xfrm>
        <a:prstGeom prst="rect">
          <a:avLst/>
        </a:prstGeom>
      </xdr:spPr>
      <xdr:txBody>
        <a:bodyPr vert="horz" wrap="square" lIns="0" tIns="0" rIns="0" bIns="0" rtlCol="0" anchor="ctr">
          <a:noAutofit/>
        </a:bodyPr>
        <a:lstStyle>
          <a:defPPr lvl="0">
            <a:defRPr lang="pt-BR"/>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lang="pt-BR" sz="2200">
              <a:solidFill>
                <a:srgbClr val="FF7B02"/>
              </a:solidFill>
              <a:latin typeface="Calibri" panose="020F0502020204030204" pitchFamily="34" charset="0"/>
              <a:cs typeface="Calibri" panose="020F0502020204030204" pitchFamily="34" charset="0"/>
            </a:rPr>
            <a:t>Glossary</a:t>
          </a:r>
          <a:r>
            <a:rPr kumimoji="0" lang="pt-BR" sz="2400" b="1" i="0" u="none" strike="noStrike" kern="0" cap="none" spc="0" normalizeH="0" baseline="0">
              <a:ln>
                <a:noFill/>
              </a:ln>
              <a:solidFill>
                <a:srgbClr val="FF7A00"/>
              </a:solidFill>
              <a:effectLst/>
              <a:uLnTx/>
              <a:uFillTx/>
              <a:latin typeface="Calibri" panose="020F0502020204030204" pitchFamily="34" charset="0"/>
              <a:ea typeface="+mn-ea"/>
              <a:cs typeface="Calibri" panose="020F0502020204030204" pitchFamily="34" charset="0"/>
            </a:rPr>
            <a:t> </a:t>
          </a:r>
          <a:r>
            <a:rPr lang="pt-BR" sz="2200" b="0">
              <a:solidFill>
                <a:srgbClr val="000000"/>
              </a:solidFill>
              <a:latin typeface="Calibri" panose="020F0502020204030204" pitchFamily="34" charset="0"/>
              <a:cs typeface="Calibri" panose="020F0502020204030204" pitchFamily="34" charset="0"/>
            </a:rPr>
            <a:t>of financial measures reconciliation</a:t>
          </a:r>
        </a:p>
      </xdr:txBody>
    </xdr:sp>
    <xdr:clientData/>
  </xdr:twoCellAnchor>
  <xdr:twoCellAnchor>
    <xdr:from>
      <xdr:col>8</xdr:col>
      <xdr:colOff>189154</xdr:colOff>
      <xdr:row>0</xdr:row>
      <xdr:rowOff>92364</xdr:rowOff>
    </xdr:from>
    <xdr:to>
      <xdr:col>15</xdr:col>
      <xdr:colOff>309259</xdr:colOff>
      <xdr:row>2</xdr:row>
      <xdr:rowOff>94876</xdr:rowOff>
    </xdr:to>
    <xdr:sp macro="" textlink="">
      <xdr:nvSpPr>
        <xdr:cNvPr id="16" name="Content Placeholder 1">
          <a:extLst>
            <a:ext uri="{FF2B5EF4-FFF2-40B4-BE49-F238E27FC236}">
              <a16:creationId xmlns:a16="http://schemas.microsoft.com/office/drawing/2014/main" id="{00000000-0008-0000-1600-000010000000}"/>
            </a:ext>
          </a:extLst>
        </xdr:cNvPr>
        <xdr:cNvSpPr txBox="1">
          <a:spLocks/>
        </xdr:cNvSpPr>
      </xdr:nvSpPr>
      <xdr:spPr>
        <a:xfrm>
          <a:off x="6885518" y="92364"/>
          <a:ext cx="5979423" cy="406603"/>
        </a:xfrm>
        <a:prstGeom prst="rect">
          <a:avLst/>
        </a:prstGeom>
      </xdr:spPr>
      <xdr:txBody>
        <a:bodyPr vert="horz" wrap="square" lIns="0" tIns="0" rIns="0" bIns="0" rtlCol="0" anchor="ctr">
          <a:noAutofit/>
        </a:bodyPr>
        <a:lstStyle>
          <a:defPPr lvl="0">
            <a:defRPr lang="pt-BR"/>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lang="pt-BR" sz="2200">
              <a:solidFill>
                <a:srgbClr val="FF7B02"/>
              </a:solidFill>
              <a:latin typeface="Calibri" panose="020F0502020204030204" pitchFamily="34" charset="0"/>
              <a:cs typeface="Calibri" panose="020F0502020204030204" pitchFamily="34" charset="0"/>
            </a:rPr>
            <a:t>Glossário</a:t>
          </a:r>
          <a:r>
            <a:rPr kumimoji="0" lang="pt-BR" sz="2400" b="1" i="0" u="none" strike="noStrike" kern="0" cap="none" spc="0" normalizeH="0" baseline="0">
              <a:ln>
                <a:noFill/>
              </a:ln>
              <a:solidFill>
                <a:srgbClr val="FF7A00"/>
              </a:solidFill>
              <a:effectLst/>
              <a:uLnTx/>
              <a:uFillTx/>
              <a:latin typeface="Calibri" panose="020F0502020204030204" pitchFamily="34" charset="0"/>
              <a:ea typeface="+mn-ea"/>
              <a:cs typeface="Calibri" panose="020F0502020204030204" pitchFamily="34" charset="0"/>
            </a:rPr>
            <a:t> </a:t>
          </a:r>
          <a:r>
            <a:rPr lang="pt-BR" sz="2200" b="0">
              <a:solidFill>
                <a:srgbClr val="000000"/>
              </a:solidFill>
              <a:latin typeface="Calibri" panose="020F0502020204030204" pitchFamily="34" charset="0"/>
              <a:cs typeface="Calibri" panose="020F0502020204030204" pitchFamily="34" charset="0"/>
            </a:rPr>
            <a:t>de definições operacionais </a:t>
          </a:r>
        </a:p>
      </xdr:txBody>
    </xdr:sp>
    <xdr:clientData/>
  </xdr:twoCellAnchor>
  <xdr:twoCellAnchor>
    <xdr:from>
      <xdr:col>8</xdr:col>
      <xdr:colOff>189154</xdr:colOff>
      <xdr:row>48</xdr:row>
      <xdr:rowOff>187927</xdr:rowOff>
    </xdr:from>
    <xdr:to>
      <xdr:col>17</xdr:col>
      <xdr:colOff>820458</xdr:colOff>
      <xdr:row>50</xdr:row>
      <xdr:rowOff>190438</xdr:rowOff>
    </xdr:to>
    <xdr:sp macro="" textlink="">
      <xdr:nvSpPr>
        <xdr:cNvPr id="18" name="Content Placeholder 1">
          <a:extLst>
            <a:ext uri="{FF2B5EF4-FFF2-40B4-BE49-F238E27FC236}">
              <a16:creationId xmlns:a16="http://schemas.microsoft.com/office/drawing/2014/main" id="{00000000-0008-0000-1600-000012000000}"/>
            </a:ext>
          </a:extLst>
        </xdr:cNvPr>
        <xdr:cNvSpPr txBox="1">
          <a:spLocks/>
        </xdr:cNvSpPr>
      </xdr:nvSpPr>
      <xdr:spPr>
        <a:xfrm>
          <a:off x="6885518" y="9886109"/>
          <a:ext cx="8164713" cy="406602"/>
        </a:xfrm>
        <a:prstGeom prst="rect">
          <a:avLst/>
        </a:prstGeom>
      </xdr:spPr>
      <xdr:txBody>
        <a:bodyPr vert="horz" wrap="square" lIns="0" tIns="0" rIns="0" bIns="0" rtlCol="0" anchor="ctr">
          <a:noAutofit/>
        </a:bodyPr>
        <a:lstStyle>
          <a:defPPr lvl="0">
            <a:defRPr lang="pt-BR"/>
          </a:defPPr>
          <a:lvl1pPr marL="0" lvl="0" algn="l" defTabSz="914400" rtl="0" eaLnBrk="1" latinLnBrk="0" hangingPunct="1">
            <a:defRPr sz="1800" kern="1200">
              <a:solidFill>
                <a:schemeClr val="tx1"/>
              </a:solidFill>
              <a:latin typeface="+mn-lt"/>
              <a:ea typeface="+mn-ea"/>
              <a:cs typeface="+mn-cs"/>
            </a:defRPr>
          </a:lvl1pPr>
          <a:lvl2pPr marL="457200" lvl="1" algn="l" defTabSz="914400" rtl="0" eaLnBrk="1" latinLnBrk="0" hangingPunct="1">
            <a:defRPr sz="1800" kern="1200">
              <a:solidFill>
                <a:schemeClr val="tx1"/>
              </a:solidFill>
              <a:latin typeface="+mn-lt"/>
              <a:ea typeface="+mn-ea"/>
              <a:cs typeface="+mn-cs"/>
            </a:defRPr>
          </a:lvl2pPr>
          <a:lvl3pPr marL="914400" lvl="2" algn="l" defTabSz="914400" rtl="0" eaLnBrk="1" latinLnBrk="0" hangingPunct="1">
            <a:defRPr sz="1800" kern="1200">
              <a:solidFill>
                <a:schemeClr val="tx1"/>
              </a:solidFill>
              <a:latin typeface="+mn-lt"/>
              <a:ea typeface="+mn-ea"/>
              <a:cs typeface="+mn-cs"/>
            </a:defRPr>
          </a:lvl3pPr>
          <a:lvl4pPr marL="1371600" lvl="3" algn="l" defTabSz="914400" rtl="0" eaLnBrk="1" latinLnBrk="0" hangingPunct="1">
            <a:defRPr sz="1800" kern="1200">
              <a:solidFill>
                <a:schemeClr val="tx1"/>
              </a:solidFill>
              <a:latin typeface="+mn-lt"/>
              <a:ea typeface="+mn-ea"/>
              <a:cs typeface="+mn-cs"/>
            </a:defRPr>
          </a:lvl4pPr>
          <a:lvl5pPr marL="1828800" lvl="4" algn="l" defTabSz="914400" rtl="0" eaLnBrk="1" latinLnBrk="0" hangingPunct="1">
            <a:defRPr sz="1800" kern="1200">
              <a:solidFill>
                <a:schemeClr val="tx1"/>
              </a:solidFill>
              <a:latin typeface="+mn-lt"/>
              <a:ea typeface="+mn-ea"/>
              <a:cs typeface="+mn-cs"/>
            </a:defRPr>
          </a:lvl5pPr>
          <a:lvl6pPr marL="2286000" lvl="5" algn="l" defTabSz="914400" rtl="0" eaLnBrk="1" latinLnBrk="0" hangingPunct="1">
            <a:defRPr sz="1800" kern="1200">
              <a:solidFill>
                <a:schemeClr val="tx1"/>
              </a:solidFill>
              <a:latin typeface="+mn-lt"/>
              <a:ea typeface="+mn-ea"/>
              <a:cs typeface="+mn-cs"/>
            </a:defRPr>
          </a:lvl6pPr>
          <a:lvl7pPr marL="2743200" lvl="6" algn="l" defTabSz="914400" rtl="0" eaLnBrk="1" latinLnBrk="0" hangingPunct="1">
            <a:defRPr sz="1800" kern="1200">
              <a:solidFill>
                <a:schemeClr val="tx1"/>
              </a:solidFill>
              <a:latin typeface="+mn-lt"/>
              <a:ea typeface="+mn-ea"/>
              <a:cs typeface="+mn-cs"/>
            </a:defRPr>
          </a:lvl7pPr>
          <a:lvl8pPr marL="3200400" lvl="7" algn="l" defTabSz="914400" rtl="0" eaLnBrk="1" latinLnBrk="0" hangingPunct="1">
            <a:defRPr sz="1800" kern="1200">
              <a:solidFill>
                <a:schemeClr val="tx1"/>
              </a:solidFill>
              <a:latin typeface="+mn-lt"/>
              <a:ea typeface="+mn-ea"/>
              <a:cs typeface="+mn-cs"/>
            </a:defRPr>
          </a:lvl8pPr>
          <a:lvl9pPr marL="3657600" lvl="8"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lang="pt-BR" sz="2200">
              <a:solidFill>
                <a:srgbClr val="FF7B02"/>
              </a:solidFill>
              <a:latin typeface="Calibri" panose="020F0502020204030204" pitchFamily="34" charset="0"/>
              <a:cs typeface="Calibri" panose="020F0502020204030204" pitchFamily="34" charset="0"/>
            </a:rPr>
            <a:t>Glossário</a:t>
          </a:r>
          <a:r>
            <a:rPr kumimoji="0" lang="pt-BR" sz="2400" b="1" i="0" u="none" strike="noStrike" kern="0" cap="none" spc="0" normalizeH="0" baseline="0">
              <a:ln>
                <a:noFill/>
              </a:ln>
              <a:solidFill>
                <a:srgbClr val="FF7A00"/>
              </a:solidFill>
              <a:effectLst/>
              <a:uLnTx/>
              <a:uFillTx/>
              <a:latin typeface="Calibri" panose="020F0502020204030204" pitchFamily="34" charset="0"/>
              <a:ea typeface="+mn-ea"/>
              <a:cs typeface="Calibri" panose="020F0502020204030204" pitchFamily="34" charset="0"/>
            </a:rPr>
            <a:t> </a:t>
          </a:r>
          <a:r>
            <a:rPr lang="pt-BR" sz="2200" b="0">
              <a:solidFill>
                <a:srgbClr val="000000"/>
              </a:solidFill>
              <a:latin typeface="Calibri" panose="020F0502020204030204" pitchFamily="34" charset="0"/>
              <a:cs typeface="Calibri" panose="020F0502020204030204" pitchFamily="34" charset="0"/>
            </a:rPr>
            <a:t>de conciliação de indicadores financeiros</a:t>
          </a:r>
        </a:p>
      </xdr:txBody>
    </xdr:sp>
    <xdr:clientData/>
  </xdr:twoCellAnchor>
  <xdr:twoCellAnchor>
    <xdr:from>
      <xdr:col>16</xdr:col>
      <xdr:colOff>36946</xdr:colOff>
      <xdr:row>0</xdr:row>
      <xdr:rowOff>118918</xdr:rowOff>
    </xdr:from>
    <xdr:to>
      <xdr:col>18</xdr:col>
      <xdr:colOff>83838</xdr:colOff>
      <xdr:row>2</xdr:row>
      <xdr:rowOff>56684</xdr:rowOff>
    </xdr:to>
    <xdr:grpSp>
      <xdr:nvGrpSpPr>
        <xdr:cNvPr id="32" name="Group 31">
          <a:extLst>
            <a:ext uri="{FF2B5EF4-FFF2-40B4-BE49-F238E27FC236}">
              <a16:creationId xmlns:a16="http://schemas.microsoft.com/office/drawing/2014/main" id="{00000000-0008-0000-1600-000020000000}"/>
            </a:ext>
          </a:extLst>
        </xdr:cNvPr>
        <xdr:cNvGrpSpPr/>
      </xdr:nvGrpSpPr>
      <xdr:grpSpPr>
        <a:xfrm>
          <a:off x="13244946" y="118918"/>
          <a:ext cx="1697892" cy="318766"/>
          <a:chOff x="9503508" y="419387"/>
          <a:chExt cx="1697892" cy="285953"/>
        </a:xfrm>
      </xdr:grpSpPr>
      <xdr:sp macro="" textlink="Names!BG2">
        <xdr:nvSpPr>
          <xdr:cNvPr id="33" name="Rounded Rectangle 32">
            <a:hlinkClick xmlns:r="http://schemas.openxmlformats.org/officeDocument/2006/relationships" r:id="rId1"/>
            <a:extLst>
              <a:ext uri="{FF2B5EF4-FFF2-40B4-BE49-F238E27FC236}">
                <a16:creationId xmlns:a16="http://schemas.microsoft.com/office/drawing/2014/main" id="{00000000-0008-0000-1600-000021000000}"/>
              </a:ext>
            </a:extLst>
          </xdr:cNvPr>
          <xdr:cNvSpPr/>
        </xdr:nvSpPr>
        <xdr:spPr>
          <a:xfrm>
            <a:off x="9503508" y="420076"/>
            <a:ext cx="1697892" cy="285264"/>
          </a:xfrm>
          <a:prstGeom prst="roundRect">
            <a:avLst/>
          </a:prstGeom>
          <a:solidFill>
            <a:srgbClr val="FE78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34"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1600-000022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9592734" y="419387"/>
            <a:ext cx="258937" cy="264917"/>
          </a:xfrm>
          <a:prstGeom prst="rect">
            <a:avLst/>
          </a:prstGeom>
        </xdr:spPr>
      </xdr:pic>
    </xdr:grpSp>
    <xdr:clientData/>
  </xdr:twoCellAnchor>
  <xdr:twoCellAnchor>
    <xdr:from>
      <xdr:col>0</xdr:col>
      <xdr:colOff>188149</xdr:colOff>
      <xdr:row>4</xdr:row>
      <xdr:rowOff>0</xdr:rowOff>
    </xdr:from>
    <xdr:to>
      <xdr:col>7</xdr:col>
      <xdr:colOff>76483</xdr:colOff>
      <xdr:row>29</xdr:row>
      <xdr:rowOff>65128</xdr:rowOff>
    </xdr:to>
    <mc:AlternateContent xmlns:mc="http://schemas.openxmlformats.org/markup-compatibility/2006" xmlns:a14="http://schemas.microsoft.com/office/drawing/2010/main">
      <mc:Choice Requires="a14">
        <xdr:sp macro="" textlink="">
          <xdr:nvSpPr>
            <xdr:cNvPr id="12" name="Retângulo 4">
              <a:extLst>
                <a:ext uri="{FF2B5EF4-FFF2-40B4-BE49-F238E27FC236}">
                  <a16:creationId xmlns:a16="http://schemas.microsoft.com/office/drawing/2014/main" id="{00000000-0008-0000-1600-00000C000000}"/>
                </a:ext>
              </a:extLst>
            </xdr:cNvPr>
            <xdr:cNvSpPr/>
          </xdr:nvSpPr>
          <xdr:spPr>
            <a:xfrm>
              <a:off x="188149" y="781538"/>
              <a:ext cx="5587052" cy="4949744"/>
            </a:xfrm>
            <a:prstGeom prst="rect">
              <a:avLst/>
            </a:prstGeom>
          </xdr:spPr>
          <xdr:txBody>
            <a:bodyPr wrap="square">
              <a:no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Activation Rate:</a:t>
              </a:r>
            </a:p>
            <a:p>
              <a:endParaRPr lang="en-US" sz="9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900" i="1">
                            <a:solidFill>
                              <a:schemeClr val="tx1"/>
                            </a:solidFill>
                            <a:latin typeface="Cambria Math" panose="02040503050406030204" pitchFamily="18" charset="0"/>
                            <a:cs typeface="Sora" pitchFamily="2" charset="0"/>
                          </a:rPr>
                        </m:ctrlPr>
                      </m:fPr>
                      <m:num>
                        <m:r>
                          <m:rPr>
                            <m:sty m:val="p"/>
                          </m:rPr>
                          <a:rPr lang="pt-BR" sz="900" i="0">
                            <a:latin typeface="Cambria Math" panose="02040503050406030204" pitchFamily="18" charset="0"/>
                            <a:cs typeface="Sora" pitchFamily="2" charset="0"/>
                          </a:rPr>
                          <m:t>Number</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of</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active</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clients</m:t>
                        </m:r>
                        <m:r>
                          <a:rPr lang="pt-BR" sz="90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at</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the</m:t>
                        </m:r>
                        <m:r>
                          <a:rPr lang="pt-BR" sz="900" b="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end</m:t>
                        </m:r>
                        <m:r>
                          <a:rPr lang="pt-BR" sz="900" b="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of</m:t>
                        </m:r>
                        <m:r>
                          <a:rPr lang="pt-BR" sz="900" b="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the</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quarter</m:t>
                        </m:r>
                      </m:num>
                      <m:den>
                        <m:r>
                          <m:rPr>
                            <m:sty m:val="p"/>
                          </m:rPr>
                          <a:rPr lang="pt-BR" sz="900">
                            <a:latin typeface="Cambria Math" panose="02040503050406030204" pitchFamily="18" charset="0"/>
                            <a:cs typeface="Sora" pitchFamily="2" charset="0"/>
                          </a:rPr>
                          <m:t>Total</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number</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of</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clients</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at</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the</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end</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of</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the</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quarter</m:t>
                        </m:r>
                      </m:den>
                    </m:f>
                    <m:r>
                      <a:rPr lang="pt-BR" sz="900" i="1">
                        <a:latin typeface="Cambria Math" panose="02040503050406030204" pitchFamily="18" charset="0"/>
                        <a:cs typeface="Sora" pitchFamily="2" charset="0"/>
                      </a:rPr>
                      <m:t> </m:t>
                    </m:r>
                  </m:oMath>
                </m:oMathPara>
              </a14:m>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Active clients:</a:t>
              </a:r>
            </a:p>
            <a:p>
              <a:pPr algn="just"/>
              <a:r>
                <a:rPr lang="en-US" sz="900">
                  <a:latin typeface="Calibri" panose="020F0502020204030204" pitchFamily="34" charset="0"/>
                  <a:ea typeface="Inter" panose="020B0502030000000004" pitchFamily="34" charset="0"/>
                  <a:cs typeface="Calibri" panose="020F0502020204030204" pitchFamily="34" charset="0"/>
                </a:rPr>
                <a:t>We define an active client  as a customer at any given date that was the source of any amount of revenue for us in the preceding three months, or/and a customer that used products in the preceding three months. For Inter insurance, we calculate the number of active clients for our insurance brokerage vertical as the number of beneficiaries of insurance policies effective as of a particular date. For Inter Invest, we calculate the number of active clients as the number of individual accounts that have invested on our platform over the applicable period. </a:t>
              </a:r>
            </a:p>
            <a:p>
              <a:pPr algn="just"/>
              <a:endParaRPr lang="en-US" sz="900">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latin typeface="Calibri" panose="020F0502020204030204" pitchFamily="34" charset="0"/>
                <a:ea typeface="Inter Light BETA" panose="020B04020300000000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Active clients per employee:</a:t>
              </a:r>
            </a:p>
            <a:p>
              <a:endParaRPr lang="en-US" sz="9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900" i="1">
                            <a:solidFill>
                              <a:schemeClr val="tx1"/>
                            </a:solidFill>
                            <a:latin typeface="Cambria Math" panose="02040503050406030204" pitchFamily="18" charset="0"/>
                            <a:cs typeface="Sora" pitchFamily="2" charset="0"/>
                          </a:rPr>
                        </m:ctrlPr>
                      </m:fPr>
                      <m:num>
                        <m:r>
                          <m:rPr>
                            <m:sty m:val="p"/>
                          </m:rPr>
                          <a:rPr lang="pt-BR" sz="900" i="0">
                            <a:latin typeface="Cambria Math" panose="02040503050406030204" pitchFamily="18" charset="0"/>
                            <a:cs typeface="Sora" pitchFamily="2" charset="0"/>
                          </a:rPr>
                          <m:t>Number</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of</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active</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clients</m:t>
                        </m:r>
                        <m:r>
                          <a:rPr lang="pt-BR" sz="90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at</m:t>
                        </m:r>
                        <m:r>
                          <a:rPr lang="pt-BR" sz="90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the</m:t>
                        </m:r>
                        <m:r>
                          <a:rPr lang="pt-BR" sz="900" b="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end</m:t>
                        </m:r>
                        <m:r>
                          <a:rPr lang="pt-BR" sz="900" b="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of</m:t>
                        </m:r>
                        <m:r>
                          <a:rPr lang="pt-BR" sz="900" b="0" i="0">
                            <a:latin typeface="Cambria Math" panose="02040503050406030204" pitchFamily="18" charset="0"/>
                            <a:cs typeface="Sora" pitchFamily="2" charset="0"/>
                          </a:rPr>
                          <m:t> </m:t>
                        </m:r>
                        <m:r>
                          <m:rPr>
                            <m:sty m:val="p"/>
                          </m:rPr>
                          <a:rPr lang="pt-BR" sz="900" b="0" i="0">
                            <a:latin typeface="Cambria Math" panose="02040503050406030204" pitchFamily="18" charset="0"/>
                            <a:cs typeface="Sora" pitchFamily="2" charset="0"/>
                          </a:rPr>
                          <m:t>the</m:t>
                        </m:r>
                        <m:r>
                          <a:rPr lang="pt-BR" sz="900" b="0" i="0">
                            <a:latin typeface="Cambria Math" panose="02040503050406030204" pitchFamily="18" charset="0"/>
                            <a:cs typeface="Sora" pitchFamily="2" charset="0"/>
                          </a:rPr>
                          <m:t>  </m:t>
                        </m:r>
                        <m:r>
                          <m:rPr>
                            <m:sty m:val="p"/>
                          </m:rPr>
                          <a:rPr lang="pt-BR" sz="900" i="0">
                            <a:latin typeface="Cambria Math" panose="02040503050406030204" pitchFamily="18" charset="0"/>
                            <a:cs typeface="Sora" pitchFamily="2" charset="0"/>
                          </a:rPr>
                          <m:t>quarter</m:t>
                        </m:r>
                      </m:num>
                      <m:den>
                        <m:r>
                          <m:rPr>
                            <m:sty m:val="p"/>
                          </m:rPr>
                          <a:rPr lang="pt-BR" sz="900">
                            <a:latin typeface="Cambria Math" panose="02040503050406030204" pitchFamily="18" charset="0"/>
                            <a:cs typeface="Sora" pitchFamily="2" charset="0"/>
                          </a:rPr>
                          <m:t>Total</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number</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of</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employees</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at</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the</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end</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of</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the</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quarter</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including</m:t>
                        </m:r>
                        <m:r>
                          <a:rPr lang="pt-BR" sz="900">
                            <a:latin typeface="Cambria Math" panose="02040503050406030204" pitchFamily="18" charset="0"/>
                            <a:cs typeface="Sora" pitchFamily="2" charset="0"/>
                          </a:rPr>
                          <m:t> </m:t>
                        </m:r>
                        <m:r>
                          <m:rPr>
                            <m:sty m:val="p"/>
                          </m:rPr>
                          <a:rPr lang="pt-BR" sz="900">
                            <a:latin typeface="Cambria Math" panose="02040503050406030204" pitchFamily="18" charset="0"/>
                            <a:cs typeface="Sora" pitchFamily="2" charset="0"/>
                          </a:rPr>
                          <m:t>interns</m:t>
                        </m:r>
                      </m:den>
                    </m:f>
                  </m:oMath>
                </m:oMathPara>
              </a14:m>
              <a:endParaRPr lang="en-US" sz="900">
                <a:latin typeface="Calibri" panose="020F0502020204030204" pitchFamily="34" charset="0"/>
                <a:ea typeface="Inter Light BETA" panose="020B04020300000000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Card+PIX TPV:</a:t>
              </a:r>
            </a:p>
            <a:p>
              <a:pPr algn="just"/>
              <a:r>
                <a:rPr lang="en-US" sz="900">
                  <a:latin typeface="Calibri" panose="020F0502020204030204" pitchFamily="34" charset="0"/>
                  <a:ea typeface="Inter" panose="020B0502030000000004" pitchFamily="34" charset="0"/>
                  <a:cs typeface="Calibri" panose="020F0502020204030204" pitchFamily="34" charset="0"/>
                </a:rPr>
                <a:t>PIX, debit and credit cards and withdrawal transacted volumes of a given period. PIX is a Central Bank of Brazil solution to bring instant payments among banks and financial institutions in Brazil. </a:t>
              </a: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Card+PIX TPV per active client:</a:t>
              </a:r>
            </a:p>
            <a:p>
              <a:pPr algn="just"/>
              <a:r>
                <a:rPr lang="en-US" sz="900">
                  <a:latin typeface="Calibri" panose="020F0502020204030204" pitchFamily="34" charset="0"/>
                  <a:ea typeface="Inter" panose="020B0502030000000004" pitchFamily="34" charset="0"/>
                  <a:cs typeface="Calibri" panose="020F0502020204030204" pitchFamily="34" charset="0"/>
                </a:rPr>
                <a:t>Card+PIX TPV for a given period divided by the number of active clients as of the last day of the period. </a:t>
              </a:r>
            </a:p>
            <a:p>
              <a:pPr algn="just"/>
              <a:endParaRPr lang="en-US" sz="900" b="1">
                <a:latin typeface="Calibri" panose="020F05020202040302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xdr:txBody>
        </xdr:sp>
      </mc:Choice>
      <mc:Fallback xmlns="">
        <xdr:sp macro="" textlink="">
          <xdr:nvSpPr>
            <xdr:cNvPr id="12" name="Retângulo 4">
              <a:extLst>
                <a:ext uri="{FF2B5EF4-FFF2-40B4-BE49-F238E27FC236}">
                  <a16:creationId xmlns:a16="http://schemas.microsoft.com/office/drawing/2014/main" id="{F9DADA9B-998C-8ADD-51C9-5BE87BE52B55}"/>
                </a:ext>
              </a:extLst>
            </xdr:cNvPr>
            <xdr:cNvSpPr/>
          </xdr:nvSpPr>
          <xdr:spPr>
            <a:xfrm>
              <a:off x="188149" y="781538"/>
              <a:ext cx="5587052" cy="4949744"/>
            </a:xfrm>
            <a:prstGeom prst="rect">
              <a:avLst/>
            </a:prstGeom>
          </xdr:spPr>
          <xdr:txBody>
            <a:bodyPr wrap="square">
              <a:no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Activation Rate:</a:t>
              </a:r>
            </a:p>
            <a:p>
              <a:endParaRPr lang="en-US" sz="900" b="1">
                <a:latin typeface="Calibri" panose="020F0502020204030204" pitchFamily="34" charset="0"/>
                <a:cs typeface="Calibri" panose="020F0502020204030204" pitchFamily="34" charset="0"/>
              </a:endParaRPr>
            </a:p>
            <a:p>
              <a:pPr/>
              <a:r>
                <a:rPr lang="en-US" sz="900" i="0">
                  <a:solidFill>
                    <a:schemeClr val="tx1"/>
                  </a:solidFill>
                  <a:latin typeface="Cambria Math" panose="02040503050406030204" pitchFamily="18" charset="0"/>
                  <a:cs typeface="Sora" pitchFamily="2" charset="0"/>
                </a:rPr>
                <a:t>(</a:t>
              </a:r>
              <a:r>
                <a:rPr lang="pt-BR" sz="900" i="0">
                  <a:latin typeface="Cambria Math" panose="02040503050406030204" pitchFamily="18" charset="0"/>
                  <a:cs typeface="Sora" pitchFamily="2" charset="0"/>
                </a:rPr>
                <a:t>Number of active clients </a:t>
              </a:r>
              <a:r>
                <a:rPr lang="pt-BR" sz="900" b="0" i="0">
                  <a:latin typeface="Cambria Math" panose="02040503050406030204" pitchFamily="18" charset="0"/>
                  <a:cs typeface="Sora" pitchFamily="2" charset="0"/>
                </a:rPr>
                <a:t>at</a:t>
              </a:r>
              <a:r>
                <a:rPr lang="pt-BR" sz="900" i="0">
                  <a:latin typeface="Cambria Math" panose="02040503050406030204" pitchFamily="18" charset="0"/>
                  <a:cs typeface="Sora" pitchFamily="2" charset="0"/>
                </a:rPr>
                <a:t> the</a:t>
              </a:r>
              <a:r>
                <a:rPr lang="pt-BR" sz="900" b="0" i="0">
                  <a:latin typeface="Cambria Math" panose="02040503050406030204" pitchFamily="18" charset="0"/>
                  <a:cs typeface="Sora" pitchFamily="2" charset="0"/>
                </a:rPr>
                <a:t> end of the</a:t>
              </a:r>
              <a:r>
                <a:rPr lang="pt-BR" sz="900" i="0">
                  <a:latin typeface="Cambria Math" panose="02040503050406030204" pitchFamily="18" charset="0"/>
                  <a:cs typeface="Sora" pitchFamily="2" charset="0"/>
                </a:rPr>
                <a:t> quarter</a:t>
              </a:r>
              <a:r>
                <a:rPr lang="en-US" sz="900" i="0">
                  <a:solidFill>
                    <a:schemeClr val="tx1"/>
                  </a:solidFill>
                  <a:latin typeface="Cambria Math" panose="02040503050406030204" pitchFamily="18" charset="0"/>
                  <a:cs typeface="Sora" pitchFamily="2" charset="0"/>
                </a:rPr>
                <a:t>)/(</a:t>
              </a:r>
              <a:r>
                <a:rPr lang="pt-BR" sz="900" i="0">
                  <a:latin typeface="Cambria Math" panose="02040503050406030204" pitchFamily="18" charset="0"/>
                  <a:cs typeface="Sora" pitchFamily="2" charset="0"/>
                </a:rPr>
                <a:t>Total number of clients at the end of the quarter</a:t>
              </a:r>
              <a:r>
                <a:rPr lang="en-US" sz="900" i="0">
                  <a:solidFill>
                    <a:schemeClr val="tx1"/>
                  </a:solidFill>
                  <a:latin typeface="Cambria Math" panose="02040503050406030204" pitchFamily="18" charset="0"/>
                  <a:cs typeface="Sora" pitchFamily="2" charset="0"/>
                </a:rPr>
                <a:t>)</a:t>
              </a:r>
              <a:r>
                <a:rPr lang="pt-BR" sz="900" i="0">
                  <a:solidFill>
                    <a:schemeClr val="tx1"/>
                  </a:solidFill>
                  <a:latin typeface="Cambria Math" panose="02040503050406030204" pitchFamily="18" charset="0"/>
                  <a:cs typeface="Sora" pitchFamily="2" charset="0"/>
                </a:rPr>
                <a:t> </a:t>
              </a:r>
              <a:r>
                <a:rPr lang="pt-BR" sz="900" i="0">
                  <a:latin typeface="Cambria Math" panose="02040503050406030204" pitchFamily="18" charset="0"/>
                  <a:cs typeface="Sora" pitchFamily="2" charset="0"/>
                </a:rPr>
                <a:t> </a:t>
              </a:r>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Active clients:</a:t>
              </a:r>
            </a:p>
            <a:p>
              <a:pPr algn="just"/>
              <a:r>
                <a:rPr lang="en-US" sz="900">
                  <a:latin typeface="Calibri" panose="020F0502020204030204" pitchFamily="34" charset="0"/>
                  <a:ea typeface="Inter" panose="020B0502030000000004" pitchFamily="34" charset="0"/>
                  <a:cs typeface="Calibri" panose="020F0502020204030204" pitchFamily="34" charset="0"/>
                </a:rPr>
                <a:t>We define an active client  as a customer at any given date that was the source of any amount of revenue for us in the preceding three months, or/and a customer that used products in the preceding three months. For Inter insurance, we calculate the number of active clients for our insurance brokerage vertical as the number of beneficiaries of insurance policies effective as of a particular date. For Inter Invest, we calculate the number of active clients as the number of individual accounts that have invested on our platform over the applicable period. </a:t>
              </a:r>
            </a:p>
            <a:p>
              <a:pPr algn="just"/>
              <a:endParaRPr lang="en-US" sz="900">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latin typeface="Calibri" panose="020F0502020204030204" pitchFamily="34" charset="0"/>
                <a:ea typeface="Inter Light BETA" panose="020B04020300000000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Active clients per employee:</a:t>
              </a:r>
            </a:p>
            <a:p>
              <a:endParaRPr lang="en-US" sz="900" b="1">
                <a:latin typeface="Calibri" panose="020F0502020204030204" pitchFamily="34" charset="0"/>
                <a:cs typeface="Calibri" panose="020F0502020204030204" pitchFamily="34" charset="0"/>
              </a:endParaRPr>
            </a:p>
            <a:p>
              <a:pPr/>
              <a:r>
                <a:rPr lang="en-US" sz="900" i="0">
                  <a:solidFill>
                    <a:schemeClr val="tx1"/>
                  </a:solidFill>
                  <a:latin typeface="Cambria Math" panose="02040503050406030204" pitchFamily="18" charset="0"/>
                  <a:cs typeface="Sora" pitchFamily="2" charset="0"/>
                </a:rPr>
                <a:t>(</a:t>
              </a:r>
              <a:r>
                <a:rPr lang="pt-BR" sz="900" i="0">
                  <a:latin typeface="Cambria Math" panose="02040503050406030204" pitchFamily="18" charset="0"/>
                  <a:cs typeface="Sora" pitchFamily="2" charset="0"/>
                </a:rPr>
                <a:t>Number of active clients </a:t>
              </a:r>
              <a:r>
                <a:rPr lang="pt-BR" sz="900" b="0" i="0">
                  <a:latin typeface="Cambria Math" panose="02040503050406030204" pitchFamily="18" charset="0"/>
                  <a:cs typeface="Sora" pitchFamily="2" charset="0"/>
                </a:rPr>
                <a:t>at</a:t>
              </a:r>
              <a:r>
                <a:rPr lang="pt-BR" sz="900" i="0">
                  <a:latin typeface="Cambria Math" panose="02040503050406030204" pitchFamily="18" charset="0"/>
                  <a:cs typeface="Sora" pitchFamily="2" charset="0"/>
                </a:rPr>
                <a:t> the</a:t>
              </a:r>
              <a:r>
                <a:rPr lang="pt-BR" sz="900" b="0" i="0">
                  <a:latin typeface="Cambria Math" panose="02040503050406030204" pitchFamily="18" charset="0"/>
                  <a:cs typeface="Sora" pitchFamily="2" charset="0"/>
                </a:rPr>
                <a:t> end of the  </a:t>
              </a:r>
              <a:r>
                <a:rPr lang="pt-BR" sz="900" i="0">
                  <a:latin typeface="Cambria Math" panose="02040503050406030204" pitchFamily="18" charset="0"/>
                  <a:cs typeface="Sora" pitchFamily="2" charset="0"/>
                </a:rPr>
                <a:t>quarter</a:t>
              </a:r>
              <a:r>
                <a:rPr lang="en-US" sz="900" i="0">
                  <a:solidFill>
                    <a:schemeClr val="tx1"/>
                  </a:solidFill>
                  <a:latin typeface="Cambria Math" panose="02040503050406030204" pitchFamily="18" charset="0"/>
                  <a:cs typeface="Sora" pitchFamily="2" charset="0"/>
                </a:rPr>
                <a:t>)/(</a:t>
              </a:r>
              <a:r>
                <a:rPr lang="pt-BR" sz="900" i="0">
                  <a:latin typeface="Cambria Math" panose="02040503050406030204" pitchFamily="18" charset="0"/>
                  <a:cs typeface="Sora" pitchFamily="2" charset="0"/>
                </a:rPr>
                <a:t>Total number of employees at the end of the quarter, including interns</a:t>
              </a:r>
              <a:r>
                <a:rPr lang="en-US" sz="900" i="0">
                  <a:solidFill>
                    <a:schemeClr val="tx1"/>
                  </a:solidFill>
                  <a:latin typeface="Cambria Math" panose="02040503050406030204" pitchFamily="18" charset="0"/>
                  <a:cs typeface="Sora" pitchFamily="2" charset="0"/>
                </a:rPr>
                <a:t>)</a:t>
              </a:r>
              <a:endParaRPr lang="en-US" sz="900">
                <a:latin typeface="Calibri" panose="020F0502020204030204" pitchFamily="34" charset="0"/>
                <a:ea typeface="Inter Light BETA" panose="020B04020300000000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Card+PIX TPV:</a:t>
              </a:r>
            </a:p>
            <a:p>
              <a:pPr algn="just"/>
              <a:r>
                <a:rPr lang="en-US" sz="900">
                  <a:latin typeface="Calibri" panose="020F0502020204030204" pitchFamily="34" charset="0"/>
                  <a:ea typeface="Inter" panose="020B0502030000000004" pitchFamily="34" charset="0"/>
                  <a:cs typeface="Calibri" panose="020F0502020204030204" pitchFamily="34" charset="0"/>
                </a:rPr>
                <a:t>PIX, debit and credit cards and withdrawal transacted volumes of a given period. PIX is a Central Bank of Brazil solution to bring instant payments among banks and financial institutions in Brazil. </a:t>
              </a: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Card+PIX TPV per active client:</a:t>
              </a:r>
            </a:p>
            <a:p>
              <a:pPr algn="just"/>
              <a:r>
                <a:rPr lang="en-US" sz="900">
                  <a:latin typeface="Calibri" panose="020F0502020204030204" pitchFamily="34" charset="0"/>
                  <a:ea typeface="Inter" panose="020B0502030000000004" pitchFamily="34" charset="0"/>
                  <a:cs typeface="Calibri" panose="020F0502020204030204" pitchFamily="34" charset="0"/>
                </a:rPr>
                <a:t>Card+PIX TPV for a given period divided by the number of active clients as of the last day of the period. </a:t>
              </a:r>
            </a:p>
            <a:p>
              <a:pPr algn="just"/>
              <a:endParaRPr lang="en-US" sz="900" b="1">
                <a:latin typeface="Calibri" panose="020F05020202040302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xdr:txBody>
        </xdr:sp>
      </mc:Fallback>
    </mc:AlternateContent>
    <xdr:clientData/>
  </xdr:twoCellAnchor>
  <xdr:twoCellAnchor>
    <xdr:from>
      <xdr:col>0</xdr:col>
      <xdr:colOff>182608</xdr:colOff>
      <xdr:row>29</xdr:row>
      <xdr:rowOff>63922</xdr:rowOff>
    </xdr:from>
    <xdr:to>
      <xdr:col>6</xdr:col>
      <xdr:colOff>755210</xdr:colOff>
      <xdr:row>49</xdr:row>
      <xdr:rowOff>99933</xdr:rowOff>
    </xdr:to>
    <mc:AlternateContent xmlns:mc="http://schemas.openxmlformats.org/markup-compatibility/2006" xmlns:a14="http://schemas.microsoft.com/office/drawing/2010/main">
      <mc:Choice Requires="a14">
        <xdr:sp macro="" textlink="">
          <xdr:nvSpPr>
            <xdr:cNvPr id="15" name="Retângulo 4">
              <a:extLst>
                <a:ext uri="{FF2B5EF4-FFF2-40B4-BE49-F238E27FC236}">
                  <a16:creationId xmlns:a16="http://schemas.microsoft.com/office/drawing/2014/main" id="{00000000-0008-0000-1600-00000F000000}"/>
                </a:ext>
              </a:extLst>
            </xdr:cNvPr>
            <xdr:cNvSpPr/>
          </xdr:nvSpPr>
          <xdr:spPr>
            <a:xfrm>
              <a:off x="182608" y="5401603"/>
              <a:ext cx="5542167" cy="3717171"/>
            </a:xfrm>
            <a:prstGeom prst="rect">
              <a:avLst/>
            </a:prstGeom>
          </xdr:spPr>
          <xdr:txBody>
            <a:bodyPr wrap="square">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Client acquisition cost (CAC):</a:t>
              </a:r>
            </a:p>
            <a:p>
              <a:pPr algn="just"/>
              <a:r>
                <a:rPr lang="en-US" sz="900">
                  <a:latin typeface="Calibri" panose="020F0502020204030204" pitchFamily="34" charset="0"/>
                  <a:ea typeface="Inter" panose="020B0502030000000004" pitchFamily="34" charset="0"/>
                  <a:cs typeface="Calibri" panose="020F0502020204030204" pitchFamily="34" charset="0"/>
                </a:rPr>
                <a:t>The average cost to add a client to the platform, considering operating expenses for opening an account, such as onboarding personnel, embossing and sending cards and digital marketing expenses with a focus on client acquisition, divided by the number of accounts opened in the quarter. </a:t>
              </a: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merchandise volume (GMV):</a:t>
              </a:r>
            </a:p>
            <a:p>
              <a:pPr algn="just"/>
              <a:r>
                <a:rPr lang="en-US" sz="900">
                  <a:latin typeface="Calibri" panose="020F0502020204030204" pitchFamily="34" charset="0"/>
                  <a:ea typeface="Inter" panose="020B0502030000000004" pitchFamily="34" charset="0"/>
                  <a:cs typeface="Calibri" panose="020F0502020204030204" pitchFamily="34" charset="0"/>
                </a:rPr>
                <a:t>Gross merchandise value, or GMV, for a given period as the total value of all sales made or initiated through our Inter Shop &amp; Commerce Plus platform managed by Inter Shop &amp; Commerce Plus.</a:t>
              </a: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take rate:</a:t>
              </a:r>
            </a:p>
            <a:p>
              <a:endParaRPr lang="en-US" sz="9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rPr>
                        </m:ctrlPr>
                      </m:fPr>
                      <m:num>
                        <m:r>
                          <m:rPr>
                            <m:sty m:val="p"/>
                          </m:rPr>
                          <a:rPr lang="pt-BR" sz="900">
                            <a:latin typeface="Cambria Math" panose="02040503050406030204" pitchFamily="18" charset="0"/>
                          </a:rPr>
                          <m:t>Inter</m:t>
                        </m:r>
                        <m:r>
                          <a:rPr lang="pt-BR" sz="900">
                            <a:latin typeface="Cambria Math" panose="02040503050406030204" pitchFamily="18" charset="0"/>
                          </a:rPr>
                          <m:t> </m:t>
                        </m:r>
                        <m:r>
                          <m:rPr>
                            <m:sty m:val="p"/>
                          </m:rPr>
                          <a:rPr lang="pt-BR" sz="900">
                            <a:latin typeface="Cambria Math" panose="02040503050406030204" pitchFamily="18" charset="0"/>
                          </a:rPr>
                          <m:t>Shop</m:t>
                        </m:r>
                        <m:r>
                          <a:rPr lang="pt-BR" sz="900">
                            <a:latin typeface="Cambria Math" panose="02040503050406030204" pitchFamily="18" charset="0"/>
                          </a:rPr>
                          <m:t> </m:t>
                        </m:r>
                        <m:r>
                          <m:rPr>
                            <m:sty m:val="p"/>
                          </m:rPr>
                          <a:rPr lang="pt-BR" sz="900">
                            <a:latin typeface="Cambria Math" panose="02040503050406030204" pitchFamily="18" charset="0"/>
                          </a:rPr>
                          <m:t>gross</m:t>
                        </m:r>
                        <m:r>
                          <a:rPr lang="pt-BR" sz="900">
                            <a:latin typeface="Cambria Math" panose="02040503050406030204" pitchFamily="18" charset="0"/>
                          </a:rPr>
                          <m:t> </m:t>
                        </m:r>
                        <m:r>
                          <m:rPr>
                            <m:sty m:val="p"/>
                          </m:rPr>
                          <a:rPr lang="pt-BR" sz="900" i="1">
                            <a:latin typeface="Cambria Math" panose="02040503050406030204" pitchFamily="18" charset="0"/>
                          </a:rPr>
                          <m:t>revenue</m:t>
                        </m:r>
                      </m:num>
                      <m:den>
                        <m:r>
                          <m:rPr>
                            <m:sty m:val="p"/>
                          </m:rPr>
                          <a:rPr lang="pt-BR" sz="900">
                            <a:latin typeface="Cambria Math" panose="02040503050406030204" pitchFamily="18" charset="0"/>
                          </a:rPr>
                          <m:t>GMV</m:t>
                        </m:r>
                      </m:den>
                    </m:f>
                  </m:oMath>
                </m:oMathPara>
              </a14:m>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Net take rate:</a:t>
              </a:r>
            </a:p>
            <a:p>
              <a:endParaRPr lang="en-US" sz="9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rPr>
                        </m:ctrlPr>
                      </m:fPr>
                      <m:num>
                        <m:r>
                          <m:rPr>
                            <m:sty m:val="p"/>
                          </m:rPr>
                          <a:rPr lang="pt-BR" sz="900">
                            <a:latin typeface="Cambria Math" panose="02040503050406030204" pitchFamily="18" charset="0"/>
                          </a:rPr>
                          <m:t>Inter</m:t>
                        </m:r>
                        <m:r>
                          <a:rPr lang="pt-BR" sz="900">
                            <a:latin typeface="Cambria Math" panose="02040503050406030204" pitchFamily="18" charset="0"/>
                          </a:rPr>
                          <m:t> </m:t>
                        </m:r>
                        <m:r>
                          <m:rPr>
                            <m:sty m:val="p"/>
                          </m:rPr>
                          <a:rPr lang="pt-BR" sz="900">
                            <a:latin typeface="Cambria Math" panose="02040503050406030204" pitchFamily="18" charset="0"/>
                          </a:rPr>
                          <m:t>Shop</m:t>
                        </m:r>
                        <m:r>
                          <a:rPr lang="pt-BR" sz="900">
                            <a:latin typeface="Cambria Math" panose="02040503050406030204" pitchFamily="18" charset="0"/>
                          </a:rPr>
                          <m:t> </m:t>
                        </m:r>
                        <m:r>
                          <m:rPr>
                            <m:sty m:val="p"/>
                          </m:rPr>
                          <a:rPr lang="pt-BR" sz="900">
                            <a:latin typeface="Cambria Math" panose="02040503050406030204" pitchFamily="18" charset="0"/>
                          </a:rPr>
                          <m:t>net</m:t>
                        </m:r>
                        <m:r>
                          <a:rPr lang="pt-BR" sz="900">
                            <a:latin typeface="Cambria Math" panose="02040503050406030204" pitchFamily="18" charset="0"/>
                          </a:rPr>
                          <m:t> </m:t>
                        </m:r>
                        <m:r>
                          <m:rPr>
                            <m:sty m:val="p"/>
                          </m:rPr>
                          <a:rPr lang="pt-BR" sz="900" i="1">
                            <a:latin typeface="Cambria Math" panose="02040503050406030204" pitchFamily="18" charset="0"/>
                          </a:rPr>
                          <m:t>revenue</m:t>
                        </m:r>
                      </m:num>
                      <m:den>
                        <m:r>
                          <m:rPr>
                            <m:sty m:val="p"/>
                          </m:rPr>
                          <a:rPr lang="pt-BR" sz="900">
                            <a:latin typeface="Cambria Math" panose="02040503050406030204" pitchFamily="18" charset="0"/>
                          </a:rPr>
                          <m:t>GMV</m:t>
                        </m:r>
                      </m:den>
                    </m:f>
                  </m:oMath>
                </m:oMathPara>
              </a14:m>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xdr:txBody>
        </xdr:sp>
      </mc:Choice>
      <mc:Fallback xmlns="">
        <xdr:sp macro="" textlink="">
          <xdr:nvSpPr>
            <xdr:cNvPr id="15" name="Retângulo 4">
              <a:extLst>
                <a:ext uri="{FF2B5EF4-FFF2-40B4-BE49-F238E27FC236}">
                  <a16:creationId xmlns:a16="http://schemas.microsoft.com/office/drawing/2014/main" id="{6F5FBE76-732D-2025-5606-83466F1666EC}"/>
                </a:ext>
              </a:extLst>
            </xdr:cNvPr>
            <xdr:cNvSpPr/>
          </xdr:nvSpPr>
          <xdr:spPr>
            <a:xfrm>
              <a:off x="182608" y="5401603"/>
              <a:ext cx="5542167" cy="3717171"/>
            </a:xfrm>
            <a:prstGeom prst="rect">
              <a:avLst/>
            </a:prstGeom>
          </xdr:spPr>
          <xdr:txBody>
            <a:bodyPr wrap="square">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Client acquisition cost (CAC):</a:t>
              </a:r>
            </a:p>
            <a:p>
              <a:pPr algn="just"/>
              <a:r>
                <a:rPr lang="en-US" sz="900">
                  <a:latin typeface="Calibri" panose="020F0502020204030204" pitchFamily="34" charset="0"/>
                  <a:ea typeface="Inter" panose="020B0502030000000004" pitchFamily="34" charset="0"/>
                  <a:cs typeface="Calibri" panose="020F0502020204030204" pitchFamily="34" charset="0"/>
                </a:rPr>
                <a:t>The average cost to add a client to the platform, considering operating expenses for opening an account, such as onboarding personnel, embossing and sending cards and digital marketing expenses with a focus on client acquisition, divided by the number of accounts opened in the quarter. </a:t>
              </a: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merchandise volume (GMV):</a:t>
              </a:r>
            </a:p>
            <a:p>
              <a:pPr algn="just"/>
              <a:r>
                <a:rPr lang="en-US" sz="900">
                  <a:latin typeface="Calibri" panose="020F0502020204030204" pitchFamily="34" charset="0"/>
                  <a:ea typeface="Inter" panose="020B0502030000000004" pitchFamily="34" charset="0"/>
                  <a:cs typeface="Calibri" panose="020F0502020204030204" pitchFamily="34" charset="0"/>
                </a:rPr>
                <a:t>Gross merchandise value, or GMV, for a given period as the total value of all sales made or initiated through our Inter Shop &amp; Commerce Plus platform managed by Inter Shop &amp; Commerce Plus.</a:t>
              </a:r>
            </a:p>
            <a:p>
              <a:pPr algn="just"/>
              <a:endParaRPr lang="en-US" sz="9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take rate:</a:t>
              </a:r>
            </a:p>
            <a:p>
              <a:endParaRPr lang="en-US" sz="900" b="1">
                <a:latin typeface="Calibri" panose="020F0502020204030204" pitchFamily="34" charset="0"/>
                <a:cs typeface="Calibri" panose="020F0502020204030204" pitchFamily="34" charset="0"/>
              </a:endParaRPr>
            </a:p>
            <a:p>
              <a:pPr/>
              <a:r>
                <a:rPr lang="pt-BR" sz="900" i="0">
                  <a:latin typeface="Cambria Math" panose="02040503050406030204" pitchFamily="18" charset="0"/>
                </a:rPr>
                <a:t>(Inter Shop gross revenue)/GMV</a:t>
              </a:r>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Net take rate:</a:t>
              </a:r>
            </a:p>
            <a:p>
              <a:endParaRPr lang="en-US" sz="900" b="1">
                <a:latin typeface="Calibri" panose="020F0502020204030204" pitchFamily="34" charset="0"/>
                <a:cs typeface="Calibri" panose="020F0502020204030204" pitchFamily="34" charset="0"/>
              </a:endParaRPr>
            </a:p>
            <a:p>
              <a:pPr/>
              <a:r>
                <a:rPr lang="pt-BR" sz="900" i="0">
                  <a:latin typeface="Cambria Math" panose="02040503050406030204" pitchFamily="18" charset="0"/>
                </a:rPr>
                <a:t>(Inter Shop net revenue)/GMV</a:t>
              </a:r>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xdr:txBody>
        </xdr:sp>
      </mc:Fallback>
    </mc:AlternateContent>
    <xdr:clientData/>
  </xdr:twoCellAnchor>
  <xdr:twoCellAnchor>
    <xdr:from>
      <xdr:col>0</xdr:col>
      <xdr:colOff>177800</xdr:colOff>
      <xdr:row>53</xdr:row>
      <xdr:rowOff>0</xdr:rowOff>
    </xdr:from>
    <xdr:to>
      <xdr:col>7</xdr:col>
      <xdr:colOff>144745</xdr:colOff>
      <xdr:row>85</xdr:row>
      <xdr:rowOff>1180</xdr:rowOff>
    </xdr:to>
    <mc:AlternateContent xmlns:mc="http://schemas.openxmlformats.org/markup-compatibility/2006" xmlns:a14="http://schemas.microsoft.com/office/drawing/2010/main">
      <mc:Choice Requires="a14">
        <xdr:sp macro="" textlink="">
          <xdr:nvSpPr>
            <xdr:cNvPr id="21" name="Retângulo 9">
              <a:extLst>
                <a:ext uri="{FF2B5EF4-FFF2-40B4-BE49-F238E27FC236}">
                  <a16:creationId xmlns:a16="http://schemas.microsoft.com/office/drawing/2014/main" id="{00000000-0008-0000-1600-000015000000}"/>
                </a:ext>
              </a:extLst>
            </xdr:cNvPr>
            <xdr:cNvSpPr/>
          </xdr:nvSpPr>
          <xdr:spPr>
            <a:xfrm>
              <a:off x="177800" y="9755072"/>
              <a:ext cx="5764771" cy="5891036"/>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Administrative efficiency ratio:</a:t>
              </a:r>
            </a:p>
            <a:p>
              <a:pPr algn="ctr"/>
              <a:endParaRPr lang="en-US" sz="500">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ea typeface="Cambria Math" panose="02040503050406030204" pitchFamily="18" charset="0"/>
                          </a:rPr>
                        </m:ctrlPr>
                      </m:fPr>
                      <m:num>
                        <m:r>
                          <m:rPr>
                            <m:sty m:val="p"/>
                          </m:rPr>
                          <a:rPr lang="pt-BR" sz="800">
                            <a:latin typeface="Cambria Math" panose="02040503050406030204" pitchFamily="18" charset="0"/>
                            <a:ea typeface="Cambria Math" panose="02040503050406030204" pitchFamily="18" charset="0"/>
                          </a:rPr>
                          <m:t>Administrative</m:t>
                        </m:r>
                        <m:r>
                          <a:rPr lang="pt-BR" sz="800">
                            <a:latin typeface="Cambria Math" panose="02040503050406030204" pitchFamily="18" charset="0"/>
                            <a:ea typeface="Cambria Math" panose="02040503050406030204" pitchFamily="18" charset="0"/>
                          </a:rPr>
                          <m:t> </m:t>
                        </m:r>
                        <m:r>
                          <m:rPr>
                            <m:sty m:val="p"/>
                          </m:rPr>
                          <a:rPr lang="pt-BR" sz="800">
                            <a:latin typeface="Cambria Math" panose="02040503050406030204" pitchFamily="18" charset="0"/>
                            <a:ea typeface="Cambria Math" panose="02040503050406030204" pitchFamily="18" charset="0"/>
                          </a:rPr>
                          <m:t>expenses</m:t>
                        </m:r>
                        <m:r>
                          <a:rPr lang="pt-BR" sz="800">
                            <a:latin typeface="Cambria Math" panose="02040503050406030204" pitchFamily="18" charset="0"/>
                            <a:ea typeface="Cambria Math" panose="02040503050406030204" pitchFamily="18" charset="0"/>
                          </a:rPr>
                          <m:t>+</m:t>
                        </m:r>
                        <m:r>
                          <m:rPr>
                            <m:sty m:val="p"/>
                          </m:rPr>
                          <a:rPr lang="pt-BR" sz="800">
                            <a:latin typeface="Cambria Math" panose="02040503050406030204" pitchFamily="18" charset="0"/>
                            <a:ea typeface="Cambria Math" panose="02040503050406030204" pitchFamily="18" charset="0"/>
                          </a:rPr>
                          <m:t>Depreciation</m:t>
                        </m:r>
                        <m:r>
                          <a:rPr lang="pt-BR" sz="800">
                            <a:latin typeface="Cambria Math" panose="02040503050406030204" pitchFamily="18" charset="0"/>
                            <a:ea typeface="Cambria Math" panose="02040503050406030204" pitchFamily="18" charset="0"/>
                          </a:rPr>
                          <m:t> </m:t>
                        </m:r>
                        <m:r>
                          <m:rPr>
                            <m:sty m:val="p"/>
                          </m:rPr>
                          <a:rPr lang="pt-BR" sz="800">
                            <a:latin typeface="Cambria Math" panose="02040503050406030204" pitchFamily="18" charset="0"/>
                            <a:ea typeface="Cambria Math" panose="02040503050406030204" pitchFamily="18" charset="0"/>
                          </a:rPr>
                          <m:t>and</m:t>
                        </m:r>
                        <m:r>
                          <a:rPr lang="pt-BR" sz="800">
                            <a:latin typeface="Cambria Math" panose="02040503050406030204" pitchFamily="18" charset="0"/>
                            <a:ea typeface="Cambria Math" panose="02040503050406030204" pitchFamily="18" charset="0"/>
                          </a:rPr>
                          <m:t> </m:t>
                        </m:r>
                        <m:r>
                          <m:rPr>
                            <m:sty m:val="p"/>
                          </m:rPr>
                          <a:rPr lang="pt-BR" sz="800">
                            <a:latin typeface="Cambria Math" panose="02040503050406030204" pitchFamily="18" charset="0"/>
                            <a:ea typeface="Cambria Math" panose="02040503050406030204" pitchFamily="18" charset="0"/>
                          </a:rPr>
                          <m:t>amortization</m:t>
                        </m:r>
                      </m:num>
                      <m:den>
                        <m:r>
                          <m:rPr>
                            <m:sty m:val="p"/>
                          </m:rPr>
                          <a:rPr lang="en-US" sz="800" b="0" i="0">
                            <a:latin typeface="Cambria Math" panose="02040503050406030204" pitchFamily="18" charset="0"/>
                            <a:ea typeface="Cambria Math" panose="02040503050406030204" pitchFamily="18" charset="0"/>
                          </a:rPr>
                          <m:t>Net</m:t>
                        </m:r>
                        <m:r>
                          <a:rPr lang="en-US" sz="800" b="0" i="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Interest</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Income</m:t>
                        </m:r>
                        <m:r>
                          <a:rPr lang="en-US" sz="800">
                            <a:latin typeface="Cambria Math" panose="02040503050406030204" pitchFamily="18" charset="0"/>
                            <a:ea typeface="Cambria Math" panose="02040503050406030204" pitchFamily="18" charset="0"/>
                          </a:rPr>
                          <m:t>+</m:t>
                        </m:r>
                        <m:r>
                          <m:rPr>
                            <m:sty m:val="p"/>
                          </m:rPr>
                          <a:rPr lang="en-US" sz="800">
                            <a:latin typeface="Cambria Math" panose="02040503050406030204" pitchFamily="18" charset="0"/>
                            <a:ea typeface="Cambria Math" panose="02040503050406030204" pitchFamily="18" charset="0"/>
                          </a:rPr>
                          <m:t>Net</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result</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from</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services</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and</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comissions</m:t>
                        </m:r>
                        <m:r>
                          <a:rPr lang="en-US" sz="800">
                            <a:latin typeface="Cambria Math" panose="02040503050406030204" pitchFamily="18" charset="0"/>
                            <a:ea typeface="Cambria Math" panose="02040503050406030204" pitchFamily="18" charset="0"/>
                          </a:rPr>
                          <m:t>+</m:t>
                        </m:r>
                        <m:r>
                          <m:rPr>
                            <m:sty m:val="p"/>
                          </m:rPr>
                          <a:rPr lang="en-US" sz="800">
                            <a:latin typeface="Cambria Math" panose="02040503050406030204" pitchFamily="18" charset="0"/>
                            <a:ea typeface="Cambria Math" panose="02040503050406030204" pitchFamily="18" charset="0"/>
                          </a:rPr>
                          <m:t>Other</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revenue</m:t>
                        </m:r>
                        <m:r>
                          <a:rPr lang="en-US" sz="800">
                            <a:latin typeface="Cambria Math" panose="02040503050406030204" pitchFamily="18" charset="0"/>
                            <a:ea typeface="Cambria Math" panose="02040503050406030204" pitchFamily="18" charset="0"/>
                          </a:rPr>
                          <m:t>−</m:t>
                        </m:r>
                        <m:r>
                          <m:rPr>
                            <m:sty m:val="p"/>
                          </m:rPr>
                          <a:rPr lang="en-US" sz="800">
                            <a:latin typeface="Cambria Math" panose="02040503050406030204" pitchFamily="18" charset="0"/>
                            <a:ea typeface="Cambria Math" panose="02040503050406030204" pitchFamily="18" charset="0"/>
                          </a:rPr>
                          <m:t>Tax</m:t>
                        </m:r>
                        <m:r>
                          <a:rPr lang="en-US" sz="800">
                            <a:latin typeface="Cambria Math" panose="02040503050406030204" pitchFamily="18" charset="0"/>
                            <a:ea typeface="Cambria Math" panose="02040503050406030204" pitchFamily="18" charset="0"/>
                          </a:rPr>
                          <m:t> </m:t>
                        </m:r>
                        <m:r>
                          <m:rPr>
                            <m:sty m:val="p"/>
                          </m:rPr>
                          <a:rPr lang="en-US" sz="800">
                            <a:latin typeface="Cambria Math" panose="02040503050406030204" pitchFamily="18" charset="0"/>
                            <a:ea typeface="Cambria Math" panose="02040503050406030204" pitchFamily="18" charset="0"/>
                          </a:rPr>
                          <m:t>expense</m:t>
                        </m:r>
                      </m:den>
                    </m:f>
                    <m:r>
                      <a:rPr lang="en-US" sz="800" i="1">
                        <a:latin typeface="Cambria Math" panose="02040503050406030204" pitchFamily="18" charset="0"/>
                        <a:ea typeface="Cambria Math" panose="02040503050406030204" pitchFamily="18" charset="0"/>
                      </a:rPr>
                      <m:t> </m:t>
                    </m:r>
                  </m:oMath>
                </m:oMathPara>
              </a14:m>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Annualized interest rates:</a:t>
              </a:r>
            </a:p>
            <a:p>
              <a:pPr algn="just"/>
              <a:r>
                <a:rPr lang="en-US" sz="900">
                  <a:latin typeface="Calibri" panose="020F0502020204030204" pitchFamily="34" charset="0"/>
                  <a:ea typeface="Inter" panose="020B0502030000000004" pitchFamily="34" charset="0"/>
                  <a:cs typeface="Calibri" panose="020F0502020204030204" pitchFamily="34" charset="0"/>
                </a:rPr>
                <a:t>Yearly rate calculated by multiplying the quarterly interest by four, over the average portfolio of the last two quarters. All-in loans rate considers Real Estate, Personnal +FGTS, SMBs, Credit Card, excluding non-interest earnings credit card receivables, and Anticipation of Credit Card Receivables.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Anticipation of credit card receivables:</a:t>
              </a:r>
            </a:p>
            <a:p>
              <a:pPr algn="just"/>
              <a:r>
                <a:rPr lang="en-US" sz="900">
                  <a:latin typeface="Calibri" panose="020F0502020204030204" pitchFamily="34" charset="0"/>
                  <a:ea typeface="Inter" panose="020B0502030000000004" pitchFamily="34" charset="0"/>
                  <a:cs typeface="Calibri" panose="020F0502020204030204" pitchFamily="34" charset="0"/>
                </a:rPr>
                <a:t>Disclosed in note 9.a of the Financial Statements, line " "Loans to financial institutions”.</a:t>
              </a:r>
            </a:p>
            <a:p>
              <a:pPr algn="just"/>
              <a:endParaRPr lang="en-US" sz="900">
                <a:latin typeface="Calibri" panose="020F0502020204030204" pitchFamily="34" charset="0"/>
                <a:ea typeface="Inter" panose="020B0502030000000004" pitchFamily="34" charset="0"/>
                <a:cs typeface="Calibri" panose="020F0502020204030204" pitchFamily="34" charset="0"/>
              </a:endParaRPr>
            </a:p>
            <a:p>
              <a:pPr algn="just"/>
              <a:r>
                <a:rPr lang="en-US" sz="900" b="1">
                  <a:latin typeface="Calibri" panose="020F0502020204030204" pitchFamily="34" charset="0"/>
                  <a:cs typeface="Calibri" panose="020F0502020204030204" pitchFamily="34" charset="0"/>
                </a:rPr>
                <a:t>ARPAC gross of interest expenses:</a:t>
              </a:r>
            </a:p>
            <a:p>
              <a:pPr algn="just"/>
              <a:endParaRPr lang="en-US" sz="900">
                <a:latin typeface="Calibri" panose="020F0502020204030204" pitchFamily="34" charset="0"/>
                <a:ea typeface="Inter" panose="020B05020300000000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solidFill>
                              <a:schemeClr val="tx1"/>
                            </a:solidFill>
                            <a:latin typeface="Cambria Math" panose="02040503050406030204" pitchFamily="18" charset="0"/>
                            <a:ea typeface="Cambria Math" panose="02040503050406030204" pitchFamily="18" charset="0"/>
                            <a:cs typeface="Sora" pitchFamily="2" charset="0"/>
                          </a:rPr>
                        </m:ctrlPr>
                      </m:fPr>
                      <m:num>
                        <m:eqArr>
                          <m:eqArrPr>
                            <m:ctrlPr>
                              <a:rPr lang="en-US" sz="800" b="0" i="1">
                                <a:solidFill>
                                  <a:schemeClr val="tx1"/>
                                </a:solidFill>
                                <a:latin typeface="Cambria Math" panose="02040503050406030204" pitchFamily="18" charset="0"/>
                                <a:ea typeface="Cambria Math" panose="02040503050406030204" pitchFamily="18" charset="0"/>
                                <a:cs typeface="Sora" pitchFamily="2" charset="0"/>
                              </a:rPr>
                            </m:ctrlPr>
                          </m:eqArrPr>
                          <m:e>
                            <m:r>
                              <a:rPr lang="en-US" sz="800" b="0" i="0">
                                <a:solidFill>
                                  <a:schemeClr val="tx1"/>
                                </a:solidFill>
                                <a:latin typeface="Cambria Math" panose="02040503050406030204" pitchFamily="18" charset="0"/>
                                <a:ea typeface="Cambria Math" panose="02040503050406030204" pitchFamily="18" charset="0"/>
                                <a:cs typeface="Sora" pitchFamily="2" charset="0"/>
                              </a:rPr>
                              <m:t>(</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Interest</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income</m:t>
                            </m:r>
                            <m:r>
                              <a:rPr lang="en-US" sz="800" b="0" i="0">
                                <a:solidFill>
                                  <a:schemeClr val="tx1"/>
                                </a:solidFill>
                                <a:latin typeface="Cambria Math" panose="02040503050406030204" pitchFamily="18" charset="0"/>
                                <a:ea typeface="Cambria Math" panose="02040503050406030204" pitchFamily="18" charset="0"/>
                                <a:cs typeface="Sora" pitchFamily="2" charset="0"/>
                              </a:rPr>
                              <m:t>+(</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Revenue</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from</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services</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and</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comissions</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Cashback</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Inter</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rewards</m:t>
                            </m:r>
                            <m:r>
                              <a:rPr lang="en-US" sz="800" b="0" i="0">
                                <a:solidFill>
                                  <a:schemeClr val="tx1"/>
                                </a:solidFill>
                                <a:latin typeface="Cambria Math" panose="02040503050406030204" pitchFamily="18" charset="0"/>
                                <a:ea typeface="Cambria Math" panose="02040503050406030204" pitchFamily="18" charset="0"/>
                                <a:cs typeface="Sora" pitchFamily="2" charset="0"/>
                              </a:rPr>
                              <m:t>)</m:t>
                            </m:r>
                          </m:e>
                          <m:e>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Income</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from</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securities</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and</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derivarives</m:t>
                            </m:r>
                            <m:r>
                              <a:rPr lang="en-US" sz="800" b="0" i="0">
                                <a:solidFill>
                                  <a:schemeClr val="tx1"/>
                                </a:solidFill>
                                <a:latin typeface="Cambria Math" panose="02040503050406030204" pitchFamily="18" charset="0"/>
                                <a:ea typeface="Cambria Math" panose="02040503050406030204" pitchFamily="18" charset="0"/>
                                <a:cs typeface="Sora" pitchFamily="2" charset="0"/>
                              </a:rPr>
                              <m:t>+</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Other</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revenue</m:t>
                            </m:r>
                            <m:r>
                              <a:rPr lang="en-US" sz="800" b="0" i="0">
                                <a:solidFill>
                                  <a:schemeClr val="tx1"/>
                                </a:solidFill>
                                <a:latin typeface="Cambria Math" panose="02040503050406030204" pitchFamily="18" charset="0"/>
                                <a:ea typeface="Cambria Math" panose="02040503050406030204" pitchFamily="18" charset="0"/>
                                <a:cs typeface="Sora" pitchFamily="2" charset="0"/>
                              </a:rPr>
                              <m:t>)÷3</m:t>
                            </m:r>
                          </m:e>
                        </m:eqArr>
                      </m:num>
                      <m:den>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Average</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of</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the</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last</m:t>
                        </m:r>
                        <m:r>
                          <a:rPr lang="en-US" sz="800" i="0">
                            <a:solidFill>
                              <a:schemeClr val="tx1"/>
                            </a:solidFill>
                            <a:latin typeface="Cambria Math" panose="02040503050406030204" pitchFamily="18" charset="0"/>
                            <a:ea typeface="Cambria Math" panose="02040503050406030204" pitchFamily="18" charset="0"/>
                            <a:cs typeface="Sora" pitchFamily="2" charset="0"/>
                          </a:rPr>
                          <m:t> 2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quarters</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Active</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Clients</m:t>
                        </m:r>
                      </m:den>
                    </m:f>
                  </m:oMath>
                </m:oMathPara>
              </a14:m>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ARPAC net of interest expenses:</a:t>
              </a:r>
            </a:p>
            <a:p>
              <a:pPr algn="ctr"/>
              <a:br>
                <a:rPr lang="en-US" sz="800" b="1">
                  <a:solidFill>
                    <a:schemeClr val="tx1"/>
                  </a:solidFill>
                  <a:latin typeface="Calibri" panose="020F0502020204030204" pitchFamily="34" charset="0"/>
                  <a:ea typeface="Cambria Math" panose="02040503050406030204" pitchFamily="18" charset="0"/>
                  <a:cs typeface="Calibri" panose="020F0502020204030204" pitchFamily="34" charset="0"/>
                </a:rPr>
              </a:br>
              <a14:m>
                <m:oMathPara xmlns:m="http://schemas.openxmlformats.org/officeDocument/2006/math">
                  <m:oMathParaPr>
                    <m:jc m:val="centerGroup"/>
                  </m:oMathParaPr>
                  <m:oMath xmlns:m="http://schemas.openxmlformats.org/officeDocument/2006/math">
                    <m:f>
                      <m:fPr>
                        <m:ctrlPr>
                          <a:rPr lang="en-US" sz="800" i="1">
                            <a:solidFill>
                              <a:schemeClr val="tx1"/>
                            </a:solidFill>
                            <a:latin typeface="Cambria Math" panose="02040503050406030204" pitchFamily="18" charset="0"/>
                            <a:ea typeface="Cambria Math" panose="02040503050406030204" pitchFamily="18" charset="0"/>
                            <a:cs typeface="Sora" pitchFamily="2" charset="0"/>
                          </a:rPr>
                        </m:ctrlPr>
                      </m:fPr>
                      <m:num>
                        <m:r>
                          <a:rPr lang="en-US" sz="800" i="0">
                            <a:solidFill>
                              <a:schemeClr val="tx1"/>
                            </a:solidFill>
                            <a:latin typeface="Cambria Math" panose="02040503050406030204" pitchFamily="18" charset="0"/>
                            <a:ea typeface="Cambria Math" panose="02040503050406030204" pitchFamily="18" charset="0"/>
                            <a:cs typeface="Sora" pitchFamily="2" charset="0"/>
                          </a:rPr>
                          <m:t>(</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Revenue</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Interest</m:t>
                        </m:r>
                        <m:r>
                          <a:rPr lang="en-US" sz="800" b="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b="0" i="0">
                            <a:solidFill>
                              <a:schemeClr val="tx1"/>
                            </a:solidFill>
                            <a:latin typeface="Cambria Math" panose="02040503050406030204" pitchFamily="18" charset="0"/>
                            <a:ea typeface="Cambria Math" panose="02040503050406030204" pitchFamily="18" charset="0"/>
                            <a:cs typeface="Sora" pitchFamily="2" charset="0"/>
                          </a:rPr>
                          <m:t>expenses</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a:rPr lang="en-US" sz="800" b="0" i="0">
                            <a:solidFill>
                              <a:schemeClr val="tx1"/>
                            </a:solidFill>
                            <a:latin typeface="Cambria Math" panose="02040503050406030204" pitchFamily="18" charset="0"/>
                            <a:ea typeface="Cambria Math" panose="02040503050406030204" pitchFamily="18" charset="0"/>
                            <a:cs typeface="Sora" pitchFamily="2" charset="0"/>
                          </a:rPr>
                          <m:t>3</m:t>
                        </m:r>
                      </m:num>
                      <m:den>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Average</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of</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the</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last</m:t>
                        </m:r>
                        <m:r>
                          <a:rPr lang="en-US" sz="800" i="0">
                            <a:solidFill>
                              <a:schemeClr val="tx1"/>
                            </a:solidFill>
                            <a:latin typeface="Cambria Math" panose="02040503050406030204" pitchFamily="18" charset="0"/>
                            <a:ea typeface="Cambria Math" panose="02040503050406030204" pitchFamily="18" charset="0"/>
                            <a:cs typeface="Sora" pitchFamily="2" charset="0"/>
                          </a:rPr>
                          <m:t> 2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quarters</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Active</m:t>
                        </m:r>
                        <m:r>
                          <a:rPr lang="en-US" sz="800" i="0">
                            <a:solidFill>
                              <a:schemeClr val="tx1"/>
                            </a:solidFill>
                            <a:latin typeface="Cambria Math" panose="02040503050406030204" pitchFamily="18" charset="0"/>
                            <a:ea typeface="Cambria Math" panose="02040503050406030204" pitchFamily="18" charset="0"/>
                            <a:cs typeface="Sora" pitchFamily="2" charset="0"/>
                          </a:rPr>
                          <m:t> </m:t>
                        </m:r>
                        <m:r>
                          <m:rPr>
                            <m:sty m:val="p"/>
                          </m:rPr>
                          <a:rPr lang="en-US" sz="800" i="0">
                            <a:solidFill>
                              <a:schemeClr val="tx1"/>
                            </a:solidFill>
                            <a:latin typeface="Cambria Math" panose="02040503050406030204" pitchFamily="18" charset="0"/>
                            <a:ea typeface="Cambria Math" panose="02040503050406030204" pitchFamily="18" charset="0"/>
                            <a:cs typeface="Sora" pitchFamily="2" charset="0"/>
                          </a:rPr>
                          <m:t>Clients</m:t>
                        </m:r>
                      </m:den>
                    </m:f>
                  </m:oMath>
                </m:oMathPara>
              </a14:m>
              <a:endParaRPr lang="en-US" sz="800" b="1">
                <a:solidFill>
                  <a:schemeClr val="tx1"/>
                </a:solidFill>
                <a:latin typeface="Calibri" panose="020F0502020204030204" pitchFamily="34" charset="0"/>
                <a:ea typeface="Cambria Math" panose="02040503050406030204" pitchFamily="18" charset="0"/>
                <a:cs typeface="Calibri" panose="020F0502020204030204" pitchFamily="34" charset="0"/>
              </a:endParaRPr>
            </a:p>
            <a:p>
              <a:pPr algn="ctr"/>
              <a:endParaRPr lang="en-US" sz="800">
                <a:solidFill>
                  <a:schemeClr val="tx1"/>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ARPAC per quarterly cohort:</a:t>
              </a:r>
            </a:p>
            <a:p>
              <a:pPr algn="just"/>
              <a:r>
                <a:rPr lang="en-US" sz="900">
                  <a:latin typeface="Calibri" panose="020F0502020204030204" pitchFamily="34" charset="0"/>
                  <a:ea typeface="Inter" panose="020B0502030000000004" pitchFamily="34" charset="0"/>
                  <a:cs typeface="Calibri" panose="020F0502020204030204" pitchFamily="34" charset="0"/>
                </a:rPr>
                <a:t>Total Gross revenue net of interest expenses in a given cohort divided by the average number of active clients in the current and previous periods1. Cohort is defined as the period in which the client started his relationship with Inter.</a:t>
              </a:r>
              <a:br>
                <a:rPr lang="en-US" sz="900">
                  <a:latin typeface="Calibri" panose="020F0502020204030204" pitchFamily="34" charset="0"/>
                  <a:ea typeface="Inter" panose="020B0502030000000004" pitchFamily="34" charset="0"/>
                  <a:cs typeface="Calibri" panose="020F0502020204030204" pitchFamily="34" charset="0"/>
                </a:rPr>
              </a:br>
              <a:endParaRPr lang="en-US" sz="900">
                <a:latin typeface="Calibri" panose="020F0502020204030204" pitchFamily="34" charset="0"/>
                <a:ea typeface="Inter" panose="020B0502030000000004" pitchFamily="34" charset="0"/>
                <a:cs typeface="Calibri" panose="020F0502020204030204" pitchFamily="34" charset="0"/>
              </a:endParaRPr>
            </a:p>
            <a:p>
              <a:r>
                <a:rPr lang="en-US" sz="900" baseline="30000">
                  <a:latin typeface="Calibri" panose="020F0502020204030204" pitchFamily="34" charset="0"/>
                  <a:ea typeface="Cambria Math" panose="02040503050406030204" pitchFamily="18" charset="0"/>
                  <a:cs typeface="Calibri" panose="020F0502020204030204" pitchFamily="34" charset="0"/>
                </a:rPr>
                <a:t>1 - Average number of active clients in the current and previous periods: For the first period, is used the total number of active clients in the end of the period.</a:t>
              </a:r>
            </a:p>
            <a:p>
              <a:endParaRPr lang="en-US" sz="800" baseline="30000">
                <a:latin typeface="Calibri" panose="020F0502020204030204" pitchFamily="34" charset="0"/>
                <a:ea typeface="Cambria Math" panose="02040503050406030204" pitchFamily="18" charset="0"/>
                <a:cs typeface="Calibri" panose="020F0502020204030204" pitchFamily="34" charset="0"/>
              </a:endParaRPr>
            </a:p>
            <a:p>
              <a:endParaRPr lang="en-US" sz="800" baseline="30000">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Assets under custody (AuC):</a:t>
              </a:r>
            </a:p>
            <a:p>
              <a:pPr algn="just"/>
              <a:r>
                <a:rPr lang="en-US" sz="900">
                  <a:latin typeface="Calibri" panose="020F0502020204030204" pitchFamily="34" charset="0"/>
                  <a:ea typeface="Inter" panose="020B0502030000000004" pitchFamily="34" charset="0"/>
                  <a:cs typeface="Calibri" panose="020F0502020204030204" pitchFamily="34" charset="0"/>
                </a:rPr>
                <a:t>We calculate assets under custody, or AUC, at a given date as the market value of all retail clients’ assets invested through our investment platform as of that same date. We believe that AUC, as it reflects the total volume of assets invested in our investment platform without accounting for our operational efficiency, provides us useful insight on the appeal of our platform. We use this metric to monitor the size of our investment platform.</a:t>
              </a:r>
            </a:p>
            <a:p>
              <a:endParaRPr lang="en-US" sz="800">
                <a:latin typeface="Calibri" panose="020F0502020204030204" pitchFamily="34" charset="0"/>
                <a:ea typeface="Cambria Math" panose="02040503050406030204" pitchFamily="18" charset="0"/>
                <a:cs typeface="Calibri" panose="020F0502020204030204" pitchFamily="34" charset="0"/>
              </a:endParaRPr>
            </a:p>
          </xdr:txBody>
        </xdr:sp>
      </mc:Choice>
      <mc:Fallback xmlns="">
        <xdr:sp macro="" textlink="">
          <xdr:nvSpPr>
            <xdr:cNvPr id="21" name="Retângulo 9">
              <a:extLst>
                <a:ext uri="{FF2B5EF4-FFF2-40B4-BE49-F238E27FC236}">
                  <a16:creationId xmlns:a16="http://schemas.microsoft.com/office/drawing/2014/main" id="{70BBBFDC-97EA-DB78-9935-3D590DAA2910}"/>
                </a:ext>
              </a:extLst>
            </xdr:cNvPr>
            <xdr:cNvSpPr/>
          </xdr:nvSpPr>
          <xdr:spPr>
            <a:xfrm>
              <a:off x="177800" y="9755072"/>
              <a:ext cx="5764771" cy="5891036"/>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Administrative efficiency ratio:</a:t>
              </a:r>
            </a:p>
            <a:p>
              <a:pPr algn="ctr"/>
              <a:endParaRPr lang="en-US" sz="500">
                <a:latin typeface="Calibri" panose="020F0502020204030204" pitchFamily="34" charset="0"/>
                <a:ea typeface="Cambria Math" panose="02040503050406030204" pitchFamily="18" charset="0"/>
                <a:cs typeface="Calibri" panose="020F0502020204030204" pitchFamily="34" charset="0"/>
              </a:endParaRPr>
            </a:p>
            <a:p>
              <a:pPr algn="ctr"/>
              <a:r>
                <a:rPr lang="en-US" sz="800" i="0">
                  <a:latin typeface="Cambria Math" panose="02040503050406030204" pitchFamily="18" charset="0"/>
                  <a:ea typeface="Cambria Math" panose="02040503050406030204" pitchFamily="18" charset="0"/>
                </a:rPr>
                <a:t>(</a:t>
              </a:r>
              <a:r>
                <a:rPr lang="pt-BR" sz="800" i="0">
                  <a:latin typeface="Cambria Math" panose="02040503050406030204" pitchFamily="18" charset="0"/>
                  <a:ea typeface="Cambria Math" panose="02040503050406030204" pitchFamily="18" charset="0"/>
                </a:rPr>
                <a:t>Administrative expenses+Depreciation and amortization</a:t>
              </a:r>
              <a:r>
                <a:rPr lang="en-US" sz="800" i="0">
                  <a:latin typeface="Cambria Math" panose="02040503050406030204" pitchFamily="18" charset="0"/>
                  <a:ea typeface="Cambria Math" panose="02040503050406030204" pitchFamily="18" charset="0"/>
                </a:rPr>
                <a:t>)/(</a:t>
              </a:r>
              <a:r>
                <a:rPr lang="en-US" sz="800" b="0" i="0">
                  <a:latin typeface="Cambria Math" panose="02040503050406030204" pitchFamily="18" charset="0"/>
                  <a:ea typeface="Cambria Math" panose="02040503050406030204" pitchFamily="18" charset="0"/>
                </a:rPr>
                <a:t>Net </a:t>
              </a:r>
              <a:r>
                <a:rPr lang="en-US" sz="800" i="0">
                  <a:latin typeface="Cambria Math" panose="02040503050406030204" pitchFamily="18" charset="0"/>
                  <a:ea typeface="Cambria Math" panose="02040503050406030204" pitchFamily="18" charset="0"/>
                </a:rPr>
                <a:t>Interest Income+Net result from services and comissions+Other revenue−Tax expense)  </a:t>
              </a:r>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Annualized interest rates:</a:t>
              </a:r>
            </a:p>
            <a:p>
              <a:pPr algn="just"/>
              <a:r>
                <a:rPr lang="en-US" sz="900">
                  <a:latin typeface="Calibri" panose="020F0502020204030204" pitchFamily="34" charset="0"/>
                  <a:ea typeface="Inter" panose="020B0502030000000004" pitchFamily="34" charset="0"/>
                  <a:cs typeface="Calibri" panose="020F0502020204030204" pitchFamily="34" charset="0"/>
                </a:rPr>
                <a:t>Yearly rate calculated by multiplying the quarterly interest by four, over the average portfolio of the last two quarters. All-in loans rate considers Real Estate, Personnal +FGTS, SMBs, Credit Card, excluding non-interest earnings credit card receivables, and Anticipation of Credit Card Receivables.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Anticipation of credit card receivables:</a:t>
              </a:r>
            </a:p>
            <a:p>
              <a:pPr algn="just"/>
              <a:r>
                <a:rPr lang="en-US" sz="900">
                  <a:latin typeface="Calibri" panose="020F0502020204030204" pitchFamily="34" charset="0"/>
                  <a:ea typeface="Inter" panose="020B0502030000000004" pitchFamily="34" charset="0"/>
                  <a:cs typeface="Calibri" panose="020F0502020204030204" pitchFamily="34" charset="0"/>
                </a:rPr>
                <a:t>Disclosed in note 9.a of the Financial Statements, line " "Loans to financial institutions”.</a:t>
              </a:r>
            </a:p>
            <a:p>
              <a:pPr algn="just"/>
              <a:endParaRPr lang="en-US" sz="900">
                <a:latin typeface="Calibri" panose="020F0502020204030204" pitchFamily="34" charset="0"/>
                <a:ea typeface="Inter" panose="020B0502030000000004" pitchFamily="34" charset="0"/>
                <a:cs typeface="Calibri" panose="020F0502020204030204" pitchFamily="34" charset="0"/>
              </a:endParaRPr>
            </a:p>
            <a:p>
              <a:pPr algn="just"/>
              <a:r>
                <a:rPr lang="en-US" sz="900" b="1">
                  <a:latin typeface="Calibri" panose="020F0502020204030204" pitchFamily="34" charset="0"/>
                  <a:cs typeface="Calibri" panose="020F0502020204030204" pitchFamily="34" charset="0"/>
                </a:rPr>
                <a:t>ARPAC gross of interest expenses:</a:t>
              </a:r>
            </a:p>
            <a:p>
              <a:pPr algn="just"/>
              <a:endParaRPr lang="en-US" sz="900">
                <a:latin typeface="Calibri" panose="020F0502020204030204" pitchFamily="34" charset="0"/>
                <a:ea typeface="Inter" panose="020B0502030000000004" pitchFamily="34" charset="0"/>
                <a:cs typeface="Calibri" panose="020F0502020204030204" pitchFamily="34" charset="0"/>
              </a:endParaRPr>
            </a:p>
            <a:p>
              <a:pPr/>
              <a:r>
                <a:rPr lang="en-US" sz="800" b="0" i="0">
                  <a:solidFill>
                    <a:schemeClr val="tx1"/>
                  </a:solidFill>
                  <a:latin typeface="Cambria Math" panose="02040503050406030204" pitchFamily="18" charset="0"/>
                  <a:ea typeface="Cambria Math" panose="02040503050406030204" pitchFamily="18" charset="0"/>
                  <a:cs typeface="Sora" pitchFamily="2" charset="0"/>
                </a:rPr>
                <a:t>█((Interest income+(Revenue from services and comissions −Cashback −Inter rewards)@+ Income from securities and derivarives+Other revenue)÷3)/(</a:t>
              </a:r>
              <a:r>
                <a:rPr lang="en-US" sz="800" i="0">
                  <a:solidFill>
                    <a:schemeClr val="tx1"/>
                  </a:solidFill>
                  <a:latin typeface="Cambria Math" panose="02040503050406030204" pitchFamily="18" charset="0"/>
                  <a:ea typeface="Cambria Math" panose="02040503050406030204" pitchFamily="18" charset="0"/>
                  <a:cs typeface="Sora" pitchFamily="2" charset="0"/>
                </a:rPr>
                <a:t>Average of the last 2 quarters Active Clients)</a:t>
              </a: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ARPAC net of interest expenses:</a:t>
              </a:r>
            </a:p>
            <a:p>
              <a:pPr algn="ctr"/>
              <a:br>
                <a:rPr lang="en-US" sz="800" b="1">
                  <a:solidFill>
                    <a:schemeClr val="tx1"/>
                  </a:solidFill>
                  <a:latin typeface="Calibri" panose="020F0502020204030204" pitchFamily="34" charset="0"/>
                  <a:ea typeface="Cambria Math" panose="02040503050406030204" pitchFamily="18" charset="0"/>
                  <a:cs typeface="Calibri" panose="020F0502020204030204" pitchFamily="34" charset="0"/>
                </a:rPr>
              </a:br>
              <a:r>
                <a:rPr lang="en-US" sz="800" i="0">
                  <a:solidFill>
                    <a:schemeClr val="tx1"/>
                  </a:solidFill>
                  <a:latin typeface="Cambria Math" panose="02040503050406030204" pitchFamily="18" charset="0"/>
                  <a:ea typeface="Cambria Math" panose="02040503050406030204" pitchFamily="18" charset="0"/>
                  <a:cs typeface="Sora" pitchFamily="2" charset="0"/>
                </a:rPr>
                <a:t>((</a:t>
              </a:r>
              <a:r>
                <a:rPr lang="en-US" sz="800" b="0" i="0">
                  <a:solidFill>
                    <a:schemeClr val="tx1"/>
                  </a:solidFill>
                  <a:latin typeface="Cambria Math" panose="02040503050406030204" pitchFamily="18" charset="0"/>
                  <a:ea typeface="Cambria Math" panose="02040503050406030204" pitchFamily="18" charset="0"/>
                  <a:cs typeface="Sora" pitchFamily="2" charset="0"/>
                </a:rPr>
                <a:t>Revenue −Interest expenses</a:t>
              </a:r>
              <a:r>
                <a:rPr lang="en-US" sz="800" i="0">
                  <a:solidFill>
                    <a:schemeClr val="tx1"/>
                  </a:solidFill>
                  <a:latin typeface="Cambria Math" panose="02040503050406030204" pitchFamily="18" charset="0"/>
                  <a:ea typeface="Cambria Math" panose="02040503050406030204" pitchFamily="18" charset="0"/>
                  <a:cs typeface="Sora" pitchFamily="2" charset="0"/>
                </a:rPr>
                <a:t>)  ÷</a:t>
              </a:r>
              <a:r>
                <a:rPr lang="en-US" sz="800" b="0" i="0">
                  <a:solidFill>
                    <a:schemeClr val="tx1"/>
                  </a:solidFill>
                  <a:latin typeface="Cambria Math" panose="02040503050406030204" pitchFamily="18" charset="0"/>
                  <a:ea typeface="Cambria Math" panose="02040503050406030204" pitchFamily="18" charset="0"/>
                  <a:cs typeface="Sora" pitchFamily="2" charset="0"/>
                </a:rPr>
                <a:t>3)/(</a:t>
              </a:r>
              <a:r>
                <a:rPr lang="en-US" sz="800" i="0">
                  <a:solidFill>
                    <a:schemeClr val="tx1"/>
                  </a:solidFill>
                  <a:latin typeface="Cambria Math" panose="02040503050406030204" pitchFamily="18" charset="0"/>
                  <a:ea typeface="Cambria Math" panose="02040503050406030204" pitchFamily="18" charset="0"/>
                  <a:cs typeface="Sora" pitchFamily="2" charset="0"/>
                </a:rPr>
                <a:t>Average of the last 2 quarters Active Clients)</a:t>
              </a:r>
              <a:endParaRPr lang="en-US" sz="800" b="1">
                <a:solidFill>
                  <a:schemeClr val="tx1"/>
                </a:solidFill>
                <a:latin typeface="Calibri" panose="020F0502020204030204" pitchFamily="34" charset="0"/>
                <a:ea typeface="Cambria Math" panose="02040503050406030204" pitchFamily="18" charset="0"/>
                <a:cs typeface="Calibri" panose="020F0502020204030204" pitchFamily="34" charset="0"/>
              </a:endParaRPr>
            </a:p>
            <a:p>
              <a:pPr algn="ctr"/>
              <a:endParaRPr lang="en-US" sz="800">
                <a:solidFill>
                  <a:schemeClr val="tx1"/>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ARPAC per quarterly cohort:</a:t>
              </a:r>
            </a:p>
            <a:p>
              <a:pPr algn="just"/>
              <a:r>
                <a:rPr lang="en-US" sz="900">
                  <a:latin typeface="Calibri" panose="020F0502020204030204" pitchFamily="34" charset="0"/>
                  <a:ea typeface="Inter" panose="020B0502030000000004" pitchFamily="34" charset="0"/>
                  <a:cs typeface="Calibri" panose="020F0502020204030204" pitchFamily="34" charset="0"/>
                </a:rPr>
                <a:t>Total Gross revenue net of interest expenses in a given cohort divided by the average number of active clients in the current and previous periods1. Cohort is defined as the period in which the client started his relationship with Inter.</a:t>
              </a:r>
              <a:br>
                <a:rPr lang="en-US" sz="900">
                  <a:latin typeface="Calibri" panose="020F0502020204030204" pitchFamily="34" charset="0"/>
                  <a:ea typeface="Inter" panose="020B0502030000000004" pitchFamily="34" charset="0"/>
                  <a:cs typeface="Calibri" panose="020F0502020204030204" pitchFamily="34" charset="0"/>
                </a:rPr>
              </a:br>
              <a:endParaRPr lang="en-US" sz="900">
                <a:latin typeface="Calibri" panose="020F0502020204030204" pitchFamily="34" charset="0"/>
                <a:ea typeface="Inter" panose="020B0502030000000004" pitchFamily="34" charset="0"/>
                <a:cs typeface="Calibri" panose="020F0502020204030204" pitchFamily="34" charset="0"/>
              </a:endParaRPr>
            </a:p>
            <a:p>
              <a:r>
                <a:rPr lang="en-US" sz="900" baseline="30000">
                  <a:latin typeface="Calibri" panose="020F0502020204030204" pitchFamily="34" charset="0"/>
                  <a:ea typeface="Cambria Math" panose="02040503050406030204" pitchFamily="18" charset="0"/>
                  <a:cs typeface="Calibri" panose="020F0502020204030204" pitchFamily="34" charset="0"/>
                </a:rPr>
                <a:t>1 - Average number of active clients in the current and previous periods: For the first period, is used the total number of active clients in the end of the period.</a:t>
              </a:r>
            </a:p>
            <a:p>
              <a:endParaRPr lang="en-US" sz="800" baseline="30000">
                <a:latin typeface="Calibri" panose="020F0502020204030204" pitchFamily="34" charset="0"/>
                <a:ea typeface="Cambria Math" panose="02040503050406030204" pitchFamily="18" charset="0"/>
                <a:cs typeface="Calibri" panose="020F0502020204030204" pitchFamily="34" charset="0"/>
              </a:endParaRPr>
            </a:p>
            <a:p>
              <a:endParaRPr lang="en-US" sz="800" baseline="30000">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Assets under custody (AuC):</a:t>
              </a:r>
            </a:p>
            <a:p>
              <a:pPr algn="just"/>
              <a:r>
                <a:rPr lang="en-US" sz="900">
                  <a:latin typeface="Calibri" panose="020F0502020204030204" pitchFamily="34" charset="0"/>
                  <a:ea typeface="Inter" panose="020B0502030000000004" pitchFamily="34" charset="0"/>
                  <a:cs typeface="Calibri" panose="020F0502020204030204" pitchFamily="34" charset="0"/>
                </a:rPr>
                <a:t>We calculate assets under custody, or AUC, at a given date as the market value of all retail clients’ assets invested through our investment platform as of that same date. We believe that AUC, as it reflects the total volume of assets invested in our investment platform without accounting for our operational efficiency, provides us useful insight on the appeal of our platform. We use this metric to monitor the size of our investment platform.</a:t>
              </a:r>
            </a:p>
            <a:p>
              <a:endParaRPr lang="en-US" sz="800">
                <a:latin typeface="Calibri" panose="020F0502020204030204" pitchFamily="34" charset="0"/>
                <a:ea typeface="Cambria Math" panose="02040503050406030204" pitchFamily="18" charset="0"/>
                <a:cs typeface="Calibri" panose="020F0502020204030204" pitchFamily="34" charset="0"/>
              </a:endParaRPr>
            </a:p>
          </xdr:txBody>
        </xdr:sp>
      </mc:Fallback>
    </mc:AlternateContent>
    <xdr:clientData/>
  </xdr:twoCellAnchor>
  <xdr:twoCellAnchor>
    <xdr:from>
      <xdr:col>0</xdr:col>
      <xdr:colOff>151610</xdr:colOff>
      <xdr:row>86</xdr:row>
      <xdr:rowOff>95088</xdr:rowOff>
    </xdr:from>
    <xdr:to>
      <xdr:col>7</xdr:col>
      <xdr:colOff>119810</xdr:colOff>
      <xdr:row>117</xdr:row>
      <xdr:rowOff>137211</xdr:rowOff>
    </xdr:to>
    <mc:AlternateContent xmlns:mc="http://schemas.openxmlformats.org/markup-compatibility/2006" xmlns:a14="http://schemas.microsoft.com/office/drawing/2010/main">
      <mc:Choice Requires="a14">
        <xdr:sp macro="" textlink="">
          <xdr:nvSpPr>
            <xdr:cNvPr id="22" name="Retângulo 9">
              <a:extLst>
                <a:ext uri="{FF2B5EF4-FFF2-40B4-BE49-F238E27FC236}">
                  <a16:creationId xmlns:a16="http://schemas.microsoft.com/office/drawing/2014/main" id="{00000000-0008-0000-1600-000016000000}"/>
                </a:ext>
              </a:extLst>
            </xdr:cNvPr>
            <xdr:cNvSpPr/>
          </xdr:nvSpPr>
          <xdr:spPr>
            <a:xfrm>
              <a:off x="151610" y="15924074"/>
              <a:ext cx="5766026" cy="5747920"/>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Card fee revenue:</a:t>
              </a:r>
            </a:p>
            <a:p>
              <a:r>
                <a:rPr lang="en-US" sz="900">
                  <a:latin typeface="Calibri" panose="020F0502020204030204" pitchFamily="34" charset="0"/>
                  <a:ea typeface="Inter" panose="020B0502030000000004" pitchFamily="34" charset="0"/>
                  <a:cs typeface="Calibri" panose="020F0502020204030204" pitchFamily="34" charset="0"/>
                </a:rPr>
                <a:t>It is part of the “Revenue from services and commission” and “Other revenue” on IFRS Income Statement.  </a:t>
              </a:r>
            </a:p>
            <a:p>
              <a:endParaRPr lang="en-US" sz="800">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funding:</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ea typeface="Cambria Math" panose="02040503050406030204" pitchFamily="18" charset="0"/>
                            <a:cs typeface="Sora" pitchFamily="2" charset="0"/>
                          </a:rPr>
                        </m:ctrlPr>
                      </m:fPr>
                      <m:num>
                        <m:r>
                          <m:rPr>
                            <m:sty m:val="p"/>
                          </m:rPr>
                          <a:rPr lang="en-US" sz="800" i="0">
                            <a:latin typeface="Cambria Math" panose="02040503050406030204" pitchFamily="18" charset="0"/>
                            <a:ea typeface="Cambria Math" panose="02040503050406030204" pitchFamily="18" charset="0"/>
                            <a:cs typeface="Sora" pitchFamily="2" charset="0"/>
                          </a:rPr>
                          <m:t>Interest</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expenses</m:t>
                        </m:r>
                        <m:r>
                          <a:rPr lang="pt-BR" sz="800" i="0">
                            <a:latin typeface="Cambria Math" panose="02040503050406030204" pitchFamily="18" charset="0"/>
                            <a:ea typeface="Cambria Math" panose="02040503050406030204" pitchFamily="18" charset="0"/>
                            <a:cs typeface="Sora" pitchFamily="2" charset="0"/>
                          </a:rPr>
                          <m:t> </m:t>
                        </m:r>
                        <m:r>
                          <a:rPr lang="pt-BR" sz="800" i="0">
                            <a:latin typeface="Cambria Math" panose="02040503050406030204" pitchFamily="18" charset="0"/>
                            <a:ea typeface="Cambria Math" panose="02040503050406030204" pitchFamily="18" charset="0"/>
                          </a:rPr>
                          <m:t>× </m:t>
                        </m:r>
                        <m:r>
                          <a:rPr lang="pt-BR" sz="800" i="0">
                            <a:latin typeface="Cambria Math" panose="02040503050406030204" pitchFamily="18" charset="0"/>
                            <a:ea typeface="Cambria Math" panose="02040503050406030204" pitchFamily="18" charset="0"/>
                            <a:cs typeface="Sora" pitchFamily="2" charset="0"/>
                          </a:rPr>
                          <m:t>4</m:t>
                        </m:r>
                      </m:num>
                      <m:den>
                        <m:eqArr>
                          <m:eqArrPr>
                            <m:ctrlPr>
                              <a:rPr lang="pt-BR" sz="800" i="1">
                                <a:latin typeface="Cambria Math" panose="02040503050406030204" pitchFamily="18" charset="0"/>
                                <a:ea typeface="Cambria Math" panose="02040503050406030204" pitchFamily="18" charset="0"/>
                                <a:cs typeface="Sora" pitchFamily="2" charset="0"/>
                              </a:rPr>
                            </m:ctrlPr>
                          </m:eqArrPr>
                          <m:e>
                            <m:r>
                              <m:rPr>
                                <m:sty m:val="p"/>
                              </m:rPr>
                              <a:rPr lang="pt-BR" sz="800" i="0">
                                <a:latin typeface="Cambria Math" panose="02040503050406030204" pitchFamily="18" charset="0"/>
                                <a:ea typeface="Cambria Math" panose="02040503050406030204" pitchFamily="18" charset="0"/>
                                <a:cs typeface="Sora" pitchFamily="2" charset="0"/>
                              </a:rPr>
                              <m:t>Average</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of</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last</m:t>
                            </m:r>
                            <m:r>
                              <a:rPr lang="pt-BR" sz="800" i="0">
                                <a:latin typeface="Cambria Math" panose="02040503050406030204" pitchFamily="18" charset="0"/>
                                <a:ea typeface="Cambria Math" panose="02040503050406030204" pitchFamily="18" charset="0"/>
                                <a:cs typeface="Sora" pitchFamily="2" charset="0"/>
                              </a:rPr>
                              <m:t> 2 </m:t>
                            </m:r>
                            <m:r>
                              <m:rPr>
                                <m:sty m:val="p"/>
                              </m:rPr>
                              <a:rPr lang="pt-BR" sz="800" i="0">
                                <a:latin typeface="Cambria Math" panose="02040503050406030204" pitchFamily="18" charset="0"/>
                                <a:ea typeface="Cambria Math" panose="02040503050406030204" pitchFamily="18" charset="0"/>
                                <a:cs typeface="Sora" pitchFamily="2" charset="0"/>
                              </a:rPr>
                              <m:t>quarters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Interest</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bearing</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liabilities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demand</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deposits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time</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deposits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savings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deposits</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creditors</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by</m:t>
                            </m:r>
                          </m:e>
                          <m:e>
                            <m:r>
                              <m:rPr>
                                <m:sty m:val="p"/>
                              </m:rPr>
                              <a:rPr lang="pt-BR" sz="800" i="0">
                                <a:latin typeface="Cambria Math" panose="02040503050406030204" pitchFamily="18" charset="0"/>
                                <a:ea typeface="Cambria Math" panose="02040503050406030204" pitchFamily="18" charset="0"/>
                                <a:cs typeface="Sora" pitchFamily="2" charset="0"/>
                              </a:rPr>
                              <m:t>resources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to</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release</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securities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issued</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securities</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sold</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under</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agreements</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to</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repurchase</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interbank</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deposits</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and</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others</m:t>
                            </m:r>
                            <m:r>
                              <a:rPr lang="pt-BR" sz="800" b="0" i="0">
                                <a:latin typeface="Cambria Math" panose="02040503050406030204" pitchFamily="18" charset="0"/>
                                <a:ea typeface="Cambria Math" panose="02040503050406030204" pitchFamily="18" charset="0"/>
                                <a:cs typeface="Sora" pitchFamily="2" charset="0"/>
                              </a:rPr>
                              <m:t>)</m:t>
                            </m:r>
                          </m:e>
                        </m:eqArr>
                      </m:den>
                    </m:f>
                    <m:r>
                      <a:rPr lang="pt-BR" sz="800" b="0" i="1">
                        <a:latin typeface="Cambria Math" panose="02040503050406030204" pitchFamily="18" charset="0"/>
                        <a:ea typeface="Cambria Math" panose="02040503050406030204" pitchFamily="18" charset="0"/>
                        <a:cs typeface="Sora" pitchFamily="2" charset="0"/>
                      </a:rPr>
                      <m:t> </m:t>
                    </m:r>
                  </m:oMath>
                </m:oMathPara>
              </a14:m>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risk:</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ea typeface="Cambria Math" panose="02040503050406030204" pitchFamily="18" charset="0"/>
                            <a:cs typeface="Sora" pitchFamily="2" charset="0"/>
                          </a:rPr>
                        </m:ctrlPr>
                      </m:fPr>
                      <m:num>
                        <m:r>
                          <m:rPr>
                            <m:sty m:val="p"/>
                          </m:rPr>
                          <a:rPr lang="en-US" sz="800" i="0">
                            <a:latin typeface="Cambria Math" panose="02040503050406030204" pitchFamily="18" charset="0"/>
                            <a:ea typeface="Cambria Math" panose="02040503050406030204" pitchFamily="18" charset="0"/>
                            <a:cs typeface="Sora" pitchFamily="2" charset="0"/>
                          </a:rPr>
                          <m:t>Impairment</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losses</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on</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financial</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assets</m:t>
                        </m:r>
                        <m:r>
                          <a:rPr lang="pt-BR" sz="800" b="0" i="0">
                            <a:latin typeface="Cambria Math" panose="02040503050406030204" pitchFamily="18" charset="0"/>
                            <a:ea typeface="Cambria Math" panose="02040503050406030204" pitchFamily="18" charset="0"/>
                            <a:cs typeface="Sora" pitchFamily="2" charset="0"/>
                          </a:rPr>
                          <m:t> </m:t>
                        </m:r>
                        <m:r>
                          <a:rPr lang="pt-BR" sz="800" i="0">
                            <a:latin typeface="Cambria Math" panose="02040503050406030204" pitchFamily="18" charset="0"/>
                            <a:ea typeface="Cambria Math" panose="02040503050406030204" pitchFamily="18" charset="0"/>
                          </a:rPr>
                          <m:t>× </m:t>
                        </m:r>
                        <m:r>
                          <a:rPr lang="pt-BR" sz="800" i="0">
                            <a:latin typeface="Cambria Math" panose="02040503050406030204" pitchFamily="18" charset="0"/>
                            <a:ea typeface="Cambria Math" panose="02040503050406030204" pitchFamily="18" charset="0"/>
                            <a:cs typeface="Sora" pitchFamily="2" charset="0"/>
                          </a:rPr>
                          <m:t>4</m:t>
                        </m:r>
                      </m:num>
                      <m:den>
                        <m:r>
                          <m:rPr>
                            <m:sty m:val="p"/>
                          </m:rPr>
                          <a:rPr lang="pt-BR" sz="800" i="0">
                            <a:latin typeface="Cambria Math" panose="02040503050406030204" pitchFamily="18" charset="0"/>
                            <a:ea typeface="Cambria Math" panose="02040503050406030204" pitchFamily="18" charset="0"/>
                            <a:cs typeface="Sora" pitchFamily="2" charset="0"/>
                          </a:rPr>
                          <m:t>Average</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of</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last</m:t>
                        </m:r>
                        <m:r>
                          <a:rPr lang="pt-BR" sz="800" i="0">
                            <a:latin typeface="Cambria Math" panose="02040503050406030204" pitchFamily="18" charset="0"/>
                            <a:ea typeface="Cambria Math" panose="02040503050406030204" pitchFamily="18" charset="0"/>
                            <a:cs typeface="Sora" pitchFamily="2" charset="0"/>
                          </a:rPr>
                          <m:t> 2 </m:t>
                        </m:r>
                        <m:r>
                          <m:rPr>
                            <m:sty m:val="p"/>
                          </m:rPr>
                          <a:rPr lang="pt-BR" sz="800" i="0">
                            <a:latin typeface="Cambria Math" panose="02040503050406030204" pitchFamily="18" charset="0"/>
                            <a:ea typeface="Cambria Math" panose="02040503050406030204" pitchFamily="18" charset="0"/>
                            <a:cs typeface="Sora" pitchFamily="2" charset="0"/>
                          </a:rPr>
                          <m:t>quarters</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of</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Loans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and</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advances</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to</m:t>
                        </m:r>
                        <m:r>
                          <a:rPr lang="pt-BR" sz="800" i="0">
                            <a:latin typeface="Cambria Math" panose="02040503050406030204" pitchFamily="18" charset="0"/>
                            <a:ea typeface="Cambria Math" panose="02040503050406030204" pitchFamily="18" charset="0"/>
                            <a:cs typeface="Sora" pitchFamily="2" charset="0"/>
                          </a:rPr>
                          <m:t> </m:t>
                        </m:r>
                        <m:r>
                          <m:rPr>
                            <m:sty m:val="p"/>
                          </m:rPr>
                          <a:rPr lang="pt-BR" sz="800" i="0">
                            <a:latin typeface="Cambria Math" panose="02040503050406030204" pitchFamily="18" charset="0"/>
                            <a:ea typeface="Cambria Math" panose="02040503050406030204" pitchFamily="18" charset="0"/>
                            <a:cs typeface="Sora" pitchFamily="2" charset="0"/>
                          </a:rPr>
                          <m:t>customers</m:t>
                        </m:r>
                      </m:den>
                    </m:f>
                  </m:oMath>
                </m:oMathPara>
              </a14:m>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risk excluding anticipation of credit card receivables: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ea typeface="Cambria Math" panose="02040503050406030204" pitchFamily="18" charset="0"/>
                            <a:cs typeface="Sora" pitchFamily="2" charset="0"/>
                          </a:rPr>
                        </m:ctrlPr>
                      </m:fPr>
                      <m:num>
                        <m:r>
                          <m:rPr>
                            <m:sty m:val="p"/>
                          </m:rPr>
                          <a:rPr lang="en-US" sz="800" i="0">
                            <a:latin typeface="Cambria Math" panose="02040503050406030204" pitchFamily="18" charset="0"/>
                            <a:ea typeface="Cambria Math" panose="02040503050406030204" pitchFamily="18" charset="0"/>
                            <a:cs typeface="Sora" pitchFamily="2" charset="0"/>
                          </a:rPr>
                          <m:t>Impairment</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losses</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on</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financial</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assets</m:t>
                        </m:r>
                        <m:r>
                          <a:rPr lang="pt-BR" sz="800" b="0" i="0">
                            <a:latin typeface="Cambria Math" panose="02040503050406030204" pitchFamily="18" charset="0"/>
                            <a:ea typeface="Cambria Math" panose="02040503050406030204" pitchFamily="18" charset="0"/>
                            <a:cs typeface="Sora" pitchFamily="2" charset="0"/>
                          </a:rPr>
                          <m:t> </m:t>
                        </m:r>
                        <m:r>
                          <a:rPr lang="pt-BR" sz="800" i="0">
                            <a:latin typeface="Cambria Math" panose="02040503050406030204" pitchFamily="18" charset="0"/>
                            <a:ea typeface="Cambria Math" panose="02040503050406030204" pitchFamily="18" charset="0"/>
                          </a:rPr>
                          <m:t>× </m:t>
                        </m:r>
                        <m:r>
                          <a:rPr lang="pt-BR" sz="800" i="0">
                            <a:latin typeface="Cambria Math" panose="02040503050406030204" pitchFamily="18" charset="0"/>
                            <a:ea typeface="Cambria Math" panose="02040503050406030204" pitchFamily="18" charset="0"/>
                            <a:cs typeface="Sora" pitchFamily="2" charset="0"/>
                          </a:rPr>
                          <m:t>4</m:t>
                        </m:r>
                      </m:num>
                      <m:den>
                        <m:r>
                          <m:rPr>
                            <m:sty m:val="p"/>
                          </m:rPr>
                          <a:rPr lang="pt-BR" sz="800">
                            <a:latin typeface="Cambria Math" panose="02040503050406030204" pitchFamily="18" charset="0"/>
                            <a:ea typeface="Cambria Math" panose="02040503050406030204" pitchFamily="18" charset="0"/>
                            <a:cs typeface="Sora" pitchFamily="2" charset="0"/>
                          </a:rPr>
                          <m:t>Average</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of</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last</m:t>
                        </m:r>
                        <m:r>
                          <a:rPr lang="pt-BR" sz="800">
                            <a:latin typeface="Cambria Math" panose="02040503050406030204" pitchFamily="18" charset="0"/>
                            <a:ea typeface="Cambria Math" panose="02040503050406030204" pitchFamily="18" charset="0"/>
                            <a:cs typeface="Sora" pitchFamily="2" charset="0"/>
                          </a:rPr>
                          <m:t> 2 </m:t>
                        </m:r>
                        <m:r>
                          <m:rPr>
                            <m:sty m:val="p"/>
                          </m:rPr>
                          <a:rPr lang="pt-BR" sz="800">
                            <a:latin typeface="Cambria Math" panose="02040503050406030204" pitchFamily="18" charset="0"/>
                            <a:ea typeface="Cambria Math" panose="02040503050406030204" pitchFamily="18" charset="0"/>
                            <a:cs typeface="Sora" pitchFamily="2" charset="0"/>
                          </a:rPr>
                          <m:t>quarters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of</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Loans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and</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advances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to</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customers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excluding</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anticipation</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of</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credit</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card</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receivables</m:t>
                        </m:r>
                      </m:den>
                    </m:f>
                  </m:oMath>
                </m:oMathPara>
              </a14:m>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risk excluding credit card:</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ea typeface="Cambria Math" panose="02040503050406030204" pitchFamily="18" charset="0"/>
                            <a:cs typeface="Sora" pitchFamily="2" charset="0"/>
                          </a:rPr>
                        </m:ctrlPr>
                      </m:fPr>
                      <m:num>
                        <m:r>
                          <m:rPr>
                            <m:sty m:val="p"/>
                          </m:rPr>
                          <a:rPr lang="en-US" sz="800" i="0">
                            <a:latin typeface="Cambria Math" panose="02040503050406030204" pitchFamily="18" charset="0"/>
                            <a:ea typeface="Cambria Math" panose="02040503050406030204" pitchFamily="18" charset="0"/>
                            <a:cs typeface="Sora" pitchFamily="2" charset="0"/>
                          </a:rPr>
                          <m:t>Impairment</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losses</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on</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financial</m:t>
                        </m:r>
                        <m:r>
                          <a:rPr lang="en-US" sz="800" i="0">
                            <a:latin typeface="Cambria Math" panose="02040503050406030204" pitchFamily="18" charset="0"/>
                            <a:ea typeface="Cambria Math" panose="02040503050406030204" pitchFamily="18" charset="0"/>
                            <a:cs typeface="Sora" pitchFamily="2" charset="0"/>
                          </a:rPr>
                          <m:t> </m:t>
                        </m:r>
                        <m:r>
                          <m:rPr>
                            <m:sty m:val="p"/>
                          </m:rPr>
                          <a:rPr lang="en-US" sz="800" i="0">
                            <a:latin typeface="Cambria Math" panose="02040503050406030204" pitchFamily="18" charset="0"/>
                            <a:ea typeface="Cambria Math" panose="02040503050406030204" pitchFamily="18" charset="0"/>
                            <a:cs typeface="Sora" pitchFamily="2" charset="0"/>
                          </a:rPr>
                          <m:t>assets</m:t>
                        </m:r>
                        <m:r>
                          <a:rPr lang="pt-BR" sz="800" b="0" i="0">
                            <a:latin typeface="Cambria Math" panose="02040503050406030204" pitchFamily="18" charset="0"/>
                            <a:ea typeface="Cambria Math" panose="02040503050406030204" pitchFamily="18" charset="0"/>
                            <a:cs typeface="Sora" pitchFamily="2" charset="0"/>
                          </a:rPr>
                          <m:t> </m:t>
                        </m:r>
                        <m:r>
                          <a:rPr lang="pt-BR" sz="800" i="0">
                            <a:latin typeface="Cambria Math" panose="02040503050406030204" pitchFamily="18" charset="0"/>
                            <a:ea typeface="Cambria Math" panose="02040503050406030204" pitchFamily="18" charset="0"/>
                          </a:rPr>
                          <m:t>× </m:t>
                        </m:r>
                        <m:r>
                          <a:rPr lang="pt-BR" sz="800" i="0">
                            <a:latin typeface="Cambria Math" panose="02040503050406030204" pitchFamily="18" charset="0"/>
                            <a:ea typeface="Cambria Math" panose="02040503050406030204" pitchFamily="18" charset="0"/>
                            <a:cs typeface="Sora" pitchFamily="2" charset="0"/>
                          </a:rPr>
                          <m:t>4</m:t>
                        </m:r>
                      </m:num>
                      <m:den>
                        <m:r>
                          <m:rPr>
                            <m:sty m:val="p"/>
                          </m:rPr>
                          <a:rPr lang="pt-BR" sz="800">
                            <a:latin typeface="Cambria Math" panose="02040503050406030204" pitchFamily="18" charset="0"/>
                            <a:ea typeface="Cambria Math" panose="02040503050406030204" pitchFamily="18" charset="0"/>
                            <a:cs typeface="Sora" pitchFamily="2" charset="0"/>
                          </a:rPr>
                          <m:t>Average</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of</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last</m:t>
                        </m:r>
                        <m:r>
                          <a:rPr lang="pt-BR" sz="800">
                            <a:latin typeface="Cambria Math" panose="02040503050406030204" pitchFamily="18" charset="0"/>
                            <a:ea typeface="Cambria Math" panose="02040503050406030204" pitchFamily="18" charset="0"/>
                            <a:cs typeface="Sora" pitchFamily="2" charset="0"/>
                          </a:rPr>
                          <m:t> 2 </m:t>
                        </m:r>
                        <m:r>
                          <m:rPr>
                            <m:sty m:val="p"/>
                          </m:rPr>
                          <a:rPr lang="pt-BR" sz="800">
                            <a:latin typeface="Cambria Math" panose="02040503050406030204" pitchFamily="18" charset="0"/>
                            <a:ea typeface="Cambria Math" panose="02040503050406030204" pitchFamily="18" charset="0"/>
                            <a:cs typeface="Sora" pitchFamily="2" charset="0"/>
                          </a:rPr>
                          <m:t>quarters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of</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Loans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and</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advances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to</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customers</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excluding</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credit</m:t>
                        </m:r>
                        <m:r>
                          <a:rPr lang="pt-BR" sz="800">
                            <a:latin typeface="Cambria Math" panose="02040503050406030204" pitchFamily="18" charset="0"/>
                            <a:ea typeface="Cambria Math" panose="02040503050406030204" pitchFamily="18" charset="0"/>
                            <a:cs typeface="Sora" pitchFamily="2" charset="0"/>
                          </a:rPr>
                          <m:t> </m:t>
                        </m:r>
                        <m:r>
                          <m:rPr>
                            <m:sty m:val="p"/>
                          </m:rPr>
                          <a:rPr lang="pt-BR" sz="800">
                            <a:latin typeface="Cambria Math" panose="02040503050406030204" pitchFamily="18" charset="0"/>
                            <a:ea typeface="Cambria Math" panose="02040503050406030204" pitchFamily="18" charset="0"/>
                            <a:cs typeface="Sora" pitchFamily="2" charset="0"/>
                          </a:rPr>
                          <m:t>card</m:t>
                        </m:r>
                      </m:den>
                    </m:f>
                  </m:oMath>
                </m:oMathPara>
              </a14:m>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Cost-to-serve (CTS):</a:t>
              </a:r>
            </a:p>
            <a:p>
              <a:pPr algn="ctr"/>
              <a:endParaRPr lang="en-US"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en-US" sz="800" i="1">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ctrlPr>
                      </m:fPr>
                      <m:num>
                        <m:d>
                          <m:dPr>
                            <m:ctrlPr>
                              <a:rPr lang="en-US" sz="800" i="1">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ctrlPr>
                          </m:dPr>
                          <m:e>
                            <m:r>
                              <m:rPr>
                                <m:sty m:val="p"/>
                              </m:rP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Personnel</m:t>
                            </m:r>
                            <m: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Expense</m:t>
                            </m:r>
                            <m: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Administrative</m:t>
                            </m:r>
                            <m: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Expenses</m:t>
                            </m:r>
                            <m: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Total</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CAC</m:t>
                            </m:r>
                          </m:e>
                        </m:d>
                        <m:r>
                          <a:rPr lang="en-US"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÷3</m:t>
                        </m:r>
                      </m:num>
                      <m:den>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Average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of</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the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last</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2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quarters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Active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Clients</m:t>
                        </m:r>
                      </m:den>
                    </m:f>
                    <m:r>
                      <a:rPr lang="pt-BR" sz="800" i="1">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oMath>
                </m:oMathPara>
              </a14:m>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pt-BR" sz="100" i="1">
                <a:solidFill>
                  <a:schemeClr val="tx1">
                    <a:lumMod val="85000"/>
                    <a:lumOff val="15000"/>
                  </a:schemeClr>
                </a:solidFill>
                <a:highlight>
                  <a:srgbClr val="FFFF00"/>
                </a:highlight>
                <a:latin typeface="Calibri" panose="020F0502020204030204" pitchFamily="34" charset="0"/>
                <a:ea typeface="Cambria Math" panose="02040503050406030204" pitchFamily="18" charset="0"/>
                <a:cs typeface="Calibri" panose="020F0502020204030204" pitchFamily="34" charset="0"/>
              </a:endParaRPr>
            </a:p>
          </xdr:txBody>
        </xdr:sp>
      </mc:Choice>
      <mc:Fallback xmlns="">
        <xdr:sp macro="" textlink="">
          <xdr:nvSpPr>
            <xdr:cNvPr id="22" name="Retângulo 9">
              <a:extLst>
                <a:ext uri="{FF2B5EF4-FFF2-40B4-BE49-F238E27FC236}">
                  <a16:creationId xmlns:a16="http://schemas.microsoft.com/office/drawing/2014/main" id="{E053E71D-69F7-C852-2686-4DDCCC5EB831}"/>
                </a:ext>
              </a:extLst>
            </xdr:cNvPr>
            <xdr:cNvSpPr/>
          </xdr:nvSpPr>
          <xdr:spPr>
            <a:xfrm>
              <a:off x="151610" y="15924074"/>
              <a:ext cx="5766026" cy="5747920"/>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Card fee revenue:</a:t>
              </a:r>
            </a:p>
            <a:p>
              <a:r>
                <a:rPr lang="en-US" sz="900">
                  <a:latin typeface="Calibri" panose="020F0502020204030204" pitchFamily="34" charset="0"/>
                  <a:ea typeface="Inter" panose="020B0502030000000004" pitchFamily="34" charset="0"/>
                  <a:cs typeface="Calibri" panose="020F0502020204030204" pitchFamily="34" charset="0"/>
                </a:rPr>
                <a:t>It is part of the “Revenue from services and commission” and “Other revenue” on IFRS Income Statement.  </a:t>
              </a:r>
            </a:p>
            <a:p>
              <a:endParaRPr lang="en-US" sz="800">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funding:</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en-US" sz="800" i="0">
                  <a:latin typeface="Cambria Math" panose="02040503050406030204" pitchFamily="18" charset="0"/>
                  <a:ea typeface="Cambria Math" panose="02040503050406030204" pitchFamily="18" charset="0"/>
                  <a:cs typeface="Sora" pitchFamily="2" charset="0"/>
                </a:rPr>
                <a:t>(Interest expenses</a:t>
              </a:r>
              <a:r>
                <a:rPr lang="pt-BR" sz="800" i="0">
                  <a:latin typeface="Cambria Math" panose="02040503050406030204" pitchFamily="18" charset="0"/>
                  <a:ea typeface="Cambria Math" panose="02040503050406030204" pitchFamily="18" charset="0"/>
                  <a:cs typeface="Sora" pitchFamily="2" charset="0"/>
                </a:rPr>
                <a:t> </a:t>
              </a:r>
              <a:r>
                <a:rPr lang="pt-BR" sz="800" i="0">
                  <a:latin typeface="Cambria Math" panose="02040503050406030204" pitchFamily="18" charset="0"/>
                  <a:ea typeface="Cambria Math" panose="02040503050406030204" pitchFamily="18" charset="0"/>
                </a:rPr>
                <a:t>× </a:t>
              </a:r>
              <a:r>
                <a:rPr lang="pt-BR" sz="800" i="0">
                  <a:latin typeface="Cambria Math" panose="02040503050406030204" pitchFamily="18" charset="0"/>
                  <a:ea typeface="Cambria Math" panose="02040503050406030204" pitchFamily="18" charset="0"/>
                  <a:cs typeface="Sora" pitchFamily="2" charset="0"/>
                </a:rPr>
                <a:t>4</a:t>
              </a:r>
              <a:r>
                <a:rPr lang="en-US" sz="800" i="0">
                  <a:latin typeface="Cambria Math" panose="02040503050406030204" pitchFamily="18" charset="0"/>
                  <a:ea typeface="Cambria Math" panose="02040503050406030204" pitchFamily="18" charset="0"/>
                  <a:cs typeface="Sora" pitchFamily="2" charset="0"/>
                </a:rPr>
                <a:t>)/</a:t>
              </a:r>
              <a:r>
                <a:rPr lang="pt-BR" sz="800" i="0">
                  <a:latin typeface="Cambria Math" panose="02040503050406030204" pitchFamily="18" charset="0"/>
                  <a:ea typeface="Cambria Math" panose="02040503050406030204" pitchFamily="18" charset="0"/>
                  <a:cs typeface="Sora" pitchFamily="2" charset="0"/>
                </a:rPr>
                <a:t>█(Average of last 2 quarters Interest bearing liabilities (demand deposits, time deposits, savings </a:t>
              </a:r>
              <a:r>
                <a:rPr lang="pt-BR" sz="800" b="0" i="0">
                  <a:latin typeface="Cambria Math" panose="02040503050406030204" pitchFamily="18" charset="0"/>
                  <a:ea typeface="Cambria Math" panose="02040503050406030204" pitchFamily="18" charset="0"/>
                  <a:cs typeface="Sora" pitchFamily="2" charset="0"/>
                </a:rPr>
                <a:t>deposits, creditors by@</a:t>
              </a:r>
              <a:r>
                <a:rPr lang="pt-BR" sz="800" i="0">
                  <a:latin typeface="Cambria Math" panose="02040503050406030204" pitchFamily="18" charset="0"/>
                  <a:ea typeface="Cambria Math" panose="02040503050406030204" pitchFamily="18" charset="0"/>
                  <a:cs typeface="Sora" pitchFamily="2" charset="0"/>
                </a:rPr>
                <a:t>resources to release</a:t>
              </a:r>
              <a:r>
                <a:rPr lang="pt-BR" sz="800" b="0" i="0">
                  <a:latin typeface="Cambria Math" panose="02040503050406030204" pitchFamily="18" charset="0"/>
                  <a:ea typeface="Cambria Math" panose="02040503050406030204" pitchFamily="18" charset="0"/>
                  <a:cs typeface="Sora" pitchFamily="2" charset="0"/>
                </a:rPr>
                <a:t>, </a:t>
              </a:r>
              <a:r>
                <a:rPr lang="pt-BR" sz="800" i="0">
                  <a:latin typeface="Cambria Math" panose="02040503050406030204" pitchFamily="18" charset="0"/>
                  <a:ea typeface="Cambria Math" panose="02040503050406030204" pitchFamily="18" charset="0"/>
                  <a:cs typeface="Sora" pitchFamily="2" charset="0"/>
                </a:rPr>
                <a:t>securities issued</a:t>
              </a:r>
              <a:r>
                <a:rPr lang="pt-BR" sz="800" b="0" i="0">
                  <a:latin typeface="Cambria Math" panose="02040503050406030204" pitchFamily="18" charset="0"/>
                  <a:ea typeface="Cambria Math" panose="02040503050406030204" pitchFamily="18" charset="0"/>
                  <a:cs typeface="Sora" pitchFamily="2" charset="0"/>
                </a:rPr>
                <a:t>, securities sold under agreements to repurchase, interbank deposits and others))  </a:t>
              </a: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risk:</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en-US" sz="800" i="0">
                  <a:latin typeface="Cambria Math" panose="02040503050406030204" pitchFamily="18" charset="0"/>
                  <a:ea typeface="Cambria Math" panose="02040503050406030204" pitchFamily="18" charset="0"/>
                  <a:cs typeface="Sora" pitchFamily="2" charset="0"/>
                </a:rPr>
                <a:t>(Impairment losses on financial assets</a:t>
              </a:r>
              <a:r>
                <a:rPr lang="pt-BR" sz="800" b="0" i="0">
                  <a:latin typeface="Cambria Math" panose="02040503050406030204" pitchFamily="18" charset="0"/>
                  <a:ea typeface="Cambria Math" panose="02040503050406030204" pitchFamily="18" charset="0"/>
                  <a:cs typeface="Sora" pitchFamily="2" charset="0"/>
                </a:rPr>
                <a:t> </a:t>
              </a:r>
              <a:r>
                <a:rPr lang="pt-BR" sz="800" i="0">
                  <a:latin typeface="Cambria Math" panose="02040503050406030204" pitchFamily="18" charset="0"/>
                  <a:ea typeface="Cambria Math" panose="02040503050406030204" pitchFamily="18" charset="0"/>
                </a:rPr>
                <a:t>× </a:t>
              </a:r>
              <a:r>
                <a:rPr lang="pt-BR" sz="800" i="0">
                  <a:latin typeface="Cambria Math" panose="02040503050406030204" pitchFamily="18" charset="0"/>
                  <a:ea typeface="Cambria Math" panose="02040503050406030204" pitchFamily="18" charset="0"/>
                  <a:cs typeface="Sora" pitchFamily="2" charset="0"/>
                </a:rPr>
                <a:t>4</a:t>
              </a:r>
              <a:r>
                <a:rPr lang="en-US" sz="800" i="0">
                  <a:latin typeface="Cambria Math" panose="02040503050406030204" pitchFamily="18" charset="0"/>
                  <a:ea typeface="Cambria Math" panose="02040503050406030204" pitchFamily="18" charset="0"/>
                  <a:cs typeface="Sora" pitchFamily="2" charset="0"/>
                </a:rPr>
                <a:t>)/(</a:t>
              </a:r>
              <a:r>
                <a:rPr lang="pt-BR" sz="800" i="0">
                  <a:latin typeface="Cambria Math" panose="02040503050406030204" pitchFamily="18" charset="0"/>
                  <a:ea typeface="Cambria Math" panose="02040503050406030204" pitchFamily="18" charset="0"/>
                  <a:cs typeface="Sora" pitchFamily="2" charset="0"/>
                </a:rPr>
                <a:t>Average of last 2 quarters</a:t>
              </a:r>
              <a:r>
                <a:rPr lang="pt-BR" sz="800" b="0" i="0">
                  <a:latin typeface="Cambria Math" panose="02040503050406030204" pitchFamily="18" charset="0"/>
                  <a:ea typeface="Cambria Math" panose="02040503050406030204" pitchFamily="18" charset="0"/>
                  <a:cs typeface="Sora" pitchFamily="2" charset="0"/>
                </a:rPr>
                <a:t> of Loans</a:t>
              </a:r>
              <a:r>
                <a:rPr lang="pt-BR" sz="800" i="0">
                  <a:latin typeface="Cambria Math" panose="02040503050406030204" pitchFamily="18" charset="0"/>
                  <a:ea typeface="Cambria Math" panose="02040503050406030204" pitchFamily="18" charset="0"/>
                  <a:cs typeface="Sora" pitchFamily="2" charset="0"/>
                </a:rPr>
                <a:t> and advances to c</a:t>
              </a:r>
              <a:r>
                <a:rPr lang="pt-BR" sz="800" b="0" i="0">
                  <a:latin typeface="Cambria Math" panose="02040503050406030204" pitchFamily="18" charset="0"/>
                  <a:ea typeface="Cambria Math" panose="02040503050406030204" pitchFamily="18" charset="0"/>
                  <a:cs typeface="Sora" pitchFamily="2" charset="0"/>
                </a:rPr>
                <a:t>ustomer</a:t>
              </a:r>
              <a:r>
                <a:rPr lang="pt-BR" sz="800" i="0">
                  <a:latin typeface="Cambria Math" panose="02040503050406030204" pitchFamily="18" charset="0"/>
                  <a:ea typeface="Cambria Math" panose="02040503050406030204" pitchFamily="18" charset="0"/>
                  <a:cs typeface="Sora" pitchFamily="2" charset="0"/>
                </a:rPr>
                <a:t>s</a:t>
              </a:r>
              <a:r>
                <a:rPr lang="en-US" sz="800" i="0">
                  <a:latin typeface="Cambria Math" panose="02040503050406030204" pitchFamily="18" charset="0"/>
                  <a:ea typeface="Cambria Math" panose="02040503050406030204" pitchFamily="18" charset="0"/>
                  <a:cs typeface="Sora" pitchFamily="2" charset="0"/>
                </a:rPr>
                <a:t>)</a:t>
              </a: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risk excluding anticipation of credit card receivables: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en-US" sz="800" i="0">
                  <a:latin typeface="Cambria Math" panose="02040503050406030204" pitchFamily="18" charset="0"/>
                  <a:ea typeface="Cambria Math" panose="02040503050406030204" pitchFamily="18" charset="0"/>
                  <a:cs typeface="Sora" pitchFamily="2" charset="0"/>
                </a:rPr>
                <a:t>(Impairment losses on financial assets</a:t>
              </a:r>
              <a:r>
                <a:rPr lang="pt-BR" sz="800" b="0" i="0">
                  <a:latin typeface="Cambria Math" panose="02040503050406030204" pitchFamily="18" charset="0"/>
                  <a:ea typeface="Cambria Math" panose="02040503050406030204" pitchFamily="18" charset="0"/>
                  <a:cs typeface="Sora" pitchFamily="2" charset="0"/>
                </a:rPr>
                <a:t> </a:t>
              </a:r>
              <a:r>
                <a:rPr lang="pt-BR" sz="800" i="0">
                  <a:latin typeface="Cambria Math" panose="02040503050406030204" pitchFamily="18" charset="0"/>
                  <a:ea typeface="Cambria Math" panose="02040503050406030204" pitchFamily="18" charset="0"/>
                </a:rPr>
                <a:t>× </a:t>
              </a:r>
              <a:r>
                <a:rPr lang="pt-BR" sz="800" i="0">
                  <a:latin typeface="Cambria Math" panose="02040503050406030204" pitchFamily="18" charset="0"/>
                  <a:ea typeface="Cambria Math" panose="02040503050406030204" pitchFamily="18" charset="0"/>
                  <a:cs typeface="Sora" pitchFamily="2" charset="0"/>
                </a:rPr>
                <a:t>4</a:t>
              </a:r>
              <a:r>
                <a:rPr lang="en-US" sz="800" i="0">
                  <a:latin typeface="Cambria Math" panose="02040503050406030204" pitchFamily="18" charset="0"/>
                  <a:ea typeface="Cambria Math" panose="02040503050406030204" pitchFamily="18" charset="0"/>
                  <a:cs typeface="Sora" pitchFamily="2" charset="0"/>
                </a:rPr>
                <a:t>)/(</a:t>
              </a:r>
              <a:r>
                <a:rPr lang="pt-BR" sz="800" i="0">
                  <a:latin typeface="Cambria Math" panose="02040503050406030204" pitchFamily="18" charset="0"/>
                  <a:ea typeface="Cambria Math" panose="02040503050406030204" pitchFamily="18" charset="0"/>
                  <a:cs typeface="Sora" pitchFamily="2" charset="0"/>
                </a:rPr>
                <a:t>Average of last 2 quarters of Loans and advances to customers excluding anticipation of credit card receivables</a:t>
              </a:r>
              <a:r>
                <a:rPr lang="en-US" sz="800" i="0">
                  <a:latin typeface="Cambria Math" panose="02040503050406030204" pitchFamily="18" charset="0"/>
                  <a:ea typeface="Cambria Math" panose="02040503050406030204" pitchFamily="18" charset="0"/>
                  <a:cs typeface="Sora" pitchFamily="2" charset="0"/>
                </a:rPr>
                <a:t>)</a:t>
              </a: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 of risk excluding credit card:</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en-US" sz="800" i="0">
                  <a:latin typeface="Cambria Math" panose="02040503050406030204" pitchFamily="18" charset="0"/>
                  <a:ea typeface="Cambria Math" panose="02040503050406030204" pitchFamily="18" charset="0"/>
                  <a:cs typeface="Sora" pitchFamily="2" charset="0"/>
                </a:rPr>
                <a:t>(Impairment losses on financial assets</a:t>
              </a:r>
              <a:r>
                <a:rPr lang="pt-BR" sz="800" b="0" i="0">
                  <a:latin typeface="Cambria Math" panose="02040503050406030204" pitchFamily="18" charset="0"/>
                  <a:ea typeface="Cambria Math" panose="02040503050406030204" pitchFamily="18" charset="0"/>
                  <a:cs typeface="Sora" pitchFamily="2" charset="0"/>
                </a:rPr>
                <a:t> </a:t>
              </a:r>
              <a:r>
                <a:rPr lang="pt-BR" sz="800" i="0">
                  <a:latin typeface="Cambria Math" panose="02040503050406030204" pitchFamily="18" charset="0"/>
                  <a:ea typeface="Cambria Math" panose="02040503050406030204" pitchFamily="18" charset="0"/>
                </a:rPr>
                <a:t>× </a:t>
              </a:r>
              <a:r>
                <a:rPr lang="pt-BR" sz="800" i="0">
                  <a:latin typeface="Cambria Math" panose="02040503050406030204" pitchFamily="18" charset="0"/>
                  <a:ea typeface="Cambria Math" panose="02040503050406030204" pitchFamily="18" charset="0"/>
                  <a:cs typeface="Sora" pitchFamily="2" charset="0"/>
                </a:rPr>
                <a:t>4</a:t>
              </a:r>
              <a:r>
                <a:rPr lang="en-US" sz="800" i="0">
                  <a:latin typeface="Cambria Math" panose="02040503050406030204" pitchFamily="18" charset="0"/>
                  <a:ea typeface="Cambria Math" panose="02040503050406030204" pitchFamily="18" charset="0"/>
                  <a:cs typeface="Sora" pitchFamily="2" charset="0"/>
                </a:rPr>
                <a:t>)/(</a:t>
              </a:r>
              <a:r>
                <a:rPr lang="pt-BR" sz="800" i="0">
                  <a:latin typeface="Cambria Math" panose="02040503050406030204" pitchFamily="18" charset="0"/>
                  <a:ea typeface="Cambria Math" panose="02040503050406030204" pitchFamily="18" charset="0"/>
                  <a:cs typeface="Sora" pitchFamily="2" charset="0"/>
                </a:rPr>
                <a:t>Average of last 2 quarters of Loans and advances to customers excluding credit card</a:t>
              </a:r>
              <a:r>
                <a:rPr lang="en-US" sz="800" i="0">
                  <a:latin typeface="Cambria Math" panose="02040503050406030204" pitchFamily="18" charset="0"/>
                  <a:ea typeface="Cambria Math" panose="02040503050406030204" pitchFamily="18" charset="0"/>
                  <a:cs typeface="Sora" pitchFamily="2" charset="0"/>
                </a:rPr>
                <a:t>)</a:t>
              </a: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Cost-to-serve (CTS):</a:t>
              </a:r>
            </a:p>
            <a:p>
              <a:pPr algn="ctr"/>
              <a:endParaRPr lang="en-US"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r>
                <a:rPr lang="en-US"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((Personnel Expense+Administrative Expenses −</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Total CAC)</a:t>
              </a:r>
              <a:r>
                <a:rPr lang="en-US"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÷3)/(</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Average of the last 2 quarters Active Clients</a:t>
              </a:r>
              <a:r>
                <a:rPr lang="en-US"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  </a:t>
              </a:r>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pt-BR" sz="100" i="1">
                <a:solidFill>
                  <a:schemeClr val="tx1">
                    <a:lumMod val="85000"/>
                    <a:lumOff val="15000"/>
                  </a:schemeClr>
                </a:solidFill>
                <a:highlight>
                  <a:srgbClr val="FFFF00"/>
                </a:highlight>
                <a:latin typeface="Calibri" panose="020F0502020204030204" pitchFamily="34" charset="0"/>
                <a:ea typeface="Cambria Math" panose="02040503050406030204" pitchFamily="18" charset="0"/>
                <a:cs typeface="Calibri" panose="020F0502020204030204" pitchFamily="34" charset="0"/>
              </a:endParaRPr>
            </a:p>
          </xdr:txBody>
        </xdr:sp>
      </mc:Fallback>
    </mc:AlternateContent>
    <xdr:clientData/>
  </xdr:twoCellAnchor>
  <xdr:twoCellAnchor>
    <xdr:from>
      <xdr:col>7</xdr:col>
      <xdr:colOff>254000</xdr:colOff>
      <xdr:row>0</xdr:row>
      <xdr:rowOff>127258</xdr:rowOff>
    </xdr:from>
    <xdr:to>
      <xdr:col>7</xdr:col>
      <xdr:colOff>254000</xdr:colOff>
      <xdr:row>226</xdr:row>
      <xdr:rowOff>76200</xdr:rowOff>
    </xdr:to>
    <xdr:cxnSp macro="">
      <xdr:nvCxnSpPr>
        <xdr:cNvPr id="29" name="Straight Connector 28">
          <a:extLst>
            <a:ext uri="{FF2B5EF4-FFF2-40B4-BE49-F238E27FC236}">
              <a16:creationId xmlns:a16="http://schemas.microsoft.com/office/drawing/2014/main" id="{00000000-0008-0000-1600-00001D000000}"/>
            </a:ext>
          </a:extLst>
        </xdr:cNvPr>
        <xdr:cNvCxnSpPr>
          <a:cxnSpLocks/>
        </xdr:cNvCxnSpPr>
      </xdr:nvCxnSpPr>
      <xdr:spPr>
        <a:xfrm flipH="1">
          <a:off x="6121400" y="127258"/>
          <a:ext cx="0" cy="45872142"/>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161844</xdr:colOff>
      <xdr:row>116</xdr:row>
      <xdr:rowOff>169334</xdr:rowOff>
    </xdr:from>
    <xdr:to>
      <xdr:col>7</xdr:col>
      <xdr:colOff>128789</xdr:colOff>
      <xdr:row>146</xdr:row>
      <xdr:rowOff>166606</xdr:rowOff>
    </xdr:to>
    <mc:AlternateContent xmlns:mc="http://schemas.openxmlformats.org/markup-compatibility/2006" xmlns:a14="http://schemas.microsoft.com/office/drawing/2010/main">
      <mc:Choice Requires="a14">
        <xdr:sp macro="" textlink="">
          <xdr:nvSpPr>
            <xdr:cNvPr id="30" name="Retângulo 9">
              <a:extLst>
                <a:ext uri="{FF2B5EF4-FFF2-40B4-BE49-F238E27FC236}">
                  <a16:creationId xmlns:a16="http://schemas.microsoft.com/office/drawing/2014/main" id="{00000000-0008-0000-1600-00001E000000}"/>
                </a:ext>
              </a:extLst>
            </xdr:cNvPr>
            <xdr:cNvSpPr/>
          </xdr:nvSpPr>
          <xdr:spPr>
            <a:xfrm>
              <a:off x="161844" y="21520059"/>
              <a:ext cx="5764771" cy="5519011"/>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Coverage ratio:</a:t>
              </a:r>
            </a:p>
            <a:p>
              <a:endParaRPr lang="en-US" sz="5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ea typeface="Cambria Math" panose="02040503050406030204" pitchFamily="18" charset="0"/>
                          </a:rPr>
                        </m:ctrlPr>
                      </m:fPr>
                      <m:num>
                        <m:r>
                          <m:rPr>
                            <m:sty m:val="p"/>
                          </m:rPr>
                          <a:rPr lang="pt-BR" sz="900" i="0">
                            <a:latin typeface="Cambria Math" panose="02040503050406030204" pitchFamily="18" charset="0"/>
                            <a:ea typeface="Cambria Math" panose="02040503050406030204" pitchFamily="18" charset="0"/>
                          </a:rPr>
                          <m:t>Provision</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for</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expected</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credit</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loss</m:t>
                        </m:r>
                      </m:num>
                      <m:den>
                        <m:r>
                          <m:rPr>
                            <m:sty m:val="p"/>
                          </m:rPr>
                          <a:rPr lang="pt-BR" sz="900" b="0" i="0">
                            <a:latin typeface="Cambria Math" panose="02040503050406030204" pitchFamily="18" charset="0"/>
                            <a:ea typeface="Cambria Math" panose="02040503050406030204" pitchFamily="18" charset="0"/>
                          </a:rPr>
                          <m:t>O</m:t>
                        </m:r>
                        <m:r>
                          <m:rPr>
                            <m:sty m:val="p"/>
                          </m:rPr>
                          <a:rPr lang="pt-BR" sz="900" i="0">
                            <a:latin typeface="Cambria Math" panose="02040503050406030204" pitchFamily="18" charset="0"/>
                            <a:ea typeface="Cambria Math" panose="02040503050406030204" pitchFamily="18" charset="0"/>
                          </a:rPr>
                          <m:t>verdue</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higher</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than</m:t>
                        </m:r>
                        <m:r>
                          <a:rPr lang="pt-BR" sz="900" i="0">
                            <a:latin typeface="Cambria Math" panose="02040503050406030204" pitchFamily="18" charset="0"/>
                            <a:ea typeface="Cambria Math" panose="02040503050406030204" pitchFamily="18" charset="0"/>
                          </a:rPr>
                          <m:t> 90 </m:t>
                        </m:r>
                        <m:r>
                          <m:rPr>
                            <m:sty m:val="p"/>
                          </m:rPr>
                          <a:rPr lang="pt-BR" sz="900" i="0">
                            <a:latin typeface="Cambria Math" panose="02040503050406030204" pitchFamily="18" charset="0"/>
                            <a:ea typeface="Cambria Math" panose="02040503050406030204" pitchFamily="18" charset="0"/>
                          </a:rPr>
                          <m:t>days</m:t>
                        </m:r>
                      </m:den>
                    </m:f>
                  </m:oMath>
                </m:oMathPara>
              </a14:m>
              <a:endParaRPr lang="en-US" sz="900">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pt-BR" sz="900" b="1">
                  <a:latin typeface="Calibri" panose="020F0502020204030204" pitchFamily="34" charset="0"/>
                  <a:cs typeface="Calibri" panose="020F0502020204030204" pitchFamily="34" charset="0"/>
                </a:rPr>
                <a:t>Earning portfolio (IEP):</a:t>
              </a:r>
            </a:p>
            <a:p>
              <a:pPr algn="ctr"/>
              <a:r>
                <a:rPr lang="pt-BR" sz="900">
                  <a:latin typeface="Calibri" panose="020F0502020204030204" pitchFamily="34" charset="0"/>
                  <a:ea typeface="Inter" panose="020B0502030000000004" pitchFamily="34" charset="0"/>
                  <a:cs typeface="Calibri" panose="020F0502020204030204" pitchFamily="34" charset="0"/>
                </a:rPr>
                <a:t>Earnings Portfolio includes “Amounts due from financial institutions” + “Loans and advances to customers” + “Securities” + “Derivatives” from the IFRS Balance Sheet</a:t>
              </a: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Efficiency ratio:</a:t>
              </a:r>
            </a:p>
            <a:p>
              <a:pPr algn="ctr"/>
              <a:endParaRPr lang="en-US" sz="500">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ea typeface="Cambria Math" panose="02040503050406030204" pitchFamily="18" charset="0"/>
                          </a:rPr>
                        </m:ctrlPr>
                      </m:fPr>
                      <m:num>
                        <m:eqArr>
                          <m:eqArrPr>
                            <m:ctrlPr>
                              <a:rPr lang="pt-BR" sz="900" i="1">
                                <a:latin typeface="Cambria Math" panose="02040503050406030204" pitchFamily="18" charset="0"/>
                                <a:ea typeface="Cambria Math" panose="02040503050406030204" pitchFamily="18" charset="0"/>
                              </a:rPr>
                            </m:ctrlPr>
                          </m:eqArrPr>
                          <m:e>
                            <m:r>
                              <a:rPr lang="pt-BR" sz="900" i="0">
                                <a:latin typeface="Cambria Math" panose="02040503050406030204" pitchFamily="18" charset="0"/>
                                <a:ea typeface="Cambria Math" panose="02040503050406030204" pitchFamily="18" charset="0"/>
                              </a:rPr>
                              <m:t> </m:t>
                            </m:r>
                          </m:e>
                          <m:e>
                            <m:r>
                              <m:rPr>
                                <m:sty m:val="p"/>
                              </m:rPr>
                              <a:rPr lang="pt-BR" sz="900" i="0">
                                <a:latin typeface="Cambria Math" panose="02040503050406030204" pitchFamily="18" charset="0"/>
                                <a:ea typeface="Cambria Math" panose="02040503050406030204" pitchFamily="18" charset="0"/>
                              </a:rPr>
                              <m:t>Personnel</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expense</m:t>
                            </m:r>
                            <m:r>
                              <a:rPr lang="pt-BR" sz="900" i="0">
                                <a:latin typeface="Cambria Math" panose="02040503050406030204" pitchFamily="18" charset="0"/>
                                <a:ea typeface="Cambria Math" panose="02040503050406030204" pitchFamily="18" charset="0"/>
                              </a:rPr>
                              <m:t>+</m:t>
                            </m:r>
                            <m:r>
                              <m:rPr>
                                <m:sty m:val="p"/>
                              </m:rPr>
                              <a:rPr lang="pt-BR" sz="900" i="0">
                                <a:latin typeface="Cambria Math" panose="02040503050406030204" pitchFamily="18" charset="0"/>
                                <a:ea typeface="Cambria Math" panose="02040503050406030204" pitchFamily="18" charset="0"/>
                              </a:rPr>
                              <m:t>Administrative</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expenses</m:t>
                            </m:r>
                            <m:r>
                              <a:rPr lang="pt-BR" sz="900" b="0" i="0">
                                <a:latin typeface="Cambria Math" panose="02040503050406030204" pitchFamily="18" charset="0"/>
                                <a:ea typeface="Cambria Math" panose="02040503050406030204" pitchFamily="18" charset="0"/>
                              </a:rPr>
                              <m:t>+</m:t>
                            </m:r>
                            <m:r>
                              <m:rPr>
                                <m:sty m:val="p"/>
                              </m:rPr>
                              <a:rPr lang="pt-BR" sz="900" b="0" i="0">
                                <a:latin typeface="Cambria Math" panose="02040503050406030204" pitchFamily="18" charset="0"/>
                                <a:ea typeface="Cambria Math" panose="02040503050406030204" pitchFamily="18" charset="0"/>
                              </a:rPr>
                              <m:t>Depreciation</m:t>
                            </m:r>
                            <m:r>
                              <a:rPr lang="pt-BR" sz="900" b="0" i="0">
                                <a:latin typeface="Cambria Math" panose="02040503050406030204" pitchFamily="18" charset="0"/>
                                <a:ea typeface="Cambria Math" panose="02040503050406030204" pitchFamily="18" charset="0"/>
                              </a:rPr>
                              <m:t> </m:t>
                            </m:r>
                            <m:r>
                              <m:rPr>
                                <m:sty m:val="p"/>
                              </m:rPr>
                              <a:rPr lang="pt-BR" sz="900" b="0" i="0">
                                <a:latin typeface="Cambria Math" panose="02040503050406030204" pitchFamily="18" charset="0"/>
                                <a:ea typeface="Cambria Math" panose="02040503050406030204" pitchFamily="18" charset="0"/>
                              </a:rPr>
                              <m:t>and</m:t>
                            </m:r>
                            <m:r>
                              <a:rPr lang="pt-BR" sz="900" b="0" i="0">
                                <a:latin typeface="Cambria Math" panose="02040503050406030204" pitchFamily="18" charset="0"/>
                                <a:ea typeface="Cambria Math" panose="02040503050406030204" pitchFamily="18" charset="0"/>
                              </a:rPr>
                              <m:t> </m:t>
                            </m:r>
                            <m:r>
                              <m:rPr>
                                <m:sty m:val="p"/>
                              </m:rPr>
                              <a:rPr lang="pt-BR" sz="900" b="0" i="0">
                                <a:latin typeface="Cambria Math" panose="02040503050406030204" pitchFamily="18" charset="0"/>
                                <a:ea typeface="Cambria Math" panose="02040503050406030204" pitchFamily="18" charset="0"/>
                              </a:rPr>
                              <m:t>amortization</m:t>
                            </m:r>
                            <m:r>
                              <a:rPr lang="pt-BR" sz="900" b="0" i="0">
                                <a:latin typeface="Cambria Math" panose="02040503050406030204" pitchFamily="18" charset="0"/>
                                <a:ea typeface="Cambria Math" panose="02040503050406030204" pitchFamily="18" charset="0"/>
                              </a:rPr>
                              <m:t> </m:t>
                            </m:r>
                          </m:e>
                        </m:eqArr>
                      </m:num>
                      <m:den>
                        <m:r>
                          <m:rPr>
                            <m:sty m:val="p"/>
                          </m:rPr>
                          <a:rPr lang="pt-BR" sz="900" i="1">
                            <a:latin typeface="Cambria Math" panose="02040503050406030204" pitchFamily="18" charset="0"/>
                            <a:ea typeface="Cambria Math" panose="02040503050406030204" pitchFamily="18" charset="0"/>
                          </a:rPr>
                          <m:t>Net</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Interest</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Income</m:t>
                        </m:r>
                        <m:r>
                          <a:rPr lang="pt-BR" sz="900" i="1">
                            <a:latin typeface="Cambria Math" panose="02040503050406030204" pitchFamily="18" charset="0"/>
                            <a:ea typeface="Cambria Math" panose="02040503050406030204" pitchFamily="18" charset="0"/>
                          </a:rPr>
                          <m:t>+</m:t>
                        </m:r>
                        <m:r>
                          <m:rPr>
                            <m:sty m:val="p"/>
                          </m:rPr>
                          <a:rPr lang="pt-BR" sz="900" i="1">
                            <a:latin typeface="Cambria Math" panose="02040503050406030204" pitchFamily="18" charset="0"/>
                            <a:ea typeface="Cambria Math" panose="02040503050406030204" pitchFamily="18" charset="0"/>
                          </a:rPr>
                          <m:t>Net</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result</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from</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services</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and</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comissions</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Other</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revenue</m:t>
                        </m:r>
                        <m:r>
                          <a:rPr lang="pt-BR" sz="900" i="1">
                            <a:latin typeface="Cambria Math" panose="02040503050406030204" pitchFamily="18" charset="0"/>
                            <a:ea typeface="Cambria Math" panose="02040503050406030204" pitchFamily="18" charset="0"/>
                          </a:rPr>
                          <m:t>−</m:t>
                        </m:r>
                        <m:r>
                          <m:rPr>
                            <m:sty m:val="p"/>
                          </m:rPr>
                          <a:rPr lang="pt-BR" sz="900" i="1">
                            <a:latin typeface="Cambria Math" panose="02040503050406030204" pitchFamily="18" charset="0"/>
                            <a:ea typeface="Cambria Math" panose="02040503050406030204" pitchFamily="18" charset="0"/>
                          </a:rPr>
                          <m:t>Tax</m:t>
                        </m:r>
                        <m:r>
                          <a:rPr lang="pt-BR" sz="900" i="1">
                            <a:latin typeface="Cambria Math" panose="02040503050406030204" pitchFamily="18" charset="0"/>
                            <a:ea typeface="Cambria Math" panose="02040503050406030204" pitchFamily="18" charset="0"/>
                          </a:rPr>
                          <m:t> </m:t>
                        </m:r>
                        <m:r>
                          <m:rPr>
                            <m:sty m:val="p"/>
                          </m:rPr>
                          <a:rPr lang="pt-BR" sz="900" i="1">
                            <a:latin typeface="Cambria Math" panose="02040503050406030204" pitchFamily="18" charset="0"/>
                            <a:ea typeface="Cambria Math" panose="02040503050406030204" pitchFamily="18" charset="0"/>
                          </a:rPr>
                          <m:t>expense</m:t>
                        </m:r>
                      </m:den>
                    </m:f>
                    <m:r>
                      <a:rPr lang="pt-BR" sz="900" i="1">
                        <a:latin typeface="Cambria Math" panose="02040503050406030204" pitchFamily="18" charset="0"/>
                        <a:ea typeface="Cambria Math" panose="02040503050406030204" pitchFamily="18" charset="0"/>
                      </a:rPr>
                      <m:t> </m:t>
                    </m:r>
                  </m:oMath>
                </m:oMathPara>
              </a14:m>
              <a:endParaRPr lang="pt-BR" sz="900" i="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a:p>
              <a:r>
                <a:rPr lang="pt-BR" sz="900" b="1">
                  <a:latin typeface="Calibri" panose="020F0502020204030204" pitchFamily="34" charset="0"/>
                  <a:cs typeface="Calibri" panose="020F0502020204030204" pitchFamily="34" charset="0"/>
                </a:rPr>
                <a:t>Fee income ratio:</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ea typeface="Cambria Math" panose="02040503050406030204" pitchFamily="18" charset="0"/>
                          </a:rPr>
                        </m:ctrlPr>
                      </m:fPr>
                      <m:num>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Net</m:t>
                        </m:r>
                        <m: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result</m:t>
                        </m:r>
                        <m: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from</m:t>
                        </m:r>
                        <m: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services</m:t>
                        </m:r>
                        <m: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and</m:t>
                        </m:r>
                        <m: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commissions</m:t>
                        </m:r>
                        <m: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 </m:t>
                        </m:r>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Other</m:t>
                        </m:r>
                        <m: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revenue</m:t>
                        </m:r>
                      </m:num>
                      <m:den>
                        <m:r>
                          <m:rPr>
                            <m:sty m:val="p"/>
                          </m:rPr>
                          <a:rPr lang="pt-BR" sz="900">
                            <a:latin typeface="Cambria Math" panose="02040503050406030204" pitchFamily="18" charset="0"/>
                            <a:ea typeface="Cambria Math" panose="02040503050406030204" pitchFamily="18" charset="0"/>
                          </a:rPr>
                          <m:t>Net</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Interest</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Income</m:t>
                        </m:r>
                        <m:r>
                          <a:rPr lang="pt-BR" sz="900">
                            <a:latin typeface="Cambria Math" panose="02040503050406030204" pitchFamily="18" charset="0"/>
                            <a:ea typeface="Cambria Math" panose="02040503050406030204" pitchFamily="18" charset="0"/>
                          </a:rPr>
                          <m:t>+</m:t>
                        </m:r>
                        <m:r>
                          <m:rPr>
                            <m:sty m:val="p"/>
                          </m:rPr>
                          <a:rPr lang="pt-BR" sz="900">
                            <a:latin typeface="Cambria Math" panose="02040503050406030204" pitchFamily="18" charset="0"/>
                            <a:ea typeface="Cambria Math" panose="02040503050406030204" pitchFamily="18" charset="0"/>
                          </a:rPr>
                          <m:t>Net</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result</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from</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services</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and</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comissions</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Other</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revenue</m:t>
                        </m:r>
                        <m:r>
                          <a:rPr lang="pt-BR" sz="900">
                            <a:latin typeface="Cambria Math" panose="02040503050406030204" pitchFamily="18" charset="0"/>
                            <a:ea typeface="Cambria Math" panose="02040503050406030204" pitchFamily="18" charset="0"/>
                          </a:rPr>
                          <m:t>−</m:t>
                        </m:r>
                        <m:r>
                          <m:rPr>
                            <m:sty m:val="p"/>
                          </m:rPr>
                          <a:rPr lang="pt-BR" sz="900">
                            <a:latin typeface="Cambria Math" panose="02040503050406030204" pitchFamily="18" charset="0"/>
                            <a:ea typeface="Cambria Math" panose="02040503050406030204" pitchFamily="18" charset="0"/>
                          </a:rPr>
                          <m:t>Tax</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expense</m:t>
                        </m:r>
                      </m:den>
                    </m:f>
                  </m:oMath>
                </m:oMathPara>
              </a14:m>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a:p>
              <a:r>
                <a:rPr lang="pt-BR" sz="900" b="1">
                  <a:latin typeface="Calibri" panose="020F0502020204030204" pitchFamily="34" charset="0"/>
                  <a:cs typeface="Calibri" panose="020F0502020204030204" pitchFamily="34" charset="0"/>
                </a:rPr>
                <a:t>Funding:</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lgn="ctr"/>
              <a14:m>
                <m:oMath xmlns:m="http://schemas.openxmlformats.org/officeDocument/2006/math">
                  <m:r>
                    <m:rPr>
                      <m:nor/>
                    </m:rPr>
                    <a:rPr lang="pt-BR" sz="900">
                      <a:latin typeface="Calibri" panose="020F0502020204030204" pitchFamily="34" charset="0"/>
                      <a:ea typeface="Inter" panose="020B0502030000000004" pitchFamily="34" charset="0"/>
                      <a:cs typeface="Calibri" panose="020F0502020204030204" pitchFamily="34" charset="0"/>
                    </a:rPr>
                    <m:t>Demand</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Deposits</m:t>
                  </m:r>
                  <m:r>
                    <m:rPr>
                      <m:nor/>
                    </m:rPr>
                    <a:rPr lang="pt-BR" sz="900">
                      <a:latin typeface="Calibri" panose="020F0502020204030204" pitchFamily="34" charset="0"/>
                      <a:ea typeface="Inter" panose="020B0502030000000004" pitchFamily="34" charset="0"/>
                      <a:cs typeface="Calibri" panose="020F0502020204030204" pitchFamily="34" charset="0"/>
                    </a:rPr>
                    <m:t> + </m:t>
                  </m:r>
                  <m:r>
                    <m:rPr>
                      <m:nor/>
                    </m:rPr>
                    <a:rPr lang="pt-BR" sz="900">
                      <a:latin typeface="Calibri" panose="020F0502020204030204" pitchFamily="34" charset="0"/>
                      <a:ea typeface="Inter" panose="020B0502030000000004" pitchFamily="34" charset="0"/>
                      <a:cs typeface="Calibri" panose="020F0502020204030204" pitchFamily="34" charset="0"/>
                    </a:rPr>
                    <m:t>Time</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Deposits</m:t>
                  </m:r>
                  <m:r>
                    <m:rPr>
                      <m:nor/>
                    </m:rPr>
                    <a:rPr lang="pt-BR" sz="900">
                      <a:latin typeface="Calibri" panose="020F0502020204030204" pitchFamily="34" charset="0"/>
                      <a:ea typeface="Inter" panose="020B0502030000000004" pitchFamily="34" charset="0"/>
                      <a:cs typeface="Calibri" panose="020F0502020204030204" pitchFamily="34" charset="0"/>
                    </a:rPr>
                    <m:t> + </m:t>
                  </m:r>
                  <m:r>
                    <m:rPr>
                      <m:nor/>
                    </m:rPr>
                    <a:rPr lang="pt-BR" sz="900">
                      <a:latin typeface="Calibri" panose="020F0502020204030204" pitchFamily="34" charset="0"/>
                      <a:ea typeface="Inter" panose="020B0502030000000004" pitchFamily="34" charset="0"/>
                      <a:cs typeface="Calibri" panose="020F0502020204030204" pitchFamily="34" charset="0"/>
                    </a:rPr>
                    <m:t>Securities</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Issued</m:t>
                  </m:r>
                  <m:r>
                    <m:rPr>
                      <m:nor/>
                    </m:rPr>
                    <a:rPr lang="pt-BR" sz="900">
                      <a:latin typeface="Calibri" panose="020F0502020204030204" pitchFamily="34" charset="0"/>
                      <a:ea typeface="Inter" panose="020B0502030000000004" pitchFamily="34" charset="0"/>
                      <a:cs typeface="Calibri" panose="020F0502020204030204" pitchFamily="34" charset="0"/>
                    </a:rPr>
                    <m:t> + </m:t>
                  </m:r>
                  <m:r>
                    <m:rPr>
                      <m:nor/>
                    </m:rPr>
                    <a:rPr lang="pt-BR" sz="900">
                      <a:latin typeface="Calibri" panose="020F0502020204030204" pitchFamily="34" charset="0"/>
                      <a:ea typeface="Inter" panose="020B0502030000000004" pitchFamily="34" charset="0"/>
                      <a:cs typeface="Calibri" panose="020F0502020204030204" pitchFamily="34" charset="0"/>
                    </a:rPr>
                    <m:t>Savings</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Deposits</m:t>
                  </m:r>
                  <m:r>
                    <m:rPr>
                      <m:nor/>
                    </m:rPr>
                    <a:rPr lang="pt-BR" sz="900">
                      <a:latin typeface="Calibri" panose="020F0502020204030204" pitchFamily="34" charset="0"/>
                      <a:ea typeface="Inter" panose="020B0502030000000004" pitchFamily="34" charset="0"/>
                      <a:cs typeface="Calibri" panose="020F0502020204030204" pitchFamily="34" charset="0"/>
                    </a:rPr>
                    <m:t> + </m:t>
                  </m:r>
                  <m:r>
                    <m:rPr>
                      <m:nor/>
                    </m:rPr>
                    <a:rPr lang="pt-BR" sz="900">
                      <a:latin typeface="Calibri" panose="020F0502020204030204" pitchFamily="34" charset="0"/>
                      <a:ea typeface="Inter" panose="020B0502030000000004" pitchFamily="34" charset="0"/>
                      <a:cs typeface="Calibri" panose="020F0502020204030204" pitchFamily="34" charset="0"/>
                    </a:rPr>
                    <m:t>Creditors</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by</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Resources</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to</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Release</m:t>
                  </m:r>
                </m:oMath>
              </a14:m>
              <a:r>
                <a:rPr lang="en-US" sz="900">
                  <a:latin typeface="Calibri" panose="020F0502020204030204" pitchFamily="34" charset="0"/>
                  <a:ea typeface="Inter" panose="020B0502030000000004" pitchFamily="34" charset="0"/>
                  <a:cs typeface="Calibri" panose="020F0502020204030204" pitchFamily="34" charset="0"/>
                </a:rPr>
                <a:t> +</a:t>
              </a:r>
              <a:br>
                <a:rPr lang="en-US" sz="900">
                  <a:latin typeface="Calibri" panose="020F0502020204030204" pitchFamily="34" charset="0"/>
                  <a:ea typeface="Inter" panose="020B0502030000000004" pitchFamily="34" charset="0"/>
                  <a:cs typeface="Calibri" panose="020F0502020204030204" pitchFamily="34" charset="0"/>
                </a:rPr>
              </a:br>
              <a:r>
                <a:rPr lang="en-US" sz="900">
                  <a:latin typeface="Calibri" panose="020F0502020204030204" pitchFamily="34" charset="0"/>
                  <a:ea typeface="Inter" panose="020B0502030000000004" pitchFamily="34" charset="0"/>
                  <a:cs typeface="Calibri" panose="020F0502020204030204" pitchFamily="34" charset="0"/>
                </a:rPr>
                <a:t>Securities sold under agreements to repurchase + Interbank deposits + Borrowing and onlending</a:t>
              </a:r>
            </a:p>
            <a:p>
              <a:endParaRPr lang="en-US" sz="500">
                <a:solidFill>
                  <a:schemeClr val="tx1"/>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loan portfolio:</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lgn="just"/>
              <a14:m>
                <m:oMathPara xmlns:m="http://schemas.openxmlformats.org/officeDocument/2006/math">
                  <m:oMathParaPr>
                    <m:jc m:val="centerGroup"/>
                  </m:oMathParaPr>
                  <m:oMath xmlns:m="http://schemas.openxmlformats.org/officeDocument/2006/math">
                    <m:r>
                      <m:rPr>
                        <m:nor/>
                      </m:rPr>
                      <a:rPr lang="pt-BR" sz="900">
                        <a:latin typeface="Calibri" panose="020F0502020204030204" pitchFamily="34" charset="0"/>
                        <a:ea typeface="Inter" panose="020B0502030000000004" pitchFamily="34" charset="0"/>
                        <a:cs typeface="Calibri" panose="020F0502020204030204" pitchFamily="34" charset="0"/>
                      </a:rPr>
                      <m:t>Loans</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and</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Advance</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to</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Customers</m:t>
                    </m:r>
                    <m:r>
                      <m:rPr>
                        <m:nor/>
                      </m:rPr>
                      <a:rPr lang="pt-BR" sz="900">
                        <a:latin typeface="Calibri" panose="020F0502020204030204" pitchFamily="34" charset="0"/>
                        <a:ea typeface="Inter" panose="020B0502030000000004" pitchFamily="34" charset="0"/>
                        <a:cs typeface="Calibri" panose="020F0502020204030204" pitchFamily="34" charset="0"/>
                      </a:rPr>
                      <m:t> + </m:t>
                    </m:r>
                    <m:r>
                      <m:rPr>
                        <m:nor/>
                      </m:rPr>
                      <a:rPr lang="pt-BR" sz="900">
                        <a:latin typeface="Calibri" panose="020F0502020204030204" pitchFamily="34" charset="0"/>
                        <a:ea typeface="Inter" panose="020B0502030000000004" pitchFamily="34" charset="0"/>
                        <a:cs typeface="Calibri" panose="020F0502020204030204" pitchFamily="34" charset="0"/>
                      </a:rPr>
                      <m:t>Loans</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to</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financial</m:t>
                    </m:r>
                    <m:r>
                      <m:rPr>
                        <m:nor/>
                      </m:rPr>
                      <a:rPr lang="pt-BR" sz="900">
                        <a:latin typeface="Calibri" panose="020F0502020204030204" pitchFamily="34" charset="0"/>
                        <a:ea typeface="Inter" panose="020B0502030000000004" pitchFamily="34" charset="0"/>
                        <a:cs typeface="Calibri" panose="020F0502020204030204" pitchFamily="34" charset="0"/>
                      </a:rPr>
                      <m:t> </m:t>
                    </m:r>
                    <m:r>
                      <m:rPr>
                        <m:nor/>
                      </m:rPr>
                      <a:rPr lang="pt-BR" sz="900">
                        <a:latin typeface="Calibri" panose="020F0502020204030204" pitchFamily="34" charset="0"/>
                        <a:ea typeface="Inter" panose="020B0502030000000004" pitchFamily="34" charset="0"/>
                        <a:cs typeface="Calibri" panose="020F0502020204030204" pitchFamily="34" charset="0"/>
                      </a:rPr>
                      <m:t>institutions</m:t>
                    </m:r>
                    <m:r>
                      <m:rPr>
                        <m:nor/>
                      </m:rPr>
                      <a:rPr lang="pt-BR" sz="900">
                        <a:latin typeface="Calibri" panose="020F0502020204030204" pitchFamily="34" charset="0"/>
                        <a:ea typeface="Inter" panose="020B0502030000000004" pitchFamily="34" charset="0"/>
                        <a:cs typeface="Calibri" panose="020F0502020204030204" pitchFamily="34" charset="0"/>
                      </a:rPr>
                      <m:t>  </m:t>
                    </m:r>
                  </m:oMath>
                </m:oMathPara>
              </a14:m>
              <a:endParaRPr lang="en-US" sz="900">
                <a:latin typeface="Calibri" panose="020F0502020204030204" pitchFamily="34" charset="0"/>
                <a:ea typeface="Inter" panose="020B0502030000000004" pitchFamily="34"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margin per active client gross of interest expenses:</a:t>
              </a:r>
            </a:p>
            <a:p>
              <a:endParaRPr lang="en-US" sz="9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r>
                      <m:rPr>
                        <m:sty m:val="p"/>
                      </m:rPr>
                      <a:rPr lang="pt-BR" sz="900">
                        <a:latin typeface="Cambria Math" panose="02040503050406030204" pitchFamily="18" charset="0"/>
                        <a:ea typeface="Inter" panose="020B0502030000000004" pitchFamily="34" charset="0"/>
                      </a:rPr>
                      <m:t>ARPAC</m:t>
                    </m:r>
                    <m:r>
                      <a:rPr lang="pt-BR" sz="90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g</m:t>
                    </m:r>
                    <m:r>
                      <m:rPr>
                        <m:sty m:val="p"/>
                      </m:rPr>
                      <a:rPr lang="pt-BR" sz="900">
                        <a:latin typeface="Cambria Math" panose="02040503050406030204" pitchFamily="18" charset="0"/>
                        <a:ea typeface="Inter" panose="020B0502030000000004" pitchFamily="34" charset="0"/>
                      </a:rPr>
                      <m:t>ross</m:t>
                    </m:r>
                    <m:r>
                      <a:rPr lang="pt-BR" sz="900">
                        <a:latin typeface="Cambria Math" panose="02040503050406030204" pitchFamily="18" charset="0"/>
                        <a:ea typeface="Inter" panose="020B0502030000000004" pitchFamily="34" charset="0"/>
                      </a:rPr>
                      <m:t> </m:t>
                    </m:r>
                    <m:r>
                      <m:rPr>
                        <m:sty m:val="p"/>
                      </m:rPr>
                      <a:rPr lang="pt-BR" sz="900">
                        <a:latin typeface="Cambria Math" panose="02040503050406030204" pitchFamily="18" charset="0"/>
                        <a:ea typeface="Inter" panose="020B0502030000000004" pitchFamily="34" charset="0"/>
                      </a:rPr>
                      <m:t>of</m:t>
                    </m:r>
                    <m:r>
                      <a:rPr lang="pt-BR" sz="90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interest</m:t>
                    </m:r>
                    <m:r>
                      <a:rPr lang="pt-BR" sz="900" b="0" i="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expenses</m:t>
                    </m:r>
                    <m:r>
                      <a:rPr lang="pt-BR" sz="90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C</m:t>
                    </m:r>
                    <m:r>
                      <m:rPr>
                        <m:sty m:val="p"/>
                      </m:rPr>
                      <a:rPr lang="pt-BR" sz="900">
                        <a:latin typeface="Cambria Math" panose="02040503050406030204" pitchFamily="18" charset="0"/>
                        <a:ea typeface="Inter" panose="020B0502030000000004" pitchFamily="34" charset="0"/>
                      </a:rPr>
                      <m:t>ost</m:t>
                    </m:r>
                    <m:r>
                      <a:rPr lang="pt-BR" sz="900" b="0" i="0">
                        <a:latin typeface="Cambria Math" panose="02040503050406030204" pitchFamily="18" charset="0"/>
                        <a:ea typeface="Inter" panose="020B0502030000000004" pitchFamily="34" charset="0"/>
                      </a:rPr>
                      <m:t> </m:t>
                    </m:r>
                    <m:r>
                      <m:rPr>
                        <m:sty m:val="p"/>
                      </m:rPr>
                      <a:rPr lang="pt-BR" sz="900">
                        <a:latin typeface="Cambria Math" panose="02040503050406030204" pitchFamily="18" charset="0"/>
                        <a:ea typeface="Inter" panose="020B0502030000000004" pitchFamily="34" charset="0"/>
                      </a:rPr>
                      <m:t>to</m:t>
                    </m:r>
                    <m:r>
                      <a:rPr lang="pt-BR" sz="900" b="0" i="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Serve</m:t>
                    </m:r>
                  </m:oMath>
                </m:oMathPara>
              </a14:m>
              <a:endParaRPr lang="pt-BR" sz="900" b="1">
                <a:latin typeface="Calibri" panose="020F0502020204030204" pitchFamily="34"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xdr:txBody>
        </xdr:sp>
      </mc:Choice>
      <mc:Fallback xmlns="">
        <xdr:sp macro="" textlink="">
          <xdr:nvSpPr>
            <xdr:cNvPr id="30" name="Retângulo 9">
              <a:extLst>
                <a:ext uri="{FF2B5EF4-FFF2-40B4-BE49-F238E27FC236}">
                  <a16:creationId xmlns:a16="http://schemas.microsoft.com/office/drawing/2014/main" id="{70BBBFDC-97EA-DB78-9935-3D590DAA2910}"/>
                </a:ext>
              </a:extLst>
            </xdr:cNvPr>
            <xdr:cNvSpPr/>
          </xdr:nvSpPr>
          <xdr:spPr>
            <a:xfrm>
              <a:off x="161844" y="21520059"/>
              <a:ext cx="5764771" cy="5519011"/>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Coverage ratio:</a:t>
              </a:r>
            </a:p>
            <a:p>
              <a:endParaRPr lang="en-US" sz="5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r>
                <a:rPr lang="pt-BR" sz="900" i="0">
                  <a:latin typeface="Cambria Math" panose="02040503050406030204" pitchFamily="18" charset="0"/>
                  <a:ea typeface="Cambria Math" panose="02040503050406030204" pitchFamily="18" charset="0"/>
                </a:rPr>
                <a:t>(Provision for expected credit loss)/(</a:t>
              </a:r>
              <a:r>
                <a:rPr lang="pt-BR" sz="900" b="0" i="0">
                  <a:latin typeface="Cambria Math" panose="02040503050406030204" pitchFamily="18" charset="0"/>
                  <a:ea typeface="Cambria Math" panose="02040503050406030204" pitchFamily="18" charset="0"/>
                </a:rPr>
                <a:t>O</a:t>
              </a:r>
              <a:r>
                <a:rPr lang="pt-BR" sz="900" i="0">
                  <a:latin typeface="Cambria Math" panose="02040503050406030204" pitchFamily="18" charset="0"/>
                  <a:ea typeface="Cambria Math" panose="02040503050406030204" pitchFamily="18" charset="0"/>
                </a:rPr>
                <a:t>verdue higher than 90 days)</a:t>
              </a:r>
              <a:endParaRPr lang="en-US" sz="900">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pt-BR" sz="900" b="1">
                  <a:latin typeface="Calibri" panose="020F0502020204030204" pitchFamily="34" charset="0"/>
                  <a:cs typeface="Calibri" panose="020F0502020204030204" pitchFamily="34" charset="0"/>
                </a:rPr>
                <a:t>Earning portfolio (IEP):</a:t>
              </a:r>
            </a:p>
            <a:p>
              <a:pPr algn="ctr"/>
              <a:r>
                <a:rPr lang="pt-BR" sz="900">
                  <a:latin typeface="Calibri" panose="020F0502020204030204" pitchFamily="34" charset="0"/>
                  <a:ea typeface="Inter" panose="020B0502030000000004" pitchFamily="34" charset="0"/>
                  <a:cs typeface="Calibri" panose="020F0502020204030204" pitchFamily="34" charset="0"/>
                </a:rPr>
                <a:t>Earnings Portfolio includes “Amounts due from financial institutions” + “Loans and advances to customers” + “Securities” + “Derivatives” from the IFRS Balance Sheet</a:t>
              </a: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Efficiency ratio:</a:t>
              </a:r>
            </a:p>
            <a:p>
              <a:pPr algn="ctr"/>
              <a:endParaRPr lang="en-US" sz="500">
                <a:latin typeface="Calibri" panose="020F0502020204030204" pitchFamily="34" charset="0"/>
                <a:ea typeface="Cambria Math" panose="02040503050406030204" pitchFamily="18" charset="0"/>
                <a:cs typeface="Calibri" panose="020F0502020204030204" pitchFamily="34" charset="0"/>
              </a:endParaRPr>
            </a:p>
            <a:p>
              <a:pPr algn="ctr"/>
              <a:r>
                <a:rPr lang="pt-BR" sz="900" i="0">
                  <a:latin typeface="Cambria Math" panose="02040503050406030204" pitchFamily="18" charset="0"/>
                  <a:ea typeface="Cambria Math" panose="02040503050406030204" pitchFamily="18" charset="0"/>
                </a:rPr>
                <a:t>█( @Personnel expense+Administrative expenses</a:t>
              </a:r>
              <a:r>
                <a:rPr lang="pt-BR" sz="900" b="0" i="0">
                  <a:latin typeface="Cambria Math" panose="02040503050406030204" pitchFamily="18" charset="0"/>
                  <a:ea typeface="Cambria Math" panose="02040503050406030204" pitchFamily="18" charset="0"/>
                </a:rPr>
                <a:t>+Depreciation and amortization )/(</a:t>
              </a:r>
              <a:r>
                <a:rPr lang="pt-BR" sz="900" i="0">
                  <a:latin typeface="Cambria Math" panose="02040503050406030204" pitchFamily="18" charset="0"/>
                  <a:ea typeface="Cambria Math" panose="02040503050406030204" pitchFamily="18" charset="0"/>
                </a:rPr>
                <a:t>Net Interest Income+Net result from services and comissions+ Other revenue−Tax expense)  </a:t>
              </a:r>
              <a:endParaRPr lang="pt-BR" sz="900" i="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a:p>
              <a:r>
                <a:rPr lang="pt-BR" sz="900" b="1">
                  <a:latin typeface="Calibri" panose="020F0502020204030204" pitchFamily="34" charset="0"/>
                  <a:cs typeface="Calibri" panose="020F0502020204030204" pitchFamily="34" charset="0"/>
                </a:rPr>
                <a:t>Fee income ratio:</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r>
                <a:rPr lang="pt-BR" sz="900" i="0">
                  <a:latin typeface="Cambria Math" panose="02040503050406030204" pitchFamily="18" charset="0"/>
                  <a:ea typeface="Cambria Math" panose="02040503050406030204" pitchFamily="18" charset="0"/>
                </a:rPr>
                <a:t>(</a:t>
              </a:r>
              <a: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Net result from services and commissions + Other revenue)/(</a:t>
              </a:r>
              <a:r>
                <a:rPr lang="pt-BR" sz="900" i="0">
                  <a:latin typeface="Cambria Math" panose="02040503050406030204" pitchFamily="18" charset="0"/>
                  <a:ea typeface="Cambria Math" panose="02040503050406030204" pitchFamily="18" charset="0"/>
                </a:rPr>
                <a:t>Net Interest Income+Net result from services and comissions+ Other revenue−Tax expense)</a:t>
              </a:r>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a:p>
              <a:r>
                <a:rPr lang="pt-BR" sz="900" b="1">
                  <a:latin typeface="Calibri" panose="020F0502020204030204" pitchFamily="34" charset="0"/>
                  <a:cs typeface="Calibri" panose="020F0502020204030204" pitchFamily="34" charset="0"/>
                </a:rPr>
                <a:t>Funding:</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lgn="ctr"/>
              <a:r>
                <a:rPr lang="pt-BR" sz="900" i="0">
                  <a:latin typeface="Cambria Math" panose="02040503050406030204" pitchFamily="18" charset="0"/>
                  <a:ea typeface="Inter" panose="020B0502030000000004" pitchFamily="34" charset="0"/>
                  <a:cs typeface="Calibri" panose="020F0502020204030204" pitchFamily="34" charset="0"/>
                </a:rPr>
                <a:t>"Demand Deposits + Time Deposits + Securities Issued + Savings Deposits + Creditors by Resources to Release</a:t>
              </a:r>
              <a:r>
                <a:rPr lang="en-US" sz="900" i="0">
                  <a:latin typeface="Calibri" panose="020F0502020204030204" pitchFamily="34" charset="0"/>
                  <a:ea typeface="Inter" panose="020B0502030000000004" pitchFamily="34" charset="0"/>
                  <a:cs typeface="Calibri" panose="020F0502020204030204" pitchFamily="34" charset="0"/>
                </a:rPr>
                <a:t>"</a:t>
              </a:r>
              <a:r>
                <a:rPr lang="en-US" sz="900">
                  <a:latin typeface="Calibri" panose="020F0502020204030204" pitchFamily="34" charset="0"/>
                  <a:ea typeface="Inter" panose="020B0502030000000004" pitchFamily="34" charset="0"/>
                  <a:cs typeface="Calibri" panose="020F0502020204030204" pitchFamily="34" charset="0"/>
                </a:rPr>
                <a:t> +</a:t>
              </a:r>
              <a:br>
                <a:rPr lang="en-US" sz="900">
                  <a:latin typeface="Calibri" panose="020F0502020204030204" pitchFamily="34" charset="0"/>
                  <a:ea typeface="Inter" panose="020B0502030000000004" pitchFamily="34" charset="0"/>
                  <a:cs typeface="Calibri" panose="020F0502020204030204" pitchFamily="34" charset="0"/>
                </a:rPr>
              </a:br>
              <a:r>
                <a:rPr lang="en-US" sz="900">
                  <a:latin typeface="Calibri" panose="020F0502020204030204" pitchFamily="34" charset="0"/>
                  <a:ea typeface="Inter" panose="020B0502030000000004" pitchFamily="34" charset="0"/>
                  <a:cs typeface="Calibri" panose="020F0502020204030204" pitchFamily="34" charset="0"/>
                </a:rPr>
                <a:t>Securities sold under agreements to repurchase + Interbank deposits + Borrowing and onlending</a:t>
              </a:r>
            </a:p>
            <a:p>
              <a:endParaRPr lang="en-US" sz="500">
                <a:solidFill>
                  <a:schemeClr val="tx1"/>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loan portfolio:</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lgn="just"/>
              <a:r>
                <a:rPr lang="pt-BR" sz="900" i="0">
                  <a:latin typeface="Cambria Math" panose="02040503050406030204" pitchFamily="18" charset="0"/>
                  <a:ea typeface="Inter" panose="020B0502030000000004" pitchFamily="34" charset="0"/>
                  <a:cs typeface="Calibri" panose="020F0502020204030204" pitchFamily="34" charset="0"/>
                </a:rPr>
                <a:t>"Loans and Advance to Customers + Loans to  financial institutions  </a:t>
              </a:r>
              <a:r>
                <a:rPr lang="en-US" sz="900" i="0">
                  <a:latin typeface="Calibri" panose="020F0502020204030204" pitchFamily="34" charset="0"/>
                  <a:ea typeface="Inter" panose="020B0502030000000004" pitchFamily="34" charset="0"/>
                  <a:cs typeface="Calibri" panose="020F0502020204030204" pitchFamily="34" charset="0"/>
                </a:rPr>
                <a:t>"</a:t>
              </a:r>
              <a:endParaRPr lang="en-US" sz="900">
                <a:latin typeface="Calibri" panose="020F0502020204030204" pitchFamily="34" charset="0"/>
                <a:ea typeface="Inter" panose="020B0502030000000004" pitchFamily="34"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Gross margin per active client gross of interest expenses:</a:t>
              </a:r>
            </a:p>
            <a:p>
              <a:endParaRPr lang="en-US" sz="900" b="1">
                <a:latin typeface="Calibri" panose="020F0502020204030204" pitchFamily="34" charset="0"/>
                <a:cs typeface="Calibri" panose="020F0502020204030204" pitchFamily="34" charset="0"/>
              </a:endParaRPr>
            </a:p>
            <a:p>
              <a:pPr/>
              <a:r>
                <a:rPr lang="pt-BR" sz="900" i="0">
                  <a:latin typeface="Cambria Math" panose="02040503050406030204" pitchFamily="18" charset="0"/>
                  <a:ea typeface="Inter" panose="020B0502030000000004" pitchFamily="34" charset="0"/>
                </a:rPr>
                <a:t>ARPAC </a:t>
              </a:r>
              <a:r>
                <a:rPr lang="pt-BR" sz="900" b="0" i="0">
                  <a:latin typeface="Cambria Math" panose="02040503050406030204" pitchFamily="18" charset="0"/>
                  <a:ea typeface="Inter" panose="020B0502030000000004" pitchFamily="34" charset="0"/>
                </a:rPr>
                <a:t>g</a:t>
              </a:r>
              <a:r>
                <a:rPr lang="pt-BR" sz="900" i="0">
                  <a:latin typeface="Cambria Math" panose="02040503050406030204" pitchFamily="18" charset="0"/>
                  <a:ea typeface="Inter" panose="020B0502030000000004" pitchFamily="34" charset="0"/>
                </a:rPr>
                <a:t>ross of </a:t>
              </a:r>
              <a:r>
                <a:rPr lang="pt-BR" sz="900" b="0" i="0">
                  <a:latin typeface="Cambria Math" panose="02040503050406030204" pitchFamily="18" charset="0"/>
                  <a:ea typeface="Inter" panose="020B0502030000000004" pitchFamily="34" charset="0"/>
                </a:rPr>
                <a:t>interest expenses</a:t>
              </a:r>
              <a:r>
                <a:rPr lang="pt-BR" sz="900" i="0">
                  <a:latin typeface="Cambria Math" panose="02040503050406030204" pitchFamily="18" charset="0"/>
                  <a:ea typeface="Inter" panose="020B0502030000000004" pitchFamily="34" charset="0"/>
                </a:rPr>
                <a:t> –</a:t>
              </a:r>
              <a:r>
                <a:rPr lang="pt-BR" sz="900" b="0" i="0">
                  <a:latin typeface="Cambria Math" panose="02040503050406030204" pitchFamily="18" charset="0"/>
                  <a:ea typeface="Inter" panose="020B0502030000000004" pitchFamily="34" charset="0"/>
                </a:rPr>
                <a:t>C</a:t>
              </a:r>
              <a:r>
                <a:rPr lang="pt-BR" sz="900" i="0">
                  <a:latin typeface="Cambria Math" panose="02040503050406030204" pitchFamily="18" charset="0"/>
                  <a:ea typeface="Inter" panose="020B0502030000000004" pitchFamily="34" charset="0"/>
                </a:rPr>
                <a:t>ost</a:t>
              </a:r>
              <a:r>
                <a:rPr lang="pt-BR" sz="900" b="0" i="0">
                  <a:latin typeface="Cambria Math" panose="02040503050406030204" pitchFamily="18" charset="0"/>
                  <a:ea typeface="Inter" panose="020B0502030000000004" pitchFamily="34" charset="0"/>
                </a:rPr>
                <a:t> </a:t>
              </a:r>
              <a:r>
                <a:rPr lang="pt-BR" sz="900" i="0">
                  <a:latin typeface="Cambria Math" panose="02040503050406030204" pitchFamily="18" charset="0"/>
                  <a:ea typeface="Inter" panose="020B0502030000000004" pitchFamily="34" charset="0"/>
                </a:rPr>
                <a:t>to</a:t>
              </a:r>
              <a:r>
                <a:rPr lang="pt-BR" sz="900" b="0" i="0">
                  <a:latin typeface="Cambria Math" panose="02040503050406030204" pitchFamily="18" charset="0"/>
                  <a:ea typeface="Inter" panose="020B0502030000000004" pitchFamily="34" charset="0"/>
                </a:rPr>
                <a:t> Serve</a:t>
              </a:r>
              <a:endParaRPr lang="pt-BR" sz="900" b="1">
                <a:latin typeface="Calibri" panose="020F0502020204030204" pitchFamily="34"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xdr:txBody>
        </xdr:sp>
      </mc:Fallback>
    </mc:AlternateContent>
    <xdr:clientData/>
  </xdr:twoCellAnchor>
  <xdr:twoCellAnchor>
    <xdr:from>
      <xdr:col>0</xdr:col>
      <xdr:colOff>177988</xdr:colOff>
      <xdr:row>146</xdr:row>
      <xdr:rowOff>79457</xdr:rowOff>
    </xdr:from>
    <xdr:to>
      <xdr:col>7</xdr:col>
      <xdr:colOff>146188</xdr:colOff>
      <xdr:row>176</xdr:row>
      <xdr:rowOff>128025</xdr:rowOff>
    </xdr:to>
    <mc:AlternateContent xmlns:mc="http://schemas.openxmlformats.org/markup-compatibility/2006" xmlns:a14="http://schemas.microsoft.com/office/drawing/2010/main">
      <mc:Choice Requires="a14">
        <xdr:sp macro="" textlink="">
          <xdr:nvSpPr>
            <xdr:cNvPr id="31" name="Retângulo 9">
              <a:extLst>
                <a:ext uri="{FF2B5EF4-FFF2-40B4-BE49-F238E27FC236}">
                  <a16:creationId xmlns:a16="http://schemas.microsoft.com/office/drawing/2014/main" id="{00000000-0008-0000-1600-00001F000000}"/>
                </a:ext>
              </a:extLst>
            </xdr:cNvPr>
            <xdr:cNvSpPr/>
          </xdr:nvSpPr>
          <xdr:spPr>
            <a:xfrm>
              <a:off x="177988" y="26951921"/>
              <a:ext cx="5766026" cy="5570307"/>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Gross margin per active client net of interest expenses:</a:t>
              </a:r>
            </a:p>
            <a:p>
              <a:endParaRPr lang="en-US" sz="9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r>
                      <m:rPr>
                        <m:sty m:val="p"/>
                      </m:rPr>
                      <a:rPr lang="pt-BR" sz="900" i="0">
                        <a:latin typeface="Cambria Math" panose="02040503050406030204" pitchFamily="18" charset="0"/>
                        <a:ea typeface="Inter" panose="020B0502030000000004" pitchFamily="34" charset="0"/>
                      </a:rPr>
                      <m:t>ARPAC</m:t>
                    </m:r>
                    <m:r>
                      <a:rPr lang="pt-BR" sz="900" i="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net</m:t>
                    </m:r>
                    <m:r>
                      <a:rPr lang="pt-BR" sz="900" b="0" i="0">
                        <a:latin typeface="Cambria Math" panose="02040503050406030204" pitchFamily="18" charset="0"/>
                        <a:ea typeface="Inter" panose="020B0502030000000004" pitchFamily="34" charset="0"/>
                      </a:rPr>
                      <m:t>  </m:t>
                    </m:r>
                    <m:r>
                      <m:rPr>
                        <m:sty m:val="p"/>
                      </m:rPr>
                      <a:rPr lang="pt-BR" sz="900" i="0">
                        <a:latin typeface="Cambria Math" panose="02040503050406030204" pitchFamily="18" charset="0"/>
                        <a:ea typeface="Inter" panose="020B0502030000000004" pitchFamily="34" charset="0"/>
                      </a:rPr>
                      <m:t>of</m:t>
                    </m:r>
                    <m:r>
                      <a:rPr lang="pt-BR" sz="900" i="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interest</m:t>
                    </m:r>
                    <m:r>
                      <a:rPr lang="pt-BR" sz="900" b="0" i="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expenses</m:t>
                    </m:r>
                    <m:r>
                      <a:rPr lang="pt-BR" sz="900" i="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C</m:t>
                    </m:r>
                    <m:r>
                      <m:rPr>
                        <m:sty m:val="p"/>
                      </m:rPr>
                      <a:rPr lang="pt-BR" sz="900" i="0">
                        <a:latin typeface="Cambria Math" panose="02040503050406030204" pitchFamily="18" charset="0"/>
                        <a:ea typeface="Inter" panose="020B0502030000000004" pitchFamily="34" charset="0"/>
                      </a:rPr>
                      <m:t>ost</m:t>
                    </m:r>
                    <m:r>
                      <a:rPr lang="pt-BR" sz="900" b="0" i="0">
                        <a:latin typeface="Cambria Math" panose="02040503050406030204" pitchFamily="18" charset="0"/>
                        <a:ea typeface="Inter" panose="020B0502030000000004" pitchFamily="34" charset="0"/>
                      </a:rPr>
                      <m:t> </m:t>
                    </m:r>
                    <m:r>
                      <m:rPr>
                        <m:sty m:val="p"/>
                      </m:rPr>
                      <a:rPr lang="pt-BR" sz="900" i="0">
                        <a:latin typeface="Cambria Math" panose="02040503050406030204" pitchFamily="18" charset="0"/>
                        <a:ea typeface="Inter" panose="020B0502030000000004" pitchFamily="34" charset="0"/>
                      </a:rPr>
                      <m:t>to</m:t>
                    </m:r>
                    <m:r>
                      <a:rPr lang="pt-BR" sz="900" b="0" i="0">
                        <a:latin typeface="Cambria Math" panose="02040503050406030204" pitchFamily="18" charset="0"/>
                        <a:ea typeface="Inter" panose="020B0502030000000004" pitchFamily="34" charset="0"/>
                      </a:rPr>
                      <m:t> </m:t>
                    </m:r>
                    <m:r>
                      <m:rPr>
                        <m:sty m:val="p"/>
                      </m:rPr>
                      <a:rPr lang="pt-BR" sz="900" b="0" i="0">
                        <a:latin typeface="Cambria Math" panose="02040503050406030204" pitchFamily="18" charset="0"/>
                        <a:ea typeface="Inter" panose="020B0502030000000004" pitchFamily="34" charset="0"/>
                      </a:rPr>
                      <m:t>Serve</m:t>
                    </m:r>
                  </m:oMath>
                </m:oMathPara>
              </a14:m>
              <a:endParaRPr lang="pt-BR" sz="900" b="1">
                <a:latin typeface="Calibri" panose="020F0502020204030204" pitchFamily="34"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a:p>
              <a:r>
                <a:rPr lang="pt-BR" sz="900" b="1">
                  <a:latin typeface="Calibri" panose="020F0502020204030204" pitchFamily="34" charset="0"/>
                  <a:cs typeface="Calibri" panose="020F0502020204030204" pitchFamily="34" charset="0"/>
                </a:rPr>
                <a:t>Net fee income:</a:t>
              </a:r>
            </a:p>
            <a:p>
              <a:endParaRPr lang="pt-BR" sz="900" b="1">
                <a:latin typeface="Calibri" panose="020F0502020204030204" pitchFamily="34" charset="0"/>
                <a:cs typeface="Calibri" panose="020F0502020204030204" pitchFamily="34" charset="0"/>
              </a:endParaRPr>
            </a:p>
            <a:p>
              <a:pPr algn="ctr"/>
              <a:r>
                <a:rPr lang="pt-BR" sz="900">
                  <a:latin typeface="Calibri" panose="020F0502020204030204" pitchFamily="34" charset="0"/>
                  <a:ea typeface="Inter" panose="020B0502030000000004" pitchFamily="34" charset="0"/>
                  <a:cs typeface="Calibri" panose="020F0502020204030204" pitchFamily="34" charset="0"/>
                </a:rPr>
                <a:t>Net result from services and commissions + Other Revenue</a:t>
              </a: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pt-BR" sz="900" b="1">
                  <a:latin typeface="Calibri" panose="020F0502020204030204" pitchFamily="34" charset="0"/>
                  <a:cs typeface="Calibri" panose="020F0502020204030204" pitchFamily="34" charset="0"/>
                </a:rPr>
                <a:t>Net interest income:</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lgn="ctr"/>
              <a14:m>
                <m:oMath xmlns:m="http://schemas.openxmlformats.org/officeDocument/2006/math">
                  <m:r>
                    <m:rPr>
                      <m:sty m:val="p"/>
                    </m:rP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I</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nterest</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Income</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Interest</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Expenses</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Income</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from</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securities</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and</m:t>
                  </m:r>
                  <m: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derivatives</m:t>
                  </m:r>
                </m:oMath>
              </a14:m>
              <a:r>
                <a:rPr lang="pt-BR" sz="900" b="1">
                  <a:latin typeface="Calibri" panose="020F0502020204030204" pitchFamily="34" charset="0"/>
                  <a:ea typeface="Cambria Math" panose="02040503050406030204" pitchFamily="18" charset="0"/>
                  <a:cs typeface="Calibri" panose="020F0502020204030204" pitchFamily="34" charset="0"/>
                </a:rPr>
                <a:t> </a:t>
              </a: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pt-BR" sz="900" b="1">
                  <a:latin typeface="Calibri" panose="020F0502020204030204" pitchFamily="34" charset="0"/>
                  <a:cs typeface="Calibri" panose="020F0502020204030204" pitchFamily="34" charset="0"/>
                </a:rPr>
                <a:t>Net revenue:</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lgn="ctr"/>
              <a:r>
                <a:rPr lang="pt-BR" sz="9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rPr>
                <a:t>Net interest income + Net result from services and commissions + Other revenue</a:t>
              </a:r>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NIM 1.0 – IEP + Non-interest Credit Cards Receivables:</a:t>
              </a:r>
              <a:br>
                <a:rPr lang="en-US" sz="800" b="1">
                  <a:latin typeface="Calibri" panose="020F0502020204030204" pitchFamily="34" charset="0"/>
                  <a:ea typeface="Cambria Math" panose="02040503050406030204" pitchFamily="18" charset="0"/>
                  <a:cs typeface="Calibri" panose="020F0502020204030204" pitchFamily="34" charset="0"/>
                </a:rPr>
              </a:br>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ea typeface="Cambria Math" panose="02040503050406030204" pitchFamily="18" charset="0"/>
                          </a:rPr>
                        </m:ctrlPr>
                      </m:fPr>
                      <m:num>
                        <m:r>
                          <m:rPr>
                            <m:sty m:val="p"/>
                          </m:rPr>
                          <a:rPr lang="pt-BR" sz="900" b="0" i="0">
                            <a:latin typeface="Cambria Math" panose="02040503050406030204" pitchFamily="18" charset="0"/>
                            <a:ea typeface="Cambria Math" panose="02040503050406030204" pitchFamily="18" charset="0"/>
                          </a:rPr>
                          <m:t>Net</m:t>
                        </m:r>
                        <m:r>
                          <a:rPr lang="pt-BR" sz="900" b="0" i="0">
                            <a:latin typeface="Cambria Math" panose="02040503050406030204" pitchFamily="18" charset="0"/>
                            <a:ea typeface="Cambria Math" panose="02040503050406030204" pitchFamily="18" charset="0"/>
                          </a:rPr>
                          <m:t> </m:t>
                        </m:r>
                        <m:r>
                          <m:rPr>
                            <m:sty m:val="p"/>
                          </m:rPr>
                          <a:rPr lang="pt-BR" sz="900" b="0" i="0">
                            <a:latin typeface="Cambria Math" panose="02040503050406030204" pitchFamily="18" charset="0"/>
                            <a:ea typeface="Cambria Math" panose="02040503050406030204" pitchFamily="18" charset="0"/>
                          </a:rPr>
                          <m:t>interest</m:t>
                        </m:r>
                        <m:r>
                          <a:rPr lang="pt-BR" sz="900" b="0" i="0">
                            <a:latin typeface="Cambria Math" panose="02040503050406030204" pitchFamily="18" charset="0"/>
                            <a:ea typeface="Cambria Math" panose="02040503050406030204" pitchFamily="18" charset="0"/>
                          </a:rPr>
                          <m:t> </m:t>
                        </m:r>
                        <m:r>
                          <m:rPr>
                            <m:sty m:val="p"/>
                          </m:rPr>
                          <a:rPr lang="pt-BR" sz="900" b="0" i="0">
                            <a:latin typeface="Cambria Math" panose="02040503050406030204" pitchFamily="18" charset="0"/>
                            <a:ea typeface="Cambria Math" panose="02040503050406030204" pitchFamily="18" charset="0"/>
                          </a:rPr>
                          <m:t>income</m:t>
                        </m:r>
                        <m:r>
                          <a:rPr lang="pt-BR" sz="900" b="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x</m:t>
                        </m:r>
                        <m:r>
                          <a:rPr lang="pt-BR" sz="900" i="0">
                            <a:latin typeface="Cambria Math" panose="02040503050406030204" pitchFamily="18" charset="0"/>
                            <a:ea typeface="Cambria Math" panose="02040503050406030204" pitchFamily="18" charset="0"/>
                          </a:rPr>
                          <m:t> 4</m:t>
                        </m:r>
                      </m:num>
                      <m:den>
                        <m:eqArr>
                          <m:eqArrPr>
                            <m:ctrlPr>
                              <a:rPr lang="pt-BR" sz="900" i="1">
                                <a:latin typeface="Cambria Math" panose="02040503050406030204" pitchFamily="18" charset="0"/>
                                <a:ea typeface="Cambria Math" panose="02040503050406030204" pitchFamily="18" charset="0"/>
                              </a:rPr>
                            </m:ctrlPr>
                          </m:eqArrPr>
                          <m:e>
                            <m:r>
                              <m:rPr>
                                <m:sty m:val="p"/>
                              </m:rPr>
                              <a:rPr lang="pt-BR" sz="900" i="0">
                                <a:latin typeface="Cambria Math" panose="02040503050406030204" pitchFamily="18" charset="0"/>
                                <a:ea typeface="Cambria Math" panose="02040503050406030204" pitchFamily="18" charset="0"/>
                              </a:rPr>
                              <m:t>Average</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of</m:t>
                            </m:r>
                            <m:r>
                              <a:rPr lang="pt-BR" sz="900" i="0">
                                <a:latin typeface="Cambria Math" panose="02040503050406030204" pitchFamily="18" charset="0"/>
                                <a:ea typeface="Cambria Math" panose="02040503050406030204" pitchFamily="18" charset="0"/>
                              </a:rPr>
                              <m:t> 2 </m:t>
                            </m:r>
                            <m:r>
                              <m:rPr>
                                <m:sty m:val="p"/>
                              </m:rPr>
                              <a:rPr lang="pt-BR" sz="900" i="0">
                                <a:latin typeface="Cambria Math" panose="02040503050406030204" pitchFamily="18" charset="0"/>
                                <a:ea typeface="Cambria Math" panose="02040503050406030204" pitchFamily="18" charset="0"/>
                              </a:rPr>
                              <m:t>Last</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Quarters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Earning</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Portfolio</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Loans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to</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financial</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institutions</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Securities</m:t>
                            </m:r>
                            <m:r>
                              <a:rPr lang="pt-BR" sz="900" i="0">
                                <a:latin typeface="Cambria Math" panose="02040503050406030204" pitchFamily="18" charset="0"/>
                                <a:ea typeface="Cambria Math" panose="02040503050406030204" pitchFamily="18" charset="0"/>
                              </a:rPr>
                              <m:t> + </m:t>
                            </m:r>
                          </m:e>
                          <m:e>
                            <m:r>
                              <m:rPr>
                                <m:sty m:val="p"/>
                              </m:rPr>
                              <a:rPr lang="pt-BR" sz="900" i="0">
                                <a:latin typeface="Cambria Math" panose="02040503050406030204" pitchFamily="18" charset="0"/>
                                <a:ea typeface="Cambria Math" panose="02040503050406030204" pitchFamily="18" charset="0"/>
                              </a:rPr>
                              <m:t>Derivatives</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Net</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loans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and</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advances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to</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customers</m:t>
                            </m:r>
                          </m:e>
                        </m:eqArr>
                      </m:den>
                    </m:f>
                  </m:oMath>
                </m:oMathPara>
              </a14:m>
              <a:endParaRPr lang="en-US" sz="900">
                <a:latin typeface="Calibri" panose="020F0502020204030204" pitchFamily="34" charset="0"/>
                <a:ea typeface="Cambria Math" panose="02040503050406030204" pitchFamily="18" charset="0"/>
                <a:cs typeface="Calibri" panose="020F0502020204030204" pitchFamily="34" charset="0"/>
              </a:endParaRPr>
            </a:p>
            <a:p>
              <a:pPr algn="ctr"/>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NIM 2.0 – IEP Only:</a:t>
              </a:r>
            </a:p>
            <a:p>
              <a:endParaRPr lang="en-US" sz="800" b="1" i="1">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ea typeface="Cambria Math" panose="02040503050406030204" pitchFamily="18" charset="0"/>
                          </a:rPr>
                        </m:ctrlPr>
                      </m:fPr>
                      <m:num>
                        <m:r>
                          <m:rPr>
                            <m:sty m:val="p"/>
                          </m:rPr>
                          <a:rPr lang="pt-BR" sz="900">
                            <a:latin typeface="Cambria Math" panose="02040503050406030204" pitchFamily="18" charset="0"/>
                            <a:ea typeface="Cambria Math" panose="02040503050406030204" pitchFamily="18" charset="0"/>
                          </a:rPr>
                          <m:t>Net</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interest</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income</m:t>
                        </m:r>
                        <m:r>
                          <a:rPr lang="pt-BR" sz="900">
                            <a:latin typeface="Cambria Math" panose="02040503050406030204" pitchFamily="18" charset="0"/>
                            <a:ea typeface="Cambria Math" panose="02040503050406030204" pitchFamily="18" charset="0"/>
                          </a:rPr>
                          <m:t> </m:t>
                        </m:r>
                        <m:r>
                          <m:rPr>
                            <m:sty m:val="p"/>
                          </m:rPr>
                          <a:rPr lang="pt-BR" sz="900">
                            <a:latin typeface="Cambria Math" panose="02040503050406030204" pitchFamily="18" charset="0"/>
                            <a:ea typeface="Cambria Math" panose="02040503050406030204" pitchFamily="18" charset="0"/>
                          </a:rPr>
                          <m:t>x</m:t>
                        </m:r>
                        <m:r>
                          <a:rPr lang="pt-BR" sz="900">
                            <a:latin typeface="Cambria Math" panose="02040503050406030204" pitchFamily="18" charset="0"/>
                            <a:ea typeface="Cambria Math" panose="02040503050406030204" pitchFamily="18" charset="0"/>
                          </a:rPr>
                          <m:t> 4</m:t>
                        </m:r>
                      </m:num>
                      <m:den>
                        <m:eqArr>
                          <m:eqArrPr>
                            <m:ctrlPr>
                              <a:rPr lang="pt-BR" sz="900" i="1">
                                <a:latin typeface="Cambria Math" panose="02040503050406030204" pitchFamily="18" charset="0"/>
                                <a:ea typeface="Cambria Math" panose="02040503050406030204" pitchFamily="18" charset="0"/>
                              </a:rPr>
                            </m:ctrlPr>
                          </m:eqArrPr>
                          <m:e>
                            <m:r>
                              <m:rPr>
                                <m:sty m:val="p"/>
                              </m:rPr>
                              <a:rPr lang="pt-BR" sz="900" i="0">
                                <a:latin typeface="Cambria Math" panose="02040503050406030204" pitchFamily="18" charset="0"/>
                                <a:ea typeface="Cambria Math" panose="02040503050406030204" pitchFamily="18" charset="0"/>
                              </a:rPr>
                              <m:t>Average</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of</m:t>
                            </m:r>
                            <m:r>
                              <a:rPr lang="pt-BR" sz="900" i="0">
                                <a:latin typeface="Cambria Math" panose="02040503050406030204" pitchFamily="18" charset="0"/>
                                <a:ea typeface="Cambria Math" panose="02040503050406030204" pitchFamily="18" charset="0"/>
                              </a:rPr>
                              <m:t> 2 </m:t>
                            </m:r>
                            <m:r>
                              <m:rPr>
                                <m:sty m:val="p"/>
                              </m:rPr>
                              <a:rPr lang="pt-BR" sz="900" i="0">
                                <a:latin typeface="Cambria Math" panose="02040503050406030204" pitchFamily="18" charset="0"/>
                                <a:ea typeface="Cambria Math" panose="02040503050406030204" pitchFamily="18" charset="0"/>
                              </a:rPr>
                              <m:t>Last</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Quarters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Earning</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Portfolio</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Non</m:t>
                            </m:r>
                            <m:r>
                              <a:rPr lang="pt-BR" sz="900" i="0">
                                <a:latin typeface="Cambria Math" panose="02040503050406030204" pitchFamily="18" charset="0"/>
                                <a:ea typeface="Cambria Math" panose="02040503050406030204" pitchFamily="18" charset="0"/>
                              </a:rPr>
                              <m:t>−</m:t>
                            </m:r>
                            <m:r>
                              <m:rPr>
                                <m:sty m:val="p"/>
                              </m:rPr>
                              <a:rPr lang="pt-BR" sz="900" i="0">
                                <a:latin typeface="Cambria Math" panose="02040503050406030204" pitchFamily="18" charset="0"/>
                                <a:ea typeface="Cambria Math" panose="02040503050406030204" pitchFamily="18" charset="0"/>
                              </a:rPr>
                              <m:t>interest</m:t>
                            </m:r>
                            <m:r>
                              <a:rPr lang="pt-BR" sz="900" i="0">
                                <a:latin typeface="Cambria Math" panose="02040503050406030204" pitchFamily="18" charset="0"/>
                                <a:ea typeface="Cambria Math" panose="02040503050406030204" pitchFamily="18" charset="0"/>
                              </a:rPr>
                              <m:t>−</m:t>
                            </m:r>
                            <m:r>
                              <m:rPr>
                                <m:sty m:val="p"/>
                              </m:rPr>
                              <a:rPr lang="pt-BR" sz="900" i="0">
                                <a:latin typeface="Cambria Math" panose="02040503050406030204" pitchFamily="18" charset="0"/>
                                <a:ea typeface="Cambria Math" panose="02040503050406030204" pitchFamily="18" charset="0"/>
                              </a:rPr>
                              <m:t>Bearing</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Credit</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Cards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Receivables</m:t>
                            </m:r>
                            <m:r>
                              <a:rPr lang="pt-BR" sz="900" i="0">
                                <a:latin typeface="Cambria Math" panose="02040503050406030204" pitchFamily="18" charset="0"/>
                                <a:ea typeface="Cambria Math" panose="02040503050406030204" pitchFamily="18" charset="0"/>
                              </a:rPr>
                              <m:t> </m:t>
                            </m:r>
                          </m:e>
                          <m:e>
                            <m:r>
                              <a:rPr lang="pt-BR" sz="900" i="0">
                                <a:latin typeface="Cambria Math" panose="02040503050406030204" pitchFamily="18" charset="0"/>
                                <a:ea typeface="Cambria Math" panose="02040503050406030204" pitchFamily="18" charset="0"/>
                              </a:rPr>
                              <m:t>(</m:t>
                            </m:r>
                            <m:r>
                              <m:rPr>
                                <m:sty m:val="p"/>
                              </m:rPr>
                              <a:rPr lang="pt-BR" sz="900" i="0">
                                <a:latin typeface="Cambria Math" panose="02040503050406030204" pitchFamily="18" charset="0"/>
                                <a:ea typeface="Cambria Math" panose="02040503050406030204" pitchFamily="18" charset="0"/>
                              </a:rPr>
                              <m:t>Amounts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due</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from</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financial</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institutions</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Securities</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Derivatives</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Net</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loans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and</m:t>
                            </m:r>
                            <m:r>
                              <a:rPr lang="pt-BR" sz="900" i="0">
                                <a:latin typeface="Cambria Math" panose="02040503050406030204" pitchFamily="18" charset="0"/>
                                <a:ea typeface="Cambria Math" panose="02040503050406030204" pitchFamily="18" charset="0"/>
                              </a:rPr>
                              <m:t> </m:t>
                            </m:r>
                          </m:e>
                          <m:e>
                            <m:r>
                              <m:rPr>
                                <m:sty m:val="p"/>
                              </m:rPr>
                              <a:rPr lang="pt-BR" sz="900" i="0">
                                <a:latin typeface="Cambria Math" panose="02040503050406030204" pitchFamily="18" charset="0"/>
                                <a:ea typeface="Cambria Math" panose="02040503050406030204" pitchFamily="18" charset="0"/>
                              </a:rPr>
                              <m:t>advances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to</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customers</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Credit</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card</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transactor</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portfolio</m:t>
                            </m:r>
                            <m:r>
                              <a:rPr lang="pt-BR" sz="900" i="0">
                                <a:latin typeface="Cambria Math" panose="02040503050406030204" pitchFamily="18" charset="0"/>
                                <a:ea typeface="Cambria Math" panose="02040503050406030204" pitchFamily="18" charset="0"/>
                              </a:rPr>
                              <m:t>)</m:t>
                            </m:r>
                          </m:e>
                        </m:eqArr>
                      </m:den>
                    </m:f>
                    <m:r>
                      <a:rPr lang="pt-BR" sz="900" i="1">
                        <a:latin typeface="Cambria Math" panose="02040503050406030204" pitchFamily="18" charset="0"/>
                        <a:ea typeface="Cambria Math" panose="02040503050406030204" pitchFamily="18" charset="0"/>
                      </a:rPr>
                      <m:t> </m:t>
                    </m:r>
                  </m:oMath>
                </m:oMathPara>
              </a14:m>
              <a:endParaRPr lang="en-US" sz="900" b="1" i="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NPL 15 to 90 days: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900" i="1">
                            <a:latin typeface="Cambria Math" panose="02040503050406030204" pitchFamily="18" charset="0"/>
                            <a:ea typeface="Cambria Math" panose="02040503050406030204" pitchFamily="18" charset="0"/>
                          </a:rPr>
                        </m:ctrlPr>
                      </m:fPr>
                      <m:num>
                        <m:r>
                          <m:rPr>
                            <m:sty m:val="p"/>
                          </m:rPr>
                          <a:rPr lang="pt-BR" sz="900" i="0">
                            <a:latin typeface="Cambria Math" panose="02040503050406030204" pitchFamily="18" charset="0"/>
                            <a:ea typeface="Cambria Math" panose="02040503050406030204" pitchFamily="18" charset="0"/>
                          </a:rPr>
                          <m:t>Overdue</m:t>
                        </m:r>
                        <m:r>
                          <a:rPr lang="pt-BR" sz="900" i="0">
                            <a:latin typeface="Cambria Math" panose="02040503050406030204" pitchFamily="18" charset="0"/>
                            <a:ea typeface="Cambria Math" panose="02040503050406030204" pitchFamily="18" charset="0"/>
                          </a:rPr>
                          <m:t> 15 </m:t>
                        </m:r>
                        <m:r>
                          <m:rPr>
                            <m:sty m:val="p"/>
                          </m:rPr>
                          <a:rPr lang="pt-BR" sz="900" b="0" i="0">
                            <a:latin typeface="Cambria Math" panose="02040503050406030204" pitchFamily="18" charset="0"/>
                            <a:ea typeface="Cambria Math" panose="02040503050406030204" pitchFamily="18" charset="0"/>
                          </a:rPr>
                          <m:t>to</m:t>
                        </m:r>
                        <m:r>
                          <a:rPr lang="pt-BR" sz="900" b="0" i="0">
                            <a:latin typeface="Cambria Math" panose="02040503050406030204" pitchFamily="18" charset="0"/>
                            <a:ea typeface="Cambria Math" panose="02040503050406030204" pitchFamily="18" charset="0"/>
                          </a:rPr>
                          <m:t> 90 </m:t>
                        </m:r>
                        <m:r>
                          <m:rPr>
                            <m:sty m:val="p"/>
                          </m:rPr>
                          <a:rPr lang="pt-BR" sz="900" i="0">
                            <a:latin typeface="Cambria Math" panose="02040503050406030204" pitchFamily="18" charset="0"/>
                            <a:ea typeface="Cambria Math" panose="02040503050406030204" pitchFamily="18" charset="0"/>
                          </a:rPr>
                          <m:t>days</m:t>
                        </m:r>
                      </m:num>
                      <m:den>
                        <m:r>
                          <m:rPr>
                            <m:sty m:val="p"/>
                          </m:rPr>
                          <a:rPr lang="pt-BR" sz="900" i="0">
                            <a:latin typeface="Cambria Math" panose="02040503050406030204" pitchFamily="18" charset="0"/>
                            <a:ea typeface="Cambria Math" panose="02040503050406030204" pitchFamily="18" charset="0"/>
                          </a:rPr>
                          <m:t>Loans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and</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Advance</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to</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Costumers</m:t>
                        </m:r>
                        <m:r>
                          <a:rPr lang="pt-BR" sz="900" i="0">
                            <a:latin typeface="Cambria Math" panose="02040503050406030204" pitchFamily="18" charset="0"/>
                            <a:ea typeface="Cambria Math" panose="02040503050406030204" pitchFamily="18" charset="0"/>
                          </a:rPr>
                          <m:t> + </m:t>
                        </m:r>
                        <m:r>
                          <m:rPr>
                            <m:sty m:val="p"/>
                          </m:rPr>
                          <a:rPr lang="pt-BR" sz="900" i="0">
                            <a:latin typeface="Cambria Math" panose="02040503050406030204" pitchFamily="18" charset="0"/>
                            <a:ea typeface="Cambria Math" panose="02040503050406030204" pitchFamily="18" charset="0"/>
                          </a:rPr>
                          <m:t>Loans</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to</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financial</m:t>
                        </m:r>
                        <m:r>
                          <a:rPr lang="pt-BR" sz="900" i="0">
                            <a:latin typeface="Cambria Math" panose="02040503050406030204" pitchFamily="18" charset="0"/>
                            <a:ea typeface="Cambria Math" panose="02040503050406030204" pitchFamily="18" charset="0"/>
                          </a:rPr>
                          <m:t> </m:t>
                        </m:r>
                        <m:r>
                          <m:rPr>
                            <m:sty m:val="p"/>
                          </m:rPr>
                          <a:rPr lang="pt-BR" sz="900" i="0">
                            <a:latin typeface="Cambria Math" panose="02040503050406030204" pitchFamily="18" charset="0"/>
                            <a:ea typeface="Cambria Math" panose="02040503050406030204" pitchFamily="18" charset="0"/>
                          </a:rPr>
                          <m:t>institutions</m:t>
                        </m:r>
                        <m:r>
                          <a:rPr lang="pt-BR" sz="900" i="0">
                            <a:latin typeface="Cambria Math" panose="02040503050406030204" pitchFamily="18" charset="0"/>
                            <a:ea typeface="Cambria Math" panose="02040503050406030204" pitchFamily="18" charset="0"/>
                          </a:rPr>
                          <m:t>  </m:t>
                        </m:r>
                      </m:den>
                    </m:f>
                    <m:r>
                      <a:rPr lang="pt-BR" sz="900" b="0" i="1">
                        <a:latin typeface="Cambria Math" panose="02040503050406030204" pitchFamily="18" charset="0"/>
                        <a:ea typeface="Cambria Math" panose="02040503050406030204" pitchFamily="18" charset="0"/>
                      </a:rPr>
                      <m:t> </m:t>
                    </m:r>
                  </m:oMath>
                </m:oMathPara>
              </a14:m>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pt-BR" sz="100">
                <a:solidFill>
                  <a:schemeClr val="tx1">
                    <a:lumMod val="85000"/>
                    <a:lumOff val="15000"/>
                  </a:schemeClr>
                </a:solidFill>
                <a:highlight>
                  <a:srgbClr val="FFFF00"/>
                </a:highlight>
                <a:latin typeface="Calibri" panose="020F0502020204030204" pitchFamily="34" charset="0"/>
                <a:ea typeface="Cambria Math" panose="02040503050406030204" pitchFamily="18" charset="0"/>
                <a:cs typeface="Calibri" panose="020F0502020204030204" pitchFamily="34" charset="0"/>
              </a:endParaRPr>
            </a:p>
          </xdr:txBody>
        </xdr:sp>
      </mc:Choice>
      <mc:Fallback xmlns="">
        <xdr:sp macro="" textlink="">
          <xdr:nvSpPr>
            <xdr:cNvPr id="31" name="Retângulo 9">
              <a:extLst>
                <a:ext uri="{FF2B5EF4-FFF2-40B4-BE49-F238E27FC236}">
                  <a16:creationId xmlns:a16="http://schemas.microsoft.com/office/drawing/2014/main" id="{E053E71D-69F7-C852-2686-4DDCCC5EB831}"/>
                </a:ext>
              </a:extLst>
            </xdr:cNvPr>
            <xdr:cNvSpPr/>
          </xdr:nvSpPr>
          <xdr:spPr>
            <a:xfrm>
              <a:off x="177988" y="26951921"/>
              <a:ext cx="5766026" cy="5570307"/>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Gross margin per active client net of interest expenses:</a:t>
              </a:r>
            </a:p>
            <a:p>
              <a:endParaRPr lang="en-US" sz="900" b="1">
                <a:latin typeface="Calibri" panose="020F0502020204030204" pitchFamily="34" charset="0"/>
                <a:cs typeface="Calibri" panose="020F0502020204030204" pitchFamily="34" charset="0"/>
              </a:endParaRPr>
            </a:p>
            <a:p>
              <a:pPr/>
              <a:r>
                <a:rPr lang="pt-BR" sz="900" i="0">
                  <a:latin typeface="Cambria Math" panose="02040503050406030204" pitchFamily="18" charset="0"/>
                  <a:ea typeface="Inter" panose="020B0502030000000004" pitchFamily="34" charset="0"/>
                </a:rPr>
                <a:t>ARPAC </a:t>
              </a:r>
              <a:r>
                <a:rPr lang="pt-BR" sz="900" b="0" i="0">
                  <a:latin typeface="Cambria Math" panose="02040503050406030204" pitchFamily="18" charset="0"/>
                  <a:ea typeface="Inter" panose="020B0502030000000004" pitchFamily="34" charset="0"/>
                </a:rPr>
                <a:t>net  </a:t>
              </a:r>
              <a:r>
                <a:rPr lang="pt-BR" sz="900" i="0">
                  <a:latin typeface="Cambria Math" panose="02040503050406030204" pitchFamily="18" charset="0"/>
                  <a:ea typeface="Inter" panose="020B0502030000000004" pitchFamily="34" charset="0"/>
                </a:rPr>
                <a:t>of </a:t>
              </a:r>
              <a:r>
                <a:rPr lang="pt-BR" sz="900" b="0" i="0">
                  <a:latin typeface="Cambria Math" panose="02040503050406030204" pitchFamily="18" charset="0"/>
                  <a:ea typeface="Inter" panose="020B0502030000000004" pitchFamily="34" charset="0"/>
                </a:rPr>
                <a:t>interest expenses</a:t>
              </a:r>
              <a:r>
                <a:rPr lang="pt-BR" sz="900" i="0">
                  <a:latin typeface="Cambria Math" panose="02040503050406030204" pitchFamily="18" charset="0"/>
                  <a:ea typeface="Inter" panose="020B0502030000000004" pitchFamily="34" charset="0"/>
                </a:rPr>
                <a:t> –</a:t>
              </a:r>
              <a:r>
                <a:rPr lang="pt-BR" sz="900" b="0" i="0">
                  <a:latin typeface="Cambria Math" panose="02040503050406030204" pitchFamily="18" charset="0"/>
                  <a:ea typeface="Inter" panose="020B0502030000000004" pitchFamily="34" charset="0"/>
                </a:rPr>
                <a:t>C</a:t>
              </a:r>
              <a:r>
                <a:rPr lang="pt-BR" sz="900" i="0">
                  <a:latin typeface="Cambria Math" panose="02040503050406030204" pitchFamily="18" charset="0"/>
                  <a:ea typeface="Inter" panose="020B0502030000000004" pitchFamily="34" charset="0"/>
                </a:rPr>
                <a:t>ost</a:t>
              </a:r>
              <a:r>
                <a:rPr lang="pt-BR" sz="900" b="0" i="0">
                  <a:latin typeface="Cambria Math" panose="02040503050406030204" pitchFamily="18" charset="0"/>
                  <a:ea typeface="Inter" panose="020B0502030000000004" pitchFamily="34" charset="0"/>
                </a:rPr>
                <a:t> </a:t>
              </a:r>
              <a:r>
                <a:rPr lang="pt-BR" sz="900" i="0">
                  <a:latin typeface="Cambria Math" panose="02040503050406030204" pitchFamily="18" charset="0"/>
                  <a:ea typeface="Inter" panose="020B0502030000000004" pitchFamily="34" charset="0"/>
                </a:rPr>
                <a:t>to</a:t>
              </a:r>
              <a:r>
                <a:rPr lang="pt-BR" sz="900" b="0" i="0">
                  <a:latin typeface="Cambria Math" panose="02040503050406030204" pitchFamily="18" charset="0"/>
                  <a:ea typeface="Inter" panose="020B0502030000000004" pitchFamily="34" charset="0"/>
                </a:rPr>
                <a:t> Serve</a:t>
              </a:r>
              <a:endParaRPr lang="pt-BR" sz="900" b="1">
                <a:latin typeface="Calibri" panose="020F0502020204030204" pitchFamily="34" charset="0"/>
                <a:cs typeface="Calibri" panose="020F0502020204030204" pitchFamily="34" charset="0"/>
              </a:endParaRPr>
            </a:p>
            <a:p>
              <a:endParaRPr lang="pt-BR" sz="900" b="1">
                <a:latin typeface="Calibri" panose="020F0502020204030204" pitchFamily="34" charset="0"/>
                <a:cs typeface="Calibri" panose="020F0502020204030204" pitchFamily="34" charset="0"/>
              </a:endParaRPr>
            </a:p>
            <a:p>
              <a:r>
                <a:rPr lang="pt-BR" sz="900" b="1">
                  <a:latin typeface="Calibri" panose="020F0502020204030204" pitchFamily="34" charset="0"/>
                  <a:cs typeface="Calibri" panose="020F0502020204030204" pitchFamily="34" charset="0"/>
                </a:rPr>
                <a:t>Net fee income:</a:t>
              </a:r>
            </a:p>
            <a:p>
              <a:endParaRPr lang="pt-BR" sz="900" b="1">
                <a:latin typeface="Calibri" panose="020F0502020204030204" pitchFamily="34" charset="0"/>
                <a:cs typeface="Calibri" panose="020F0502020204030204" pitchFamily="34" charset="0"/>
              </a:endParaRPr>
            </a:p>
            <a:p>
              <a:pPr algn="ctr"/>
              <a:r>
                <a:rPr lang="pt-BR" sz="900">
                  <a:latin typeface="Calibri" panose="020F0502020204030204" pitchFamily="34" charset="0"/>
                  <a:ea typeface="Inter" panose="020B0502030000000004" pitchFamily="34" charset="0"/>
                  <a:cs typeface="Calibri" panose="020F0502020204030204" pitchFamily="34" charset="0"/>
                </a:rPr>
                <a:t>Net result from services and commissions + Other Revenue</a:t>
              </a: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pt-BR" sz="900" b="1">
                  <a:latin typeface="Calibri" panose="020F0502020204030204" pitchFamily="34" charset="0"/>
                  <a:cs typeface="Calibri" panose="020F0502020204030204" pitchFamily="34" charset="0"/>
                </a:rPr>
                <a:t>Net interest income:</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lgn="ctr"/>
              <a:r>
                <a:rPr lang="pt-BR" sz="9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I</a:t>
              </a:r>
              <a:r>
                <a:rPr lang="pt-BR" sz="9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nterest Income+Interest Expenses+Income from securities and derivatives</a:t>
              </a:r>
              <a:r>
                <a:rPr lang="pt-BR" sz="900" b="1">
                  <a:latin typeface="Calibri" panose="020F0502020204030204" pitchFamily="34" charset="0"/>
                  <a:ea typeface="Cambria Math" panose="02040503050406030204" pitchFamily="18" charset="0"/>
                  <a:cs typeface="Calibri" panose="020F0502020204030204" pitchFamily="34" charset="0"/>
                </a:rPr>
                <a:t> </a:t>
              </a:r>
            </a:p>
            <a:p>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b="1">
                <a:latin typeface="Calibri" panose="020F0502020204030204" pitchFamily="34" charset="0"/>
                <a:ea typeface="Cambria Math" panose="02040503050406030204" pitchFamily="18" charset="0"/>
                <a:cs typeface="Calibri" panose="020F0502020204030204" pitchFamily="34" charset="0"/>
              </a:endParaRPr>
            </a:p>
            <a:p>
              <a:r>
                <a:rPr lang="pt-BR" sz="900" b="1">
                  <a:latin typeface="Calibri" panose="020F0502020204030204" pitchFamily="34" charset="0"/>
                  <a:cs typeface="Calibri" panose="020F0502020204030204" pitchFamily="34" charset="0"/>
                </a:rPr>
                <a:t>Net revenue:</a:t>
              </a:r>
            </a:p>
            <a:p>
              <a:endParaRPr lang="pt-BR" sz="800" b="1">
                <a:latin typeface="Calibri" panose="020F0502020204030204" pitchFamily="34" charset="0"/>
                <a:ea typeface="Cambria Math" panose="02040503050406030204" pitchFamily="18" charset="0"/>
                <a:cs typeface="Calibri" panose="020F0502020204030204" pitchFamily="34" charset="0"/>
              </a:endParaRPr>
            </a:p>
            <a:p>
              <a:pPr algn="ctr"/>
              <a:r>
                <a:rPr lang="pt-BR" sz="9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rPr>
                <a:t>Net interest income + Net result from services and commissions + Other revenue</a:t>
              </a:r>
              <a:endParaRPr lang="pt-BR" sz="800" b="1">
                <a:latin typeface="Calibri" panose="020F0502020204030204" pitchFamily="34" charset="0"/>
                <a:ea typeface="Cambria Math" panose="02040503050406030204" pitchFamily="18" charset="0"/>
                <a:cs typeface="Calibri" panose="020F0502020204030204" pitchFamily="34" charset="0"/>
              </a:endParaRPr>
            </a:p>
            <a:p>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NIM 1.0 – IEP + Non-interest Credit Cards Receivables:</a:t>
              </a:r>
              <a:br>
                <a:rPr lang="en-US" sz="800" b="1">
                  <a:latin typeface="Calibri" panose="020F0502020204030204" pitchFamily="34" charset="0"/>
                  <a:ea typeface="Cambria Math" panose="02040503050406030204" pitchFamily="18" charset="0"/>
                  <a:cs typeface="Calibri" panose="020F0502020204030204" pitchFamily="34" charset="0"/>
                </a:rPr>
              </a:br>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r>
                <a:rPr lang="pt-BR" sz="900" i="0">
                  <a:latin typeface="Cambria Math" panose="02040503050406030204" pitchFamily="18" charset="0"/>
                  <a:ea typeface="Cambria Math" panose="02040503050406030204" pitchFamily="18" charset="0"/>
                </a:rPr>
                <a:t>(</a:t>
              </a:r>
              <a:r>
                <a:rPr lang="pt-BR" sz="900" b="0" i="0">
                  <a:latin typeface="Cambria Math" panose="02040503050406030204" pitchFamily="18" charset="0"/>
                  <a:ea typeface="Cambria Math" panose="02040503050406030204" pitchFamily="18" charset="0"/>
                </a:rPr>
                <a:t>Net interest income </a:t>
              </a:r>
              <a:r>
                <a:rPr lang="pt-BR" sz="900" i="0">
                  <a:latin typeface="Cambria Math" panose="02040503050406030204" pitchFamily="18" charset="0"/>
                  <a:ea typeface="Cambria Math" panose="02040503050406030204" pitchFamily="18" charset="0"/>
                </a:rPr>
                <a:t>x 4)/█(Average of 2 Last Quarters Earning Portfolio (Loans to financial institutions + Securities + @Derivatives + Net loans and advances to customers)</a:t>
              </a:r>
              <a:endParaRPr lang="en-US" sz="900">
                <a:latin typeface="Calibri" panose="020F0502020204030204" pitchFamily="34" charset="0"/>
                <a:ea typeface="Cambria Math" panose="02040503050406030204" pitchFamily="18" charset="0"/>
                <a:cs typeface="Calibri" panose="020F0502020204030204" pitchFamily="34" charset="0"/>
              </a:endParaRPr>
            </a:p>
            <a:p>
              <a:pPr algn="ctr"/>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NIM 2.0 – IEP Only:</a:t>
              </a:r>
            </a:p>
            <a:p>
              <a:endParaRPr lang="en-US" sz="800" b="1" i="1">
                <a:latin typeface="Calibri" panose="020F0502020204030204" pitchFamily="34" charset="0"/>
                <a:ea typeface="Cambria Math" panose="02040503050406030204" pitchFamily="18" charset="0"/>
                <a:cs typeface="Calibri" panose="020F0502020204030204" pitchFamily="34" charset="0"/>
              </a:endParaRPr>
            </a:p>
            <a:p>
              <a:pPr algn="ctr"/>
              <a:r>
                <a:rPr lang="pt-BR" sz="900" i="0">
                  <a:latin typeface="Cambria Math" panose="02040503050406030204" pitchFamily="18" charset="0"/>
                  <a:ea typeface="Cambria Math" panose="02040503050406030204" pitchFamily="18" charset="0"/>
                </a:rPr>
                <a:t>(Net interest income x 4)/█(Average of 2 Last Quarters Earning Portfolio − Non−interest−Bearing Credit Cards Receivables @(Amounts due from financial institutions + Securities + Derivatives + Net loans and @advances to customers – Credit card transactor portfolio))  </a:t>
              </a:r>
              <a:endParaRPr lang="en-US" sz="900" b="1" i="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NPL 15 to 90 days: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pt-BR" sz="900" i="0">
                  <a:latin typeface="Cambria Math" panose="02040503050406030204" pitchFamily="18" charset="0"/>
                  <a:ea typeface="Cambria Math" panose="02040503050406030204" pitchFamily="18" charset="0"/>
                </a:rPr>
                <a:t>(Overdue 15 </a:t>
              </a:r>
              <a:r>
                <a:rPr lang="pt-BR" sz="900" b="0" i="0">
                  <a:latin typeface="Cambria Math" panose="02040503050406030204" pitchFamily="18" charset="0"/>
                  <a:ea typeface="Cambria Math" panose="02040503050406030204" pitchFamily="18" charset="0"/>
                </a:rPr>
                <a:t>to 90 </a:t>
              </a:r>
              <a:r>
                <a:rPr lang="pt-BR" sz="900" i="0">
                  <a:latin typeface="Cambria Math" panose="02040503050406030204" pitchFamily="18" charset="0"/>
                  <a:ea typeface="Cambria Math" panose="02040503050406030204" pitchFamily="18" charset="0"/>
                </a:rPr>
                <a:t>days)/(Loans and Advance to Costumers + Loans to  financial institutions  )</a:t>
              </a:r>
              <a:r>
                <a:rPr lang="pt-BR" sz="900" b="0" i="0">
                  <a:latin typeface="Cambria Math" panose="02040503050406030204" pitchFamily="18" charset="0"/>
                  <a:ea typeface="Cambria Math" panose="02040503050406030204" pitchFamily="18" charset="0"/>
                </a:rPr>
                <a:t>  </a:t>
              </a:r>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pt-BR" sz="100">
                <a:solidFill>
                  <a:schemeClr val="tx1">
                    <a:lumMod val="85000"/>
                    <a:lumOff val="15000"/>
                  </a:schemeClr>
                </a:solidFill>
                <a:highlight>
                  <a:srgbClr val="FFFF00"/>
                </a:highlight>
                <a:latin typeface="Calibri" panose="020F0502020204030204" pitchFamily="34" charset="0"/>
                <a:ea typeface="Cambria Math" panose="02040503050406030204" pitchFamily="18" charset="0"/>
                <a:cs typeface="Calibri" panose="020F0502020204030204" pitchFamily="34" charset="0"/>
              </a:endParaRPr>
            </a:p>
          </xdr:txBody>
        </xdr:sp>
      </mc:Fallback>
    </mc:AlternateContent>
    <xdr:clientData/>
  </xdr:twoCellAnchor>
  <xdr:twoCellAnchor>
    <xdr:from>
      <xdr:col>0</xdr:col>
      <xdr:colOff>245533</xdr:colOff>
      <xdr:row>176</xdr:row>
      <xdr:rowOff>135467</xdr:rowOff>
    </xdr:from>
    <xdr:to>
      <xdr:col>7</xdr:col>
      <xdr:colOff>127000</xdr:colOff>
      <xdr:row>211</xdr:row>
      <xdr:rowOff>107373</xdr:rowOff>
    </xdr:to>
    <mc:AlternateContent xmlns:mc="http://schemas.openxmlformats.org/markup-compatibility/2006" xmlns:a14="http://schemas.microsoft.com/office/drawing/2010/main">
      <mc:Choice Requires="a14">
        <xdr:sp macro="" textlink="">
          <xdr:nvSpPr>
            <xdr:cNvPr id="36" name="Retângulo 9">
              <a:extLst>
                <a:ext uri="{FF2B5EF4-FFF2-40B4-BE49-F238E27FC236}">
                  <a16:creationId xmlns:a16="http://schemas.microsoft.com/office/drawing/2014/main" id="{00000000-0008-0000-1600-000024000000}"/>
                </a:ext>
              </a:extLst>
            </xdr:cNvPr>
            <xdr:cNvSpPr/>
          </xdr:nvSpPr>
          <xdr:spPr>
            <a:xfrm>
              <a:off x="245533" y="32529670"/>
              <a:ext cx="5679293" cy="6413935"/>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NPL &gt; 90 days: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900" i="1">
                            <a:latin typeface="Cambria Math" panose="02040503050406030204" pitchFamily="18" charset="0"/>
                            <a:ea typeface="Cambria Math" panose="02040503050406030204" pitchFamily="18" charset="0"/>
                          </a:rPr>
                        </m:ctrlPr>
                      </m:fPr>
                      <m:num>
                        <m:r>
                          <m:rPr>
                            <m:sty m:val="p"/>
                          </m:rPr>
                          <a:rPr lang="en-US" sz="900" i="0">
                            <a:latin typeface="Cambria Math" panose="02040503050406030204" pitchFamily="18" charset="0"/>
                            <a:ea typeface="Cambria Math" panose="02040503050406030204" pitchFamily="18" charset="0"/>
                          </a:rPr>
                          <m:t>Overdue</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higher</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than</m:t>
                        </m:r>
                        <m:r>
                          <a:rPr lang="en-US" sz="900" i="0">
                            <a:latin typeface="Cambria Math" panose="02040503050406030204" pitchFamily="18" charset="0"/>
                            <a:ea typeface="Cambria Math" panose="02040503050406030204" pitchFamily="18" charset="0"/>
                          </a:rPr>
                          <m:t> 90 </m:t>
                        </m:r>
                        <m:r>
                          <m:rPr>
                            <m:sty m:val="p"/>
                          </m:rPr>
                          <a:rPr lang="en-US" sz="900" i="0">
                            <a:latin typeface="Cambria Math" panose="02040503050406030204" pitchFamily="18" charset="0"/>
                            <a:ea typeface="Cambria Math" panose="02040503050406030204" pitchFamily="18" charset="0"/>
                          </a:rPr>
                          <m:t>days</m:t>
                        </m:r>
                      </m:num>
                      <m:den>
                        <m:r>
                          <m:rPr>
                            <m:sty m:val="p"/>
                          </m:rPr>
                          <a:rPr lang="en-US" sz="900" i="0">
                            <a:latin typeface="Cambria Math" panose="02040503050406030204" pitchFamily="18" charset="0"/>
                            <a:ea typeface="Cambria Math" panose="02040503050406030204" pitchFamily="18" charset="0"/>
                          </a:rPr>
                          <m:t>Loans</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and</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Advance</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to</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Costumers</m:t>
                        </m:r>
                        <m:r>
                          <a:rPr lang="en-US" sz="900" i="0">
                            <a:latin typeface="Cambria Math" panose="02040503050406030204" pitchFamily="18" charset="0"/>
                            <a:ea typeface="Cambria Math" panose="02040503050406030204" pitchFamily="18" charset="0"/>
                          </a:rPr>
                          <m:t> + </m:t>
                        </m:r>
                        <m:r>
                          <m:rPr>
                            <m:sty m:val="p"/>
                          </m:rPr>
                          <a:rPr lang="en-US" sz="900" i="0">
                            <a:latin typeface="Cambria Math" panose="02040503050406030204" pitchFamily="18" charset="0"/>
                            <a:ea typeface="Cambria Math" panose="02040503050406030204" pitchFamily="18" charset="0"/>
                          </a:rPr>
                          <m:t>Loans</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to</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financial</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institutions</m:t>
                        </m:r>
                        <m:r>
                          <a:rPr lang="en-US" sz="900" i="0">
                            <a:latin typeface="Cambria Math" panose="02040503050406030204" pitchFamily="18" charset="0"/>
                            <a:ea typeface="Cambria Math" panose="02040503050406030204" pitchFamily="18" charset="0"/>
                          </a:rPr>
                          <m:t>  </m:t>
                        </m:r>
                      </m:den>
                    </m:f>
                  </m:oMath>
                </m:oMathPara>
              </a14:m>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NPL formation:</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900" i="1">
                            <a:latin typeface="Cambria Math" panose="02040503050406030204" pitchFamily="18" charset="0"/>
                            <a:ea typeface="Cambria Math" panose="02040503050406030204" pitchFamily="18" charset="0"/>
                          </a:rPr>
                        </m:ctrlPr>
                      </m:fPr>
                      <m:num>
                        <m:eqArr>
                          <m:eqArrPr>
                            <m:ctrlPr>
                              <a:rPr lang="en-US" sz="900" i="1">
                                <a:latin typeface="Cambria Math" panose="02040503050406030204" pitchFamily="18" charset="0"/>
                                <a:ea typeface="Cambria Math" panose="02040503050406030204" pitchFamily="18" charset="0"/>
                              </a:rPr>
                            </m:ctrlPr>
                          </m:eqArrPr>
                          <m:e>
                            <m:r>
                              <m:rPr>
                                <m:sty m:val="p"/>
                              </m:rPr>
                              <a:rPr lang="en-US" sz="900">
                                <a:latin typeface="Cambria Math" panose="02040503050406030204" pitchFamily="18" charset="0"/>
                                <a:ea typeface="Cambria Math" panose="02040503050406030204" pitchFamily="18" charset="0"/>
                              </a:rPr>
                              <m:t>Overdue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balance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higher</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than</m:t>
                            </m:r>
                            <m:r>
                              <a:rPr lang="en-US" sz="900">
                                <a:latin typeface="Cambria Math" panose="02040503050406030204" pitchFamily="18" charset="0"/>
                                <a:ea typeface="Cambria Math" panose="02040503050406030204" pitchFamily="18" charset="0"/>
                              </a:rPr>
                              <m:t> 90 </m:t>
                            </m:r>
                            <m:r>
                              <m:rPr>
                                <m:sty m:val="p"/>
                              </m:rPr>
                              <a:rPr lang="en-US" sz="900">
                                <a:latin typeface="Cambria Math" panose="02040503050406030204" pitchFamily="18" charset="0"/>
                                <a:ea typeface="Cambria Math" panose="02040503050406030204" pitchFamily="18" charset="0"/>
                              </a:rPr>
                              <m:t>days</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the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current</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quarter</m:t>
                            </m:r>
                            <m:r>
                              <a:rPr lang="en-US" sz="900">
                                <a:latin typeface="Cambria Math" panose="02040503050406030204" pitchFamily="18" charset="0"/>
                                <a:ea typeface="Cambria Math" panose="02040503050406030204" pitchFamily="18" charset="0"/>
                              </a:rPr>
                              <m:t> –</m:t>
                            </m:r>
                          </m:e>
                          <m:e>
                            <m:r>
                              <m:rPr>
                                <m:sty m:val="p"/>
                              </m:rPr>
                              <a:rPr lang="en-US" sz="900">
                                <a:latin typeface="Cambria Math" panose="02040503050406030204" pitchFamily="18" charset="0"/>
                                <a:ea typeface="Cambria Math" panose="02040503050406030204" pitchFamily="18" charset="0"/>
                              </a:rPr>
                              <m:t>Overdue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balance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higher</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than</m:t>
                            </m:r>
                            <m:r>
                              <a:rPr lang="en-US" sz="900">
                                <a:latin typeface="Cambria Math" panose="02040503050406030204" pitchFamily="18" charset="0"/>
                                <a:ea typeface="Cambria Math" panose="02040503050406030204" pitchFamily="18" charset="0"/>
                              </a:rPr>
                              <m:t> 90 </m:t>
                            </m:r>
                            <m:r>
                              <m:rPr>
                                <m:sty m:val="p"/>
                              </m:rPr>
                              <a:rPr lang="en-US" sz="900">
                                <a:latin typeface="Cambria Math" panose="02040503050406030204" pitchFamily="18" charset="0"/>
                                <a:ea typeface="Cambria Math" panose="02040503050406030204" pitchFamily="18" charset="0"/>
                              </a:rPr>
                              <m:t>days</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inthe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previous</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quarter</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Write</m:t>
                            </m:r>
                            <m:r>
                              <a:rPr lang="en-US" sz="900">
                                <a:latin typeface="Cambria Math" panose="02040503050406030204" pitchFamily="18" charset="0"/>
                                <a:ea typeface="Cambria Math" panose="02040503050406030204" pitchFamily="18" charset="0"/>
                              </a:rPr>
                              <m:t>−</m:t>
                            </m:r>
                            <m:r>
                              <m:rPr>
                                <m:sty m:val="p"/>
                              </m:rPr>
                              <a:rPr lang="en-US" sz="900">
                                <a:latin typeface="Cambria Math" panose="02040503050406030204" pitchFamily="18" charset="0"/>
                                <a:ea typeface="Cambria Math" panose="02040503050406030204" pitchFamily="18" charset="0"/>
                              </a:rPr>
                              <m:t>off</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change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the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current</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quarter</m:t>
                            </m:r>
                          </m:e>
                        </m:eqArr>
                      </m:num>
                      <m:den>
                        <m:r>
                          <m:rPr>
                            <m:sty m:val="p"/>
                          </m:rPr>
                          <a:rPr lang="en-US" sz="900" b="0" i="0">
                            <a:latin typeface="Cambria Math" panose="02040503050406030204" pitchFamily="18" charset="0"/>
                            <a:ea typeface="Cambria Math" panose="02040503050406030204" pitchFamily="18" charset="0"/>
                          </a:rPr>
                          <m:t>Total</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loans</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and</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advance</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to</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customers</m:t>
                        </m:r>
                        <m:r>
                          <a:rPr lang="en-US" sz="900" b="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in</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the</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previous</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quarter</m:t>
                        </m:r>
                      </m:den>
                    </m:f>
                  </m:oMath>
                </m:oMathPara>
              </a14:m>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Personal efficiency ratio:</a:t>
              </a:r>
            </a:p>
            <a:p>
              <a:pPr algn="ctr"/>
              <a:endParaRPr lang="en-US" sz="500">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en-US" sz="900" i="1">
                            <a:latin typeface="Cambria Math" panose="02040503050406030204" pitchFamily="18" charset="0"/>
                            <a:ea typeface="Cambria Math" panose="02040503050406030204" pitchFamily="18" charset="0"/>
                          </a:rPr>
                        </m:ctrlPr>
                      </m:fPr>
                      <m:num>
                        <m:eqArr>
                          <m:eqArrPr>
                            <m:ctrlPr>
                              <a:rPr lang="en-US" sz="900" i="1">
                                <a:latin typeface="Cambria Math" panose="02040503050406030204" pitchFamily="18" charset="0"/>
                                <a:ea typeface="Cambria Math" panose="02040503050406030204" pitchFamily="18" charset="0"/>
                              </a:rPr>
                            </m:ctrlPr>
                          </m:eqArrPr>
                          <m:e>
                            <m:r>
                              <a:rPr lang="en-US" sz="900" i="0">
                                <a:latin typeface="Cambria Math" panose="02040503050406030204" pitchFamily="18" charset="0"/>
                                <a:ea typeface="Cambria Math" panose="02040503050406030204" pitchFamily="18" charset="0"/>
                              </a:rPr>
                              <m:t> </m:t>
                            </m:r>
                          </m:e>
                          <m:e>
                            <m:r>
                              <m:rPr>
                                <m:sty m:val="p"/>
                              </m:rPr>
                              <a:rPr lang="en-US" sz="900" i="0">
                                <a:latin typeface="Cambria Math" panose="02040503050406030204" pitchFamily="18" charset="0"/>
                                <a:ea typeface="Cambria Math" panose="02040503050406030204" pitchFamily="18" charset="0"/>
                              </a:rPr>
                              <m:t>Person</m:t>
                            </m:r>
                            <m:r>
                              <m:rPr>
                                <m:sty m:val="p"/>
                              </m:rPr>
                              <a:rPr lang="en-US" sz="900" b="0" i="0">
                                <a:latin typeface="Cambria Math" panose="02040503050406030204" pitchFamily="18" charset="0"/>
                                <a:ea typeface="Cambria Math" panose="02040503050406030204" pitchFamily="18" charset="0"/>
                              </a:rPr>
                              <m:t>nel</m:t>
                            </m:r>
                            <m:r>
                              <a:rPr lang="en-US" sz="900" b="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expense</m:t>
                            </m:r>
                          </m:e>
                        </m:eqArr>
                      </m:num>
                      <m:den>
                        <m:r>
                          <m:rPr>
                            <m:sty m:val="p"/>
                          </m:rPr>
                          <a:rPr lang="en-US" sz="900" b="0" i="0">
                            <a:latin typeface="Cambria Math" panose="02040503050406030204" pitchFamily="18" charset="0"/>
                            <a:ea typeface="Cambria Math" panose="02040503050406030204" pitchFamily="18" charset="0"/>
                          </a:rPr>
                          <m:t>Net</m:t>
                        </m:r>
                        <m:r>
                          <a:rPr lang="en-US" sz="900" b="0" i="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Interest</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Income</m:t>
                        </m:r>
                        <m:r>
                          <a:rPr lang="en-US" sz="900">
                            <a:latin typeface="Cambria Math" panose="02040503050406030204" pitchFamily="18" charset="0"/>
                            <a:ea typeface="Cambria Math" panose="02040503050406030204" pitchFamily="18" charset="0"/>
                          </a:rPr>
                          <m:t>+</m:t>
                        </m:r>
                        <m:r>
                          <m:rPr>
                            <m:sty m:val="p"/>
                          </m:rPr>
                          <a:rPr lang="en-US" sz="900">
                            <a:latin typeface="Cambria Math" panose="02040503050406030204" pitchFamily="18" charset="0"/>
                            <a:ea typeface="Cambria Math" panose="02040503050406030204" pitchFamily="18" charset="0"/>
                          </a:rPr>
                          <m:t>Net</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result</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from</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services</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and</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comissions</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Other</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revenue</m:t>
                        </m:r>
                        <m:r>
                          <a:rPr lang="en-US" sz="900">
                            <a:latin typeface="Cambria Math" panose="02040503050406030204" pitchFamily="18" charset="0"/>
                            <a:ea typeface="Cambria Math" panose="02040503050406030204" pitchFamily="18" charset="0"/>
                          </a:rPr>
                          <m:t>−</m:t>
                        </m:r>
                        <m:r>
                          <m:rPr>
                            <m:sty m:val="p"/>
                          </m:rPr>
                          <a:rPr lang="en-US" sz="900">
                            <a:latin typeface="Cambria Math" panose="02040503050406030204" pitchFamily="18" charset="0"/>
                            <a:ea typeface="Cambria Math" panose="02040503050406030204" pitchFamily="18" charset="0"/>
                          </a:rPr>
                          <m:t>Tax</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expense</m:t>
                        </m:r>
                      </m:den>
                    </m:f>
                    <m:r>
                      <a:rPr lang="en-US" sz="900" i="1">
                        <a:latin typeface="Cambria Math" panose="02040503050406030204" pitchFamily="18" charset="0"/>
                        <a:ea typeface="Cambria Math" panose="02040503050406030204" pitchFamily="18" charset="0"/>
                      </a:rPr>
                      <m:t> </m:t>
                    </m:r>
                  </m:oMath>
                </m:oMathPara>
              </a14:m>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Return on average equity (ROE):</a:t>
              </a:r>
            </a:p>
            <a:p>
              <a:pPr algn="ctr"/>
              <a:endParaRPr lang="en-US" sz="800" b="1">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en-US" sz="900" i="1">
                            <a:latin typeface="Cambria Math" panose="02040503050406030204" pitchFamily="18" charset="0"/>
                            <a:ea typeface="Cambria Math" panose="02040503050406030204" pitchFamily="18" charset="0"/>
                          </a:rPr>
                        </m:ctrlPr>
                      </m:fPr>
                      <m:num>
                        <m:r>
                          <a:rPr lang="en-US" sz="900" i="0">
                            <a:latin typeface="Cambria Math" panose="02040503050406030204" pitchFamily="18" charset="0"/>
                            <a:ea typeface="Cambria Math" panose="02040503050406030204" pitchFamily="18" charset="0"/>
                          </a:rPr>
                          <m:t>(</m:t>
                        </m:r>
                        <m:r>
                          <m:rPr>
                            <m:sty m:val="p"/>
                          </m:rPr>
                          <a:rPr lang="en-US" sz="900" i="0">
                            <a:latin typeface="Cambria Math" panose="02040503050406030204" pitchFamily="18" charset="0"/>
                            <a:ea typeface="Cambria Math" panose="02040503050406030204" pitchFamily="18" charset="0"/>
                          </a:rPr>
                          <m:t>Profit</m:t>
                        </m:r>
                        <m:r>
                          <a:rPr lang="en-US" sz="900" i="0">
                            <a:latin typeface="Cambria Math" panose="02040503050406030204" pitchFamily="18" charset="0"/>
                            <a:ea typeface="Cambria Math" panose="02040503050406030204" pitchFamily="18" charset="0"/>
                          </a:rPr>
                          <m:t> / (</m:t>
                        </m:r>
                        <m:r>
                          <m:rPr>
                            <m:sty m:val="p"/>
                          </m:rPr>
                          <a:rPr lang="en-US" sz="900" i="0">
                            <a:latin typeface="Cambria Math" panose="02040503050406030204" pitchFamily="18" charset="0"/>
                            <a:ea typeface="Cambria Math" panose="02040503050406030204" pitchFamily="18" charset="0"/>
                          </a:rPr>
                          <m:t>loss</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for</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the</m:t>
                        </m:r>
                        <m:r>
                          <a:rPr lang="en-US" sz="90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quarter</m:t>
                        </m:r>
                        <m:r>
                          <a:rPr lang="en-US" sz="900" i="0">
                            <a:latin typeface="Cambria Math" panose="02040503050406030204" pitchFamily="18" charset="0"/>
                            <a:ea typeface="Cambria Math" panose="02040503050406030204" pitchFamily="18" charset="0"/>
                          </a:rPr>
                          <m:t>)× 4</m:t>
                        </m:r>
                      </m:num>
                      <m:den>
                        <m:r>
                          <m:rPr>
                            <m:sty m:val="p"/>
                          </m:rPr>
                          <a:rPr lang="en-US" sz="900" i="0">
                            <a:latin typeface="Cambria Math" panose="02040503050406030204" pitchFamily="18" charset="0"/>
                            <a:ea typeface="Cambria Math" panose="02040503050406030204" pitchFamily="18" charset="0"/>
                          </a:rPr>
                          <m:t>Average</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of</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last</m:t>
                        </m:r>
                        <m:r>
                          <a:rPr lang="en-US" sz="900" i="0">
                            <a:latin typeface="Cambria Math" panose="02040503050406030204" pitchFamily="18" charset="0"/>
                            <a:ea typeface="Cambria Math" panose="02040503050406030204" pitchFamily="18" charset="0"/>
                          </a:rPr>
                          <m:t> 2 </m:t>
                        </m:r>
                        <m:r>
                          <m:rPr>
                            <m:sty m:val="p"/>
                          </m:rPr>
                          <a:rPr lang="en-US" sz="900" i="0">
                            <a:latin typeface="Cambria Math" panose="02040503050406030204" pitchFamily="18" charset="0"/>
                            <a:ea typeface="Cambria Math" panose="02040503050406030204" pitchFamily="18" charset="0"/>
                          </a:rPr>
                          <m:t>quarters</m:t>
                        </m:r>
                        <m:r>
                          <a:rPr lang="en-US" sz="900" b="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of</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total</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shareholder</m:t>
                        </m:r>
                        <m:r>
                          <a:rPr lang="en-US" sz="900" i="0">
                            <a:latin typeface="Cambria Math" panose="02040503050406030204" pitchFamily="18" charset="0"/>
                            <a:ea typeface="Cambria Math" panose="02040503050406030204" pitchFamily="18" charset="0"/>
                          </a:rPr>
                          <m:t>`</m:t>
                        </m:r>
                        <m:r>
                          <m:rPr>
                            <m:sty m:val="p"/>
                          </m:rPr>
                          <a:rPr lang="en-US" sz="900" i="0">
                            <a:latin typeface="Cambria Math" panose="02040503050406030204" pitchFamily="18" charset="0"/>
                            <a:ea typeface="Cambria Math" panose="02040503050406030204" pitchFamily="18" charset="0"/>
                          </a:rPr>
                          <m:t>s</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equity</m:t>
                        </m:r>
                      </m:den>
                    </m:f>
                  </m:oMath>
                </m:oMathPara>
              </a14:m>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ea typeface="Cambria Math" panose="02040503050406030204" pitchFamily="18" charset="0"/>
                  <a:cs typeface="Calibri" panose="020F0502020204030204" pitchFamily="34" charset="0"/>
                </a:rPr>
                <a:t>SG&amp;A:</a:t>
              </a:r>
            </a:p>
            <a:p>
              <a:endParaRPr lang="en-US" sz="900" b="1" i="0">
                <a:latin typeface="Calibri" panose="020F0502020204030204" pitchFamily="34" charset="0"/>
                <a:ea typeface="Cambria Math" panose="02040503050406030204" pitchFamily="18" charset="0"/>
                <a:cs typeface="Calibri" panose="020F0502020204030204" pitchFamily="34" charset="0"/>
              </a:endParaRPr>
            </a:p>
            <a:p>
              <a:pPr algn="ctr"/>
              <a14:m>
                <m:oMath xmlns:m="http://schemas.openxmlformats.org/officeDocument/2006/math">
                  <m:r>
                    <m:rPr>
                      <m:sty m:val="p"/>
                    </m:rPr>
                    <a:rPr lang="en-US" sz="900" i="0">
                      <a:latin typeface="Cambria Math" panose="02040503050406030204" pitchFamily="18" charset="0"/>
                      <a:ea typeface="Cambria Math" panose="02040503050406030204" pitchFamily="18" charset="0"/>
                      <a:cs typeface="Sora" pitchFamily="2" charset="0"/>
                    </a:rPr>
                    <m:t>Administrative</m:t>
                  </m:r>
                  <m:r>
                    <a:rPr lang="en-US" sz="900" i="0">
                      <a:latin typeface="Cambria Math" panose="02040503050406030204" pitchFamily="18" charset="0"/>
                      <a:ea typeface="Cambria Math" panose="02040503050406030204" pitchFamily="18" charset="0"/>
                      <a:cs typeface="Sora" pitchFamily="2" charset="0"/>
                    </a:rPr>
                    <m:t> </m:t>
                  </m:r>
                </m:oMath>
              </a14:m>
              <a:r>
                <a:rPr lang="en-US" sz="900">
                  <a:latin typeface="Calibri" panose="020F0502020204030204" pitchFamily="34" charset="0"/>
                  <a:ea typeface="Cambria Math" panose="02040503050406030204" pitchFamily="18" charset="0"/>
                  <a:cs typeface="Calibri" panose="020F0502020204030204" pitchFamily="34" charset="0"/>
                </a:rPr>
                <a:t>Expenses + Personnel Expenses + Depreciation and Amortization</a:t>
              </a: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Stage 3 formation:</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900" i="1">
                            <a:latin typeface="Cambria Math" panose="02040503050406030204" pitchFamily="18" charset="0"/>
                            <a:ea typeface="Cambria Math" panose="02040503050406030204" pitchFamily="18" charset="0"/>
                          </a:rPr>
                        </m:ctrlPr>
                      </m:fPr>
                      <m:num>
                        <m:eqArr>
                          <m:eqArrPr>
                            <m:ctrlPr>
                              <a:rPr lang="en-US" sz="900" i="1">
                                <a:latin typeface="Cambria Math" panose="02040503050406030204" pitchFamily="18" charset="0"/>
                                <a:ea typeface="Cambria Math" panose="02040503050406030204" pitchFamily="18" charset="0"/>
                              </a:rPr>
                            </m:ctrlPr>
                          </m:eqArrPr>
                          <m:e>
                            <m:r>
                              <m:rPr>
                                <m:sty m:val="p"/>
                              </m:rPr>
                              <a:rPr lang="en-US" sz="900">
                                <a:latin typeface="Cambria Math" panose="02040503050406030204" pitchFamily="18" charset="0"/>
                                <a:ea typeface="Cambria Math" panose="02040503050406030204" pitchFamily="18" charset="0"/>
                              </a:rPr>
                              <m:t>Stage</m:t>
                            </m:r>
                            <m:r>
                              <a:rPr lang="en-US" sz="900">
                                <a:latin typeface="Cambria Math" panose="02040503050406030204" pitchFamily="18" charset="0"/>
                                <a:ea typeface="Cambria Math" panose="02040503050406030204" pitchFamily="18" charset="0"/>
                              </a:rPr>
                              <m:t> 3 </m:t>
                            </m:r>
                            <m:r>
                              <m:rPr>
                                <m:sty m:val="p"/>
                              </m:rPr>
                              <a:rPr lang="en-US" sz="900">
                                <a:latin typeface="Cambria Math" panose="02040503050406030204" pitchFamily="18" charset="0"/>
                                <a:ea typeface="Cambria Math" panose="02040503050406030204" pitchFamily="18" charset="0"/>
                              </a:rPr>
                              <m:t>balance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the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current</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quarter</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Stage</m:t>
                            </m:r>
                            <m:r>
                              <a:rPr lang="en-US" sz="900">
                                <a:latin typeface="Cambria Math" panose="02040503050406030204" pitchFamily="18" charset="0"/>
                                <a:ea typeface="Cambria Math" panose="02040503050406030204" pitchFamily="18" charset="0"/>
                              </a:rPr>
                              <m:t> 3 </m:t>
                            </m:r>
                            <m:r>
                              <m:rPr>
                                <m:sty m:val="p"/>
                              </m:rPr>
                              <a:rPr lang="en-US" sz="900">
                                <a:latin typeface="Cambria Math" panose="02040503050406030204" pitchFamily="18" charset="0"/>
                                <a:ea typeface="Cambria Math" panose="02040503050406030204" pitchFamily="18" charset="0"/>
                              </a:rPr>
                              <m:t>balance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the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previous</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quarter</m:t>
                            </m:r>
                          </m:e>
                          <m:e>
                            <m:r>
                              <a:rPr lang="en-US" sz="900">
                                <a:latin typeface="Cambria Math" panose="02040503050406030204" pitchFamily="18" charset="0"/>
                                <a:ea typeface="Cambria Math" panose="02040503050406030204" pitchFamily="18" charset="0"/>
                              </a:rPr>
                              <m:t>+</m:t>
                            </m:r>
                            <m:r>
                              <m:rPr>
                                <m:sty m:val="p"/>
                              </m:rPr>
                              <a:rPr lang="en-US" sz="900">
                                <a:latin typeface="Cambria Math" panose="02040503050406030204" pitchFamily="18" charset="0"/>
                                <a:ea typeface="Cambria Math" panose="02040503050406030204" pitchFamily="18" charset="0"/>
                              </a:rPr>
                              <m:t>Write</m:t>
                            </m:r>
                            <m:r>
                              <a:rPr lang="en-US" sz="900">
                                <a:latin typeface="Cambria Math" panose="02040503050406030204" pitchFamily="18" charset="0"/>
                                <a:ea typeface="Cambria Math" panose="02040503050406030204" pitchFamily="18" charset="0"/>
                              </a:rPr>
                              <m:t>−</m:t>
                            </m:r>
                            <m:r>
                              <m:rPr>
                                <m:sty m:val="p"/>
                              </m:rPr>
                              <a:rPr lang="en-US" sz="900">
                                <a:latin typeface="Cambria Math" panose="02040503050406030204" pitchFamily="18" charset="0"/>
                                <a:ea typeface="Cambria Math" panose="02040503050406030204" pitchFamily="18" charset="0"/>
                              </a:rPr>
                              <m:t>off</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change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in</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the</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current</m:t>
                            </m:r>
                            <m:r>
                              <a:rPr lang="en-US" sz="900">
                                <a:latin typeface="Cambria Math" panose="02040503050406030204" pitchFamily="18" charset="0"/>
                                <a:ea typeface="Cambria Math" panose="02040503050406030204" pitchFamily="18" charset="0"/>
                              </a:rPr>
                              <m:t> </m:t>
                            </m:r>
                            <m:r>
                              <m:rPr>
                                <m:sty m:val="p"/>
                              </m:rPr>
                              <a:rPr lang="en-US" sz="900">
                                <a:latin typeface="Cambria Math" panose="02040503050406030204" pitchFamily="18" charset="0"/>
                                <a:ea typeface="Cambria Math" panose="02040503050406030204" pitchFamily="18" charset="0"/>
                              </a:rPr>
                              <m:t>quarter</m:t>
                            </m:r>
                          </m:e>
                        </m:eqArr>
                      </m:num>
                      <m:den>
                        <m:r>
                          <m:rPr>
                            <m:sty m:val="p"/>
                          </m:rPr>
                          <a:rPr lang="en-US" sz="900" b="0" i="0">
                            <a:latin typeface="Cambria Math" panose="02040503050406030204" pitchFamily="18" charset="0"/>
                            <a:ea typeface="Cambria Math" panose="02040503050406030204" pitchFamily="18" charset="0"/>
                          </a:rPr>
                          <m:t>Total</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loans</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and</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advance</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to</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customers</m:t>
                        </m:r>
                        <m:r>
                          <a:rPr lang="en-US" sz="900" b="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in</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the</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previous</m:t>
                        </m:r>
                        <m:r>
                          <a:rPr lang="en-US" sz="900" i="0">
                            <a:latin typeface="Cambria Math" panose="02040503050406030204" pitchFamily="18" charset="0"/>
                            <a:ea typeface="Cambria Math" panose="02040503050406030204" pitchFamily="18" charset="0"/>
                          </a:rPr>
                          <m:t> </m:t>
                        </m:r>
                        <m:r>
                          <m:rPr>
                            <m:sty m:val="p"/>
                          </m:rPr>
                          <a:rPr lang="en-US" sz="900" i="0">
                            <a:latin typeface="Cambria Math" panose="02040503050406030204" pitchFamily="18" charset="0"/>
                            <a:ea typeface="Cambria Math" panose="02040503050406030204" pitchFamily="18" charset="0"/>
                          </a:rPr>
                          <m:t>quarter</m:t>
                        </m:r>
                      </m:den>
                    </m:f>
                  </m:oMath>
                </m:oMathPara>
              </a14:m>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Tier I ratio:</a:t>
              </a:r>
            </a:p>
            <a:p>
              <a:endParaRPr lang="en-US" sz="800" b="1">
                <a:highlight>
                  <a:srgbClr val="FFFF00"/>
                </a:highlight>
                <a:latin typeface="Calibri" panose="020F0502020204030204" pitchFamily="34" charset="0"/>
                <a:ea typeface="Cambria Math" panose="02040503050406030204" pitchFamily="18"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en-US" sz="900" i="1">
                            <a:latin typeface="Cambria Math" panose="02040503050406030204" pitchFamily="18" charset="0"/>
                            <a:ea typeface="Cambria Math" panose="02040503050406030204" pitchFamily="18" charset="0"/>
                          </a:rPr>
                        </m:ctrlPr>
                      </m:fPr>
                      <m:num>
                        <m:r>
                          <m:rPr>
                            <m:sty m:val="p"/>
                          </m:rPr>
                          <a:rPr lang="en-US" sz="900" b="0" i="0">
                            <a:latin typeface="Cambria Math" panose="02040503050406030204" pitchFamily="18" charset="0"/>
                            <a:ea typeface="Cambria Math" panose="02040503050406030204" pitchFamily="18" charset="0"/>
                          </a:rPr>
                          <m:t>Tier</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I</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referential</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equity</m:t>
                        </m:r>
                      </m:num>
                      <m:den>
                        <m:r>
                          <m:rPr>
                            <m:sty m:val="p"/>
                          </m:rPr>
                          <a:rPr lang="en-US" sz="900" b="0" i="0">
                            <a:latin typeface="Cambria Math" panose="02040503050406030204" pitchFamily="18" charset="0"/>
                            <a:ea typeface="Cambria Math" panose="02040503050406030204" pitchFamily="18" charset="0"/>
                          </a:rPr>
                          <m:t>Risk</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weighted</m:t>
                        </m:r>
                        <m:r>
                          <a:rPr lang="en-US" sz="900" b="0" i="0">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assets</m:t>
                        </m:r>
                      </m:den>
                    </m:f>
                  </m:oMath>
                </m:oMathPara>
              </a14:m>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Total gross revenue:</a:t>
              </a:r>
            </a:p>
            <a:p>
              <a:endParaRPr lang="en-US" sz="5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14:m>
                <m:oMathPara xmlns:m="http://schemas.openxmlformats.org/officeDocument/2006/math">
                  <m:oMathParaPr>
                    <m:jc m:val="center"/>
                  </m:oMathParaPr>
                  <m:oMath xmlns:m="http://schemas.openxmlformats.org/officeDocument/2006/math">
                    <m:r>
                      <m:rPr>
                        <m:sty m:val="p"/>
                      </m:rPr>
                      <a:rPr lang="en-US" sz="900" i="0">
                        <a:latin typeface="Cambria Math" panose="02040503050406030204" pitchFamily="18" charset="0"/>
                        <a:ea typeface="Cambria Math" panose="02040503050406030204" pitchFamily="18" charset="0"/>
                        <a:cs typeface="Sora" pitchFamily="2" charset="0"/>
                      </a:rPr>
                      <m:t>Interest</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income</m:t>
                    </m:r>
                    <m:r>
                      <a:rPr lang="en-US" sz="900" i="0">
                        <a:latin typeface="Cambria Math" panose="02040503050406030204" pitchFamily="18" charset="0"/>
                        <a:ea typeface="Cambria Math" panose="02040503050406030204" pitchFamily="18" charset="0"/>
                        <a:cs typeface="Sora" pitchFamily="2" charset="0"/>
                      </a:rPr>
                      <m:t> +</m:t>
                    </m:r>
                    <m:d>
                      <m:dPr>
                        <m:ctrlPr>
                          <a:rPr lang="en-US" sz="900" b="0" i="1">
                            <a:latin typeface="Cambria Math" panose="02040503050406030204" pitchFamily="18" charset="0"/>
                            <a:ea typeface="Cambria Math" panose="02040503050406030204" pitchFamily="18" charset="0"/>
                            <a:cs typeface="Sora" pitchFamily="2" charset="0"/>
                          </a:rPr>
                        </m:ctrlPr>
                      </m:dPr>
                      <m:e>
                        <m:r>
                          <m:rPr>
                            <m:sty m:val="p"/>
                          </m:rPr>
                          <a:rPr lang="en-US" sz="900" b="0" i="0">
                            <a:latin typeface="Cambria Math" panose="02040503050406030204" pitchFamily="18" charset="0"/>
                            <a:ea typeface="Cambria Math" panose="02040503050406030204" pitchFamily="18" charset="0"/>
                            <a:cs typeface="Sora" pitchFamily="2" charset="0"/>
                          </a:rPr>
                          <m:t>Revenue</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from</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services</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and</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commissions</m:t>
                        </m:r>
                        <m:r>
                          <a:rPr lang="en-US" sz="900" b="0" i="0">
                            <a:latin typeface="Cambria Math" panose="02040503050406030204" pitchFamily="18" charset="0"/>
                            <a:ea typeface="Cambria Math" panose="02040503050406030204" pitchFamily="18" charset="0"/>
                            <a:cs typeface="Sora" pitchFamily="2" charset="0"/>
                          </a:rPr>
                          <m:t>−</m:t>
                        </m:r>
                        <m:r>
                          <m:rPr>
                            <m:sty m:val="p"/>
                          </m:rPr>
                          <a:rPr lang="en-US" sz="900" b="0" i="0">
                            <a:latin typeface="Cambria Math" panose="02040503050406030204" pitchFamily="18" charset="0"/>
                            <a:ea typeface="Cambria Math" panose="02040503050406030204" pitchFamily="18" charset="0"/>
                            <a:cs typeface="Sora" pitchFamily="2" charset="0"/>
                          </a:rPr>
                          <m:t>Cashback</m:t>
                        </m:r>
                        <m:r>
                          <a:rPr lang="en-US" sz="900" b="0" i="0">
                            <a:latin typeface="Cambria Math" panose="02040503050406030204" pitchFamily="18" charset="0"/>
                            <a:ea typeface="Cambria Math" panose="02040503050406030204" pitchFamily="18" charset="0"/>
                            <a:cs typeface="Sora" pitchFamily="2" charset="0"/>
                          </a:rPr>
                          <m:t> </m:t>
                        </m:r>
                        <m:r>
                          <m:rPr>
                            <m:sty m:val="p"/>
                          </m:rPr>
                          <a:rPr lang="en-US" sz="900" b="0" i="0">
                            <a:latin typeface="Cambria Math" panose="02040503050406030204" pitchFamily="18" charset="0"/>
                            <a:ea typeface="Cambria Math" panose="02040503050406030204" pitchFamily="18" charset="0"/>
                            <a:cs typeface="Sora" pitchFamily="2" charset="0"/>
                          </a:rPr>
                          <m:t>expenses</m:t>
                        </m:r>
                        <m:r>
                          <a:rPr lang="en-US" sz="900" b="0" i="0">
                            <a:latin typeface="Cambria Math" panose="02040503050406030204" pitchFamily="18" charset="0"/>
                            <a:ea typeface="Cambria Math" panose="02040503050406030204" pitchFamily="18" charset="0"/>
                            <a:cs typeface="Sora" pitchFamily="2" charset="0"/>
                          </a:rPr>
                          <m:t> −</m:t>
                        </m:r>
                        <m:r>
                          <m:rPr>
                            <m:sty m:val="p"/>
                          </m:rPr>
                          <a:rPr lang="en-US" sz="900" b="0" i="0">
                            <a:latin typeface="Cambria Math" panose="02040503050406030204" pitchFamily="18" charset="0"/>
                            <a:ea typeface="Cambria Math" panose="02040503050406030204" pitchFamily="18" charset="0"/>
                            <a:cs typeface="Sora" pitchFamily="2" charset="0"/>
                          </a:rPr>
                          <m:t>Inter</m:t>
                        </m:r>
                        <m:r>
                          <a:rPr lang="en-US" sz="900" b="0" i="0">
                            <a:latin typeface="Cambria Math" panose="02040503050406030204" pitchFamily="18" charset="0"/>
                            <a:ea typeface="Cambria Math" panose="02040503050406030204" pitchFamily="18" charset="0"/>
                            <a:cs typeface="Sora" pitchFamily="2" charset="0"/>
                          </a:rPr>
                          <m:t> </m:t>
                        </m:r>
                        <m:r>
                          <m:rPr>
                            <m:sty m:val="p"/>
                          </m:rPr>
                          <a:rPr lang="en-US" sz="900" b="0" i="0">
                            <a:latin typeface="Cambria Math" panose="02040503050406030204" pitchFamily="18" charset="0"/>
                            <a:ea typeface="Cambria Math" panose="02040503050406030204" pitchFamily="18" charset="0"/>
                            <a:cs typeface="Sora" pitchFamily="2" charset="0"/>
                          </a:rPr>
                          <m:t>rewards</m:t>
                        </m:r>
                      </m:e>
                    </m:d>
                    <m:r>
                      <a:rPr lang="en-US" sz="900" b="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Income</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from</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securities</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b="0" i="0">
                        <a:latin typeface="Cambria Math" panose="02040503050406030204" pitchFamily="18" charset="0"/>
                        <a:ea typeface="Cambria Math" panose="02040503050406030204" pitchFamily="18" charset="0"/>
                        <a:cs typeface="Sora" pitchFamily="2" charset="0"/>
                      </a:rPr>
                      <m:t>and</m:t>
                    </m:r>
                    <m:r>
                      <a:rPr lang="en-US" sz="900" b="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derivatives</m:t>
                    </m:r>
                    <m:r>
                      <a:rPr lang="en-US" sz="900" i="0">
                        <a:latin typeface="Cambria Math" panose="02040503050406030204" pitchFamily="18" charset="0"/>
                        <a:ea typeface="Cambria Math" panose="02040503050406030204" pitchFamily="18" charset="0"/>
                        <a:cs typeface="Sora" pitchFamily="2" charset="0"/>
                      </a:rPr>
                      <m:t> + </m:t>
                    </m:r>
                    <m:r>
                      <m:rPr>
                        <m:sty m:val="p"/>
                      </m:rPr>
                      <a:rPr lang="en-US" sz="900" i="0">
                        <a:latin typeface="Cambria Math" panose="02040503050406030204" pitchFamily="18" charset="0"/>
                        <a:ea typeface="Cambria Math" panose="02040503050406030204" pitchFamily="18" charset="0"/>
                        <a:cs typeface="Sora" pitchFamily="2" charset="0"/>
                      </a:rPr>
                      <m:t>Other</m:t>
                    </m:r>
                    <m:r>
                      <a:rPr lang="en-US" sz="900" i="0">
                        <a:latin typeface="Cambria Math" panose="02040503050406030204" pitchFamily="18" charset="0"/>
                        <a:ea typeface="Cambria Math" panose="02040503050406030204" pitchFamily="18" charset="0"/>
                        <a:cs typeface="Sora" pitchFamily="2" charset="0"/>
                      </a:rPr>
                      <m:t> </m:t>
                    </m:r>
                    <m:r>
                      <m:rPr>
                        <m:sty m:val="p"/>
                      </m:rPr>
                      <a:rPr lang="en-US" sz="900" i="0">
                        <a:latin typeface="Cambria Math" panose="02040503050406030204" pitchFamily="18" charset="0"/>
                        <a:ea typeface="Cambria Math" panose="02040503050406030204" pitchFamily="18" charset="0"/>
                        <a:cs typeface="Sora" pitchFamily="2" charset="0"/>
                      </a:rPr>
                      <m:t>revenue</m:t>
                    </m:r>
                  </m:oMath>
                </m:oMathPara>
              </a14:m>
              <a:endParaRPr lang="en-US" sz="9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100">
                <a:solidFill>
                  <a:schemeClr val="tx1">
                    <a:lumMod val="85000"/>
                    <a:lumOff val="15000"/>
                  </a:schemeClr>
                </a:solidFill>
                <a:highlight>
                  <a:srgbClr val="FFFF00"/>
                </a:highlight>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xdr:txBody>
        </xdr:sp>
      </mc:Choice>
      <mc:Fallback xmlns="">
        <xdr:sp macro="" textlink="">
          <xdr:nvSpPr>
            <xdr:cNvPr id="36" name="Retângulo 9">
              <a:extLst>
                <a:ext uri="{FF2B5EF4-FFF2-40B4-BE49-F238E27FC236}">
                  <a16:creationId xmlns:a16="http://schemas.microsoft.com/office/drawing/2014/main" id="{70BBBFDC-97EA-DB78-9935-3D590DAA2910}"/>
                </a:ext>
              </a:extLst>
            </xdr:cNvPr>
            <xdr:cNvSpPr/>
          </xdr:nvSpPr>
          <xdr:spPr>
            <a:xfrm>
              <a:off x="245533" y="32529670"/>
              <a:ext cx="5679293" cy="6413935"/>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b="1">
                  <a:latin typeface="Calibri" panose="020F0502020204030204" pitchFamily="34" charset="0"/>
                  <a:cs typeface="Calibri" panose="020F0502020204030204" pitchFamily="34" charset="0"/>
                </a:rPr>
                <a:t>NPL &gt; 90 days:</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en-US" sz="900" i="0">
                  <a:latin typeface="Cambria Math" panose="02040503050406030204" pitchFamily="18" charset="0"/>
                  <a:ea typeface="Cambria Math" panose="02040503050406030204" pitchFamily="18" charset="0"/>
                </a:rPr>
                <a:t>(Overdue higher than 90 days)/(Loans and Advance to Costumers + Loans to  financial institutions  )</a:t>
              </a:r>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lgn="ctr"/>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NPL formation:</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en-US" sz="900" i="0">
                  <a:latin typeface="Cambria Math" panose="02040503050406030204" pitchFamily="18" charset="0"/>
                  <a:ea typeface="Cambria Math" panose="02040503050406030204" pitchFamily="18" charset="0"/>
                </a:rPr>
                <a:t>█(Overdue balance higher than 90 days in the current quarter –@Overdue balance higher than 90 days inthe previous quarter +Write−off change in the current quarter)/(</a:t>
              </a:r>
              <a:r>
                <a:rPr lang="en-US" sz="900" b="0" i="0">
                  <a:latin typeface="Cambria Math" panose="02040503050406030204" pitchFamily="18" charset="0"/>
                  <a:ea typeface="Cambria Math" panose="02040503050406030204" pitchFamily="18" charset="0"/>
                </a:rPr>
                <a:t>Total loans and advance to customers </a:t>
              </a:r>
              <a:r>
                <a:rPr lang="en-US" sz="900" i="0">
                  <a:latin typeface="Cambria Math" panose="02040503050406030204" pitchFamily="18" charset="0"/>
                  <a:ea typeface="Cambria Math" panose="02040503050406030204" pitchFamily="18" charset="0"/>
                </a:rPr>
                <a:t>in the previous quarter)</a:t>
              </a: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Personal efficiency ratio:</a:t>
              </a:r>
            </a:p>
            <a:p>
              <a:pPr algn="ctr"/>
              <a:endParaRPr lang="en-US" sz="500">
                <a:latin typeface="Calibri" panose="020F0502020204030204" pitchFamily="34" charset="0"/>
                <a:ea typeface="Cambria Math" panose="02040503050406030204" pitchFamily="18" charset="0"/>
                <a:cs typeface="Calibri" panose="020F0502020204030204" pitchFamily="34" charset="0"/>
              </a:endParaRPr>
            </a:p>
            <a:p>
              <a:pPr algn="ctr"/>
              <a:r>
                <a:rPr lang="en-US" sz="900" i="0">
                  <a:latin typeface="Cambria Math" panose="02040503050406030204" pitchFamily="18" charset="0"/>
                  <a:ea typeface="Cambria Math" panose="02040503050406030204" pitchFamily="18" charset="0"/>
                </a:rPr>
                <a:t>█( @Person</a:t>
              </a:r>
              <a:r>
                <a:rPr lang="en-US" sz="900" b="0" i="0">
                  <a:latin typeface="Cambria Math" panose="02040503050406030204" pitchFamily="18" charset="0"/>
                  <a:ea typeface="Cambria Math" panose="02040503050406030204" pitchFamily="18" charset="0"/>
                </a:rPr>
                <a:t>nel </a:t>
              </a:r>
              <a:r>
                <a:rPr lang="en-US" sz="900" i="0">
                  <a:latin typeface="Cambria Math" panose="02040503050406030204" pitchFamily="18" charset="0"/>
                  <a:ea typeface="Cambria Math" panose="02040503050406030204" pitchFamily="18" charset="0"/>
                </a:rPr>
                <a:t>expense)/(</a:t>
              </a:r>
              <a:r>
                <a:rPr lang="en-US" sz="900" b="0" i="0">
                  <a:latin typeface="Cambria Math" panose="02040503050406030204" pitchFamily="18" charset="0"/>
                  <a:ea typeface="Cambria Math" panose="02040503050406030204" pitchFamily="18" charset="0"/>
                </a:rPr>
                <a:t>Net </a:t>
              </a:r>
              <a:r>
                <a:rPr lang="en-US" sz="900" i="0">
                  <a:latin typeface="Cambria Math" panose="02040503050406030204" pitchFamily="18" charset="0"/>
                  <a:ea typeface="Cambria Math" panose="02040503050406030204" pitchFamily="18" charset="0"/>
                </a:rPr>
                <a:t>Interest Income+Net result from services and comissions+ Other revenue−Tax expense)  </a:t>
              </a:r>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Return on average equity (ROE):</a:t>
              </a:r>
            </a:p>
            <a:p>
              <a:pPr algn="ctr"/>
              <a:endParaRPr lang="en-US" sz="800" b="1">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lgn="ctr"/>
              <a:r>
                <a:rPr lang="en-US" sz="900" i="0">
                  <a:latin typeface="Cambria Math" panose="02040503050406030204" pitchFamily="18" charset="0"/>
                  <a:ea typeface="Cambria Math" panose="02040503050406030204" pitchFamily="18" charset="0"/>
                </a:rPr>
                <a:t>((Profit / (loss) for the </a:t>
              </a:r>
              <a:r>
                <a:rPr lang="en-US" sz="900" b="0" i="0">
                  <a:latin typeface="Cambria Math" panose="02040503050406030204" pitchFamily="18" charset="0"/>
                  <a:ea typeface="Cambria Math" panose="02040503050406030204" pitchFamily="18" charset="0"/>
                </a:rPr>
                <a:t>quarter</a:t>
              </a:r>
              <a:r>
                <a:rPr lang="en-US" sz="900" i="0">
                  <a:latin typeface="Cambria Math" panose="02040503050406030204" pitchFamily="18" charset="0"/>
                  <a:ea typeface="Cambria Math" panose="02040503050406030204" pitchFamily="18" charset="0"/>
                </a:rPr>
                <a:t>)× 4)/(Average of last 2 quarters</a:t>
              </a:r>
              <a:r>
                <a:rPr lang="en-US" sz="900" b="0" i="0">
                  <a:latin typeface="Cambria Math" panose="02040503050406030204" pitchFamily="18" charset="0"/>
                  <a:ea typeface="Cambria Math" panose="02040503050406030204" pitchFamily="18" charset="0"/>
                </a:rPr>
                <a:t> </a:t>
              </a:r>
              <a:r>
                <a:rPr lang="en-US" sz="900" i="0">
                  <a:latin typeface="Cambria Math" panose="02040503050406030204" pitchFamily="18" charset="0"/>
                  <a:ea typeface="Cambria Math" panose="02040503050406030204" pitchFamily="18" charset="0"/>
                </a:rPr>
                <a:t>of total shareholder`s equity)</a:t>
              </a: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ea typeface="Cambria Math" panose="02040503050406030204" pitchFamily="18" charset="0"/>
                  <a:cs typeface="Calibri" panose="020F0502020204030204" pitchFamily="34" charset="0"/>
                </a:rPr>
                <a:t>SG&amp;A:</a:t>
              </a:r>
            </a:p>
            <a:p>
              <a:endParaRPr lang="en-US" sz="900" b="1" i="0">
                <a:latin typeface="Calibri" panose="020F0502020204030204" pitchFamily="34" charset="0"/>
                <a:ea typeface="Cambria Math" panose="02040503050406030204" pitchFamily="18" charset="0"/>
                <a:cs typeface="Calibri" panose="020F0502020204030204" pitchFamily="34" charset="0"/>
              </a:endParaRPr>
            </a:p>
            <a:p>
              <a:pPr algn="ctr"/>
              <a:r>
                <a:rPr lang="en-US" sz="900" i="0">
                  <a:latin typeface="Cambria Math" panose="02040503050406030204" pitchFamily="18" charset="0"/>
                  <a:ea typeface="Cambria Math" panose="02040503050406030204" pitchFamily="18" charset="0"/>
                  <a:cs typeface="Sora" pitchFamily="2" charset="0"/>
                </a:rPr>
                <a:t>Administrative </a:t>
              </a:r>
              <a:r>
                <a:rPr lang="en-US" sz="900">
                  <a:latin typeface="Calibri" panose="020F0502020204030204" pitchFamily="34" charset="0"/>
                  <a:ea typeface="Cambria Math" panose="02040503050406030204" pitchFamily="18" charset="0"/>
                  <a:cs typeface="Calibri" panose="020F0502020204030204" pitchFamily="34" charset="0"/>
                </a:rPr>
                <a:t>Expenses + Personnel Expenses + Depreciation and Amortization</a:t>
              </a: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Stage 3 formation:</a:t>
              </a:r>
            </a:p>
            <a:p>
              <a:endParaRPr lang="en-US" sz="800" b="1">
                <a:latin typeface="Calibri" panose="020F0502020204030204" pitchFamily="34" charset="0"/>
                <a:ea typeface="Cambria Math" panose="02040503050406030204" pitchFamily="18" charset="0"/>
                <a:cs typeface="Calibri" panose="020F0502020204030204" pitchFamily="34" charset="0"/>
              </a:endParaRPr>
            </a:p>
            <a:p>
              <a:pPr/>
              <a:r>
                <a:rPr lang="en-US" sz="900" i="0">
                  <a:latin typeface="Cambria Math" panose="02040503050406030204" pitchFamily="18" charset="0"/>
                  <a:ea typeface="Cambria Math" panose="02040503050406030204" pitchFamily="18" charset="0"/>
                </a:rPr>
                <a:t>█(Stage 3 balance in the current quarter –Stage 3 balance in the previous quarter@+Write−off change in the current quarter)/(</a:t>
              </a:r>
              <a:r>
                <a:rPr lang="en-US" sz="900" b="0" i="0">
                  <a:latin typeface="Cambria Math" panose="02040503050406030204" pitchFamily="18" charset="0"/>
                  <a:ea typeface="Cambria Math" panose="02040503050406030204" pitchFamily="18" charset="0"/>
                </a:rPr>
                <a:t>Total loans and advance to customers </a:t>
              </a:r>
              <a:r>
                <a:rPr lang="en-US" sz="900" i="0">
                  <a:latin typeface="Cambria Math" panose="02040503050406030204" pitchFamily="18" charset="0"/>
                  <a:ea typeface="Cambria Math" panose="02040503050406030204" pitchFamily="18" charset="0"/>
                </a:rPr>
                <a:t>in the previous quarter)</a:t>
              </a:r>
              <a:endParaRPr lang="en-US" sz="900" b="1">
                <a:latin typeface="Calibri" panose="020F0502020204030204" pitchFamily="34" charset="0"/>
                <a:ea typeface="Cambria Math" panose="02040503050406030204" pitchFamily="18" charset="0"/>
                <a:cs typeface="Calibri" panose="020F0502020204030204" pitchFamily="34" charset="0"/>
              </a:endParaRPr>
            </a:p>
            <a:p>
              <a:endParaRPr lang="en-US" sz="900" b="1">
                <a:latin typeface="Calibri" panose="020F0502020204030204" pitchFamily="34" charset="0"/>
                <a:cs typeface="Calibri" panose="020F0502020204030204" pitchFamily="34" charset="0"/>
              </a:endParaRPr>
            </a:p>
            <a:p>
              <a:r>
                <a:rPr lang="en-US" sz="900" b="1">
                  <a:latin typeface="Calibri" panose="020F0502020204030204" pitchFamily="34" charset="0"/>
                  <a:cs typeface="Calibri" panose="020F0502020204030204" pitchFamily="34" charset="0"/>
                </a:rPr>
                <a:t>Tier I ratio:</a:t>
              </a:r>
            </a:p>
            <a:p>
              <a:endParaRPr lang="en-US" sz="800" b="1">
                <a:highlight>
                  <a:srgbClr val="FFFF00"/>
                </a:highlight>
                <a:latin typeface="Calibri" panose="020F0502020204030204" pitchFamily="34" charset="0"/>
                <a:ea typeface="Cambria Math" panose="02040503050406030204" pitchFamily="18" charset="0"/>
                <a:cs typeface="Calibri" panose="020F0502020204030204" pitchFamily="34" charset="0"/>
              </a:endParaRPr>
            </a:p>
            <a:p>
              <a:pPr algn="ctr"/>
              <a:r>
                <a:rPr lang="en-US" sz="900" i="0">
                  <a:latin typeface="Cambria Math" panose="02040503050406030204" pitchFamily="18" charset="0"/>
                  <a:ea typeface="Cambria Math" panose="02040503050406030204" pitchFamily="18" charset="0"/>
                </a:rPr>
                <a:t>(</a:t>
              </a:r>
              <a:r>
                <a:rPr lang="en-US" sz="900" b="0" i="0">
                  <a:latin typeface="Cambria Math" panose="02040503050406030204" pitchFamily="18" charset="0"/>
                  <a:ea typeface="Cambria Math" panose="02040503050406030204" pitchFamily="18" charset="0"/>
                </a:rPr>
                <a:t>Tier I referential equity)/(Risk weighted assets)</a:t>
              </a:r>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r>
                <a:rPr lang="en-US" sz="900" b="1">
                  <a:latin typeface="Calibri" panose="020F0502020204030204" pitchFamily="34" charset="0"/>
                  <a:cs typeface="Calibri" panose="020F0502020204030204" pitchFamily="34" charset="0"/>
                </a:rPr>
                <a:t>Total gross revenue:</a:t>
              </a:r>
            </a:p>
            <a:p>
              <a:endParaRPr lang="en-US" sz="5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pPr/>
              <a:r>
                <a:rPr lang="en-US" sz="900" i="0">
                  <a:latin typeface="Cambria Math" panose="02040503050406030204" pitchFamily="18" charset="0"/>
                  <a:ea typeface="Cambria Math" panose="02040503050406030204" pitchFamily="18" charset="0"/>
                  <a:cs typeface="Sora" pitchFamily="2" charset="0"/>
                </a:rPr>
                <a:t>Interest income +</a:t>
              </a:r>
              <a:r>
                <a:rPr lang="en-US" sz="900" b="0" i="0">
                  <a:latin typeface="Cambria Math" panose="02040503050406030204" pitchFamily="18" charset="0"/>
                  <a:ea typeface="Cambria Math" panose="02040503050406030204" pitchFamily="18" charset="0"/>
                  <a:cs typeface="Sora" pitchFamily="2" charset="0"/>
                </a:rPr>
                <a:t>(Revenue</a:t>
              </a:r>
              <a:r>
                <a:rPr lang="en-US" sz="900" i="0">
                  <a:latin typeface="Cambria Math" panose="02040503050406030204" pitchFamily="18" charset="0"/>
                  <a:ea typeface="Cambria Math" panose="02040503050406030204" pitchFamily="18" charset="0"/>
                  <a:cs typeface="Sora" pitchFamily="2" charset="0"/>
                </a:rPr>
                <a:t> from services and commissions</a:t>
              </a:r>
              <a:r>
                <a:rPr lang="en-US" sz="900" b="0" i="0">
                  <a:latin typeface="Cambria Math" panose="02040503050406030204" pitchFamily="18" charset="0"/>
                  <a:ea typeface="Cambria Math" panose="02040503050406030204" pitchFamily="18" charset="0"/>
                  <a:cs typeface="Sora" pitchFamily="2" charset="0"/>
                </a:rPr>
                <a:t>−Cashback expenses −Inter rewards)+ </a:t>
              </a:r>
              <a:r>
                <a:rPr lang="en-US" sz="900" i="0">
                  <a:latin typeface="Cambria Math" panose="02040503050406030204" pitchFamily="18" charset="0"/>
                  <a:ea typeface="Cambria Math" panose="02040503050406030204" pitchFamily="18" charset="0"/>
                  <a:cs typeface="Sora" pitchFamily="2" charset="0"/>
                </a:rPr>
                <a:t>Income from securities </a:t>
              </a:r>
              <a:r>
                <a:rPr lang="en-US" sz="900" b="0" i="0">
                  <a:latin typeface="Cambria Math" panose="02040503050406030204" pitchFamily="18" charset="0"/>
                  <a:ea typeface="Cambria Math" panose="02040503050406030204" pitchFamily="18" charset="0"/>
                  <a:cs typeface="Sora" pitchFamily="2" charset="0"/>
                </a:rPr>
                <a:t>and </a:t>
              </a:r>
              <a:r>
                <a:rPr lang="en-US" sz="900" i="0">
                  <a:latin typeface="Cambria Math" panose="02040503050406030204" pitchFamily="18" charset="0"/>
                  <a:ea typeface="Cambria Math" panose="02040503050406030204" pitchFamily="18" charset="0"/>
                  <a:cs typeface="Sora" pitchFamily="2" charset="0"/>
                </a:rPr>
                <a:t>derivatives + Other revenue</a:t>
              </a:r>
              <a:endParaRPr lang="en-US" sz="9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100">
                <a:solidFill>
                  <a:schemeClr val="tx1">
                    <a:lumMod val="85000"/>
                    <a:lumOff val="15000"/>
                  </a:schemeClr>
                </a:solidFill>
                <a:highlight>
                  <a:srgbClr val="FFFF00"/>
                </a:highlight>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xdr:txBody>
        </xdr:sp>
      </mc:Fallback>
    </mc:AlternateContent>
    <xdr:clientData/>
  </xdr:twoCellAnchor>
  <xdr:twoCellAnchor>
    <xdr:from>
      <xdr:col>8</xdr:col>
      <xdr:colOff>115454</xdr:colOff>
      <xdr:row>4</xdr:row>
      <xdr:rowOff>28863</xdr:rowOff>
    </xdr:from>
    <xdr:to>
      <xdr:col>15</xdr:col>
      <xdr:colOff>90481</xdr:colOff>
      <xdr:row>30</xdr:row>
      <xdr:rowOff>107765</xdr:rowOff>
    </xdr:to>
    <mc:AlternateContent xmlns:mc="http://schemas.openxmlformats.org/markup-compatibility/2006" xmlns:a14="http://schemas.microsoft.com/office/drawing/2010/main">
      <mc:Choice Requires="a14">
        <xdr:sp macro="" textlink="">
          <xdr:nvSpPr>
            <xdr:cNvPr id="45" name="Retângulo 9">
              <a:extLst>
                <a:ext uri="{FF2B5EF4-FFF2-40B4-BE49-F238E27FC236}">
                  <a16:creationId xmlns:a16="http://schemas.microsoft.com/office/drawing/2014/main" id="{00000000-0008-0000-1600-00002D000000}"/>
                </a:ext>
              </a:extLst>
            </xdr:cNvPr>
            <xdr:cNvSpPr/>
          </xdr:nvSpPr>
          <xdr:spPr>
            <a:xfrm>
              <a:off x="6741541" y="765095"/>
              <a:ext cx="5772853" cy="486440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solidFill>
                    <a:schemeClr val="tx1"/>
                  </a:solidFill>
                  <a:latin typeface="Calibri" panose="020F0502020204030204" pitchFamily="34" charset="0"/>
                  <a:cs typeface="Calibri" panose="020F0502020204030204" pitchFamily="34" charset="0"/>
                </a:rPr>
                <a:t>Clientes ativos:</a:t>
              </a:r>
            </a:p>
            <a:p>
              <a:pPr algn="just"/>
              <a:r>
                <a:rPr lang="en-US" sz="800">
                  <a:solidFill>
                    <a:schemeClr val="tx1"/>
                  </a:solidFill>
                  <a:latin typeface="Calibri" panose="020F0502020204030204" pitchFamily="34" charset="0"/>
                  <a:ea typeface="Inter Light BETA" panose="020B0402030000000004" pitchFamily="34" charset="0"/>
                  <a:cs typeface="Calibri" panose="020F0502020204030204" pitchFamily="34" charset="0"/>
                </a:rPr>
                <a:t>Nós definimos um cliente ativo como um cliente em qualquer data que foi a fonte de qualquer quantia de receita para nós nos últimos três meses e/ou um cliente que usou produtos nos últimos três meses. Para o Inter Seguros, calculamos o número de clientes ativos para a nossa vertical de corretagem de seguros como o número de beneficiários de apólices de seguro efetivas em uma determinada data. Para a Inter Invest, calculamos o número de clientes ativos como o número de contas individuais que investiram em nossa plataforma durante o período aplicável. </a:t>
              </a:r>
            </a:p>
            <a:p>
              <a:endParaRPr lang="en-US" sz="800" b="1">
                <a:solidFill>
                  <a:schemeClr val="tx1"/>
                </a:solidFill>
                <a:latin typeface="Calibri" panose="020F0502020204030204" pitchFamily="34" charset="0"/>
                <a:cs typeface="Calibri" panose="020F0502020204030204" pitchFamily="34" charset="0"/>
              </a:endParaRPr>
            </a:p>
            <a:p>
              <a:endParaRPr lang="en-US" sz="800" b="1">
                <a:solidFill>
                  <a:schemeClr val="tx1"/>
                </a:solidFill>
                <a:latin typeface="Calibri" panose="020F0502020204030204" pitchFamily="34" charset="0"/>
                <a:cs typeface="Calibri" panose="020F0502020204030204" pitchFamily="34" charset="0"/>
              </a:endParaRPr>
            </a:p>
            <a:p>
              <a:endParaRPr lang="en-US" sz="800" b="1">
                <a:solidFill>
                  <a:schemeClr val="tx1"/>
                </a:solidFill>
                <a:latin typeface="Calibri" panose="020F0502020204030204" pitchFamily="34" charset="0"/>
                <a:cs typeface="Calibri" panose="020F0502020204030204" pitchFamily="34" charset="0"/>
              </a:endParaRPr>
            </a:p>
            <a:p>
              <a:r>
                <a:rPr lang="en-US" sz="800" b="1">
                  <a:solidFill>
                    <a:schemeClr val="tx1"/>
                  </a:solidFill>
                  <a:latin typeface="Calibri" panose="020F0502020204030204" pitchFamily="34" charset="0"/>
                  <a:cs typeface="Calibri" panose="020F0502020204030204" pitchFamily="34" charset="0"/>
                </a:rPr>
                <a:t>Clientes ativos por colaborador:</a:t>
              </a:r>
            </a:p>
            <a:p>
              <a:endParaRPr lang="en-US" sz="800" b="1">
                <a:solidFill>
                  <a:schemeClr val="tx1"/>
                </a:solidFill>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solidFill>
                              <a:schemeClr val="tx1"/>
                            </a:solidFill>
                            <a:latin typeface="Cambria Math" panose="02040503050406030204" pitchFamily="18" charset="0"/>
                            <a:cs typeface="Sora" pitchFamily="2" charset="0"/>
                          </a:rPr>
                        </m:ctrlPr>
                      </m:fPr>
                      <m:num>
                        <m:r>
                          <m:rPr>
                            <m:sty m:val="p"/>
                          </m:rPr>
                          <a:rPr lang="pt-BR" sz="800" b="0" i="0">
                            <a:solidFill>
                              <a:schemeClr val="tx1"/>
                            </a:solidFill>
                            <a:latin typeface="Cambria Math" panose="02040503050406030204" pitchFamily="18" charset="0"/>
                            <a:cs typeface="Sora" pitchFamily="2" charset="0"/>
                          </a:rPr>
                          <m:t>N</m:t>
                        </m:r>
                        <m:r>
                          <a:rPr lang="pt-BR" sz="800" i="0">
                            <a:solidFill>
                              <a:schemeClr val="tx1"/>
                            </a:solidFill>
                            <a:latin typeface="Cambria Math" panose="02040503050406030204" pitchFamily="18" charset="0"/>
                            <a:cs typeface="Sora" pitchFamily="2" charset="0"/>
                          </a:rPr>
                          <m:t>ú</m:t>
                        </m:r>
                        <m:r>
                          <m:rPr>
                            <m:sty m:val="p"/>
                          </m:rPr>
                          <a:rPr lang="pt-BR" sz="800" b="0" i="0">
                            <a:solidFill>
                              <a:schemeClr val="tx1"/>
                            </a:solidFill>
                            <a:latin typeface="Cambria Math" panose="02040503050406030204" pitchFamily="18" charset="0"/>
                            <a:cs typeface="Sora" pitchFamily="2" charset="0"/>
                          </a:rPr>
                          <m:t>mero</m:t>
                        </m:r>
                        <m:r>
                          <a:rPr lang="pt-BR" sz="800" b="0" i="0">
                            <a:solidFill>
                              <a:schemeClr val="tx1"/>
                            </a:solidFill>
                            <a:latin typeface="Cambria Math" panose="02040503050406030204" pitchFamily="18" charset="0"/>
                            <a:cs typeface="Sora" pitchFamily="2" charset="0"/>
                          </a:rPr>
                          <m:t> </m:t>
                        </m:r>
                        <m:r>
                          <m:rPr>
                            <m:sty m:val="p"/>
                          </m:rPr>
                          <a:rPr lang="pt-BR" sz="800" b="0" i="0">
                            <a:solidFill>
                              <a:schemeClr val="tx1"/>
                            </a:solidFill>
                            <a:latin typeface="Cambria Math" panose="02040503050406030204" pitchFamily="18" charset="0"/>
                            <a:cs typeface="Sora" pitchFamily="2" charset="0"/>
                          </a:rPr>
                          <m:t>de</m:t>
                        </m:r>
                        <m:r>
                          <a:rPr lang="pt-BR" sz="800" b="0" i="0">
                            <a:solidFill>
                              <a:schemeClr val="tx1"/>
                            </a:solidFill>
                            <a:latin typeface="Cambria Math" panose="02040503050406030204" pitchFamily="18" charset="0"/>
                            <a:cs typeface="Sora" pitchFamily="2" charset="0"/>
                          </a:rPr>
                          <m:t> </m:t>
                        </m:r>
                        <m:r>
                          <m:rPr>
                            <m:sty m:val="p"/>
                          </m:rPr>
                          <a:rPr lang="pt-BR" sz="800" b="0" i="0">
                            <a:solidFill>
                              <a:schemeClr val="tx1"/>
                            </a:solidFill>
                            <a:latin typeface="Cambria Math" panose="02040503050406030204" pitchFamily="18" charset="0"/>
                            <a:cs typeface="Sora" pitchFamily="2" charset="0"/>
                          </a:rPr>
                          <m:t>clientes</m:t>
                        </m:r>
                        <m:r>
                          <a:rPr lang="pt-BR" sz="800" b="0" i="0">
                            <a:solidFill>
                              <a:schemeClr val="tx1"/>
                            </a:solidFill>
                            <a:latin typeface="Cambria Math" panose="02040503050406030204" pitchFamily="18" charset="0"/>
                            <a:cs typeface="Sora" pitchFamily="2" charset="0"/>
                          </a:rPr>
                          <m:t> </m:t>
                        </m:r>
                        <m:r>
                          <m:rPr>
                            <m:sty m:val="p"/>
                          </m:rPr>
                          <a:rPr lang="pt-BR" sz="800" b="0" i="0">
                            <a:solidFill>
                              <a:schemeClr val="tx1"/>
                            </a:solidFill>
                            <a:latin typeface="Cambria Math" panose="02040503050406030204" pitchFamily="18" charset="0"/>
                            <a:cs typeface="Sora" pitchFamily="2" charset="0"/>
                          </a:rPr>
                          <m:t>ativos</m:t>
                        </m:r>
                        <m:r>
                          <a:rPr lang="pt-BR" sz="800" b="0" i="0">
                            <a:solidFill>
                              <a:schemeClr val="tx1"/>
                            </a:solidFill>
                            <a:latin typeface="Cambria Math" panose="02040503050406030204" pitchFamily="18" charset="0"/>
                            <a:cs typeface="Sora" pitchFamily="2" charset="0"/>
                          </a:rPr>
                          <m:t> </m:t>
                        </m:r>
                        <m:r>
                          <m:rPr>
                            <m:sty m:val="p"/>
                          </m:rPr>
                          <a:rPr lang="pt-BR" sz="800" b="0" i="0">
                            <a:solidFill>
                              <a:schemeClr val="tx1"/>
                            </a:solidFill>
                            <a:latin typeface="Cambria Math" panose="02040503050406030204" pitchFamily="18" charset="0"/>
                            <a:cs typeface="Sora" pitchFamily="2" charset="0"/>
                          </a:rPr>
                          <m:t>no</m:t>
                        </m:r>
                        <m:r>
                          <a:rPr lang="pt-BR" sz="800" b="0" i="0">
                            <a:solidFill>
                              <a:schemeClr val="tx1"/>
                            </a:solidFill>
                            <a:latin typeface="Cambria Math" panose="02040503050406030204" pitchFamily="18" charset="0"/>
                            <a:cs typeface="Sora" pitchFamily="2" charset="0"/>
                          </a:rPr>
                          <m:t> </m:t>
                        </m:r>
                        <m:r>
                          <m:rPr>
                            <m:sty m:val="p"/>
                          </m:rPr>
                          <a:rPr lang="pt-BR" sz="800" b="0" i="0">
                            <a:solidFill>
                              <a:schemeClr val="tx1"/>
                            </a:solidFill>
                            <a:latin typeface="Cambria Math" panose="02040503050406030204" pitchFamily="18" charset="0"/>
                            <a:cs typeface="Sora" pitchFamily="2" charset="0"/>
                          </a:rPr>
                          <m:t>trimestre</m:t>
                        </m:r>
                        <m:r>
                          <a:rPr lang="pt-BR" sz="800" b="0" i="0">
                            <a:solidFill>
                              <a:schemeClr val="tx1"/>
                            </a:solidFill>
                            <a:latin typeface="Cambria Math" panose="02040503050406030204" pitchFamily="18" charset="0"/>
                            <a:cs typeface="Sora" pitchFamily="2" charset="0"/>
                          </a:rPr>
                          <m:t> </m:t>
                        </m:r>
                      </m:num>
                      <m:den>
                        <m:r>
                          <m:rPr>
                            <m:sty m:val="p"/>
                          </m:rPr>
                          <a:rPr lang="pt-BR" sz="800">
                            <a:latin typeface="Cambria Math" panose="02040503050406030204" pitchFamily="18" charset="0"/>
                            <a:cs typeface="Sora" pitchFamily="2" charset="0"/>
                          </a:rPr>
                          <m:t>N</m:t>
                        </m:r>
                        <m:r>
                          <a:rPr lang="pt-BR" sz="800">
                            <a:latin typeface="Cambria Math" panose="02040503050406030204" pitchFamily="18" charset="0"/>
                            <a:cs typeface="Sora" pitchFamily="2" charset="0"/>
                          </a:rPr>
                          <m:t>ú</m:t>
                        </m:r>
                        <m:r>
                          <m:rPr>
                            <m:sty m:val="p"/>
                          </m:rPr>
                          <a:rPr lang="pt-BR" sz="800">
                            <a:latin typeface="Cambria Math" panose="02040503050406030204" pitchFamily="18" charset="0"/>
                            <a:cs typeface="Sora" pitchFamily="2" charset="0"/>
                          </a:rPr>
                          <m:t>mero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total</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colaboradores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no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trimestre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incluindo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estagi</m:t>
                        </m:r>
                        <m:r>
                          <a:rPr lang="pt-BR" sz="800">
                            <a:latin typeface="Cambria Math" panose="02040503050406030204" pitchFamily="18" charset="0"/>
                            <a:cs typeface="Sora" pitchFamily="2" charset="0"/>
                          </a:rPr>
                          <m:t>á</m:t>
                        </m:r>
                        <m:r>
                          <m:rPr>
                            <m:sty m:val="p"/>
                          </m:rPr>
                          <a:rPr lang="pt-BR" sz="800">
                            <a:latin typeface="Cambria Math" panose="02040503050406030204" pitchFamily="18" charset="0"/>
                            <a:cs typeface="Sora" pitchFamily="2" charset="0"/>
                          </a:rPr>
                          <m:t>rios</m:t>
                        </m:r>
                      </m:den>
                    </m:f>
                    <m:r>
                      <a:rPr lang="pt-BR" sz="800" b="0" i="0">
                        <a:solidFill>
                          <a:schemeClr val="tx1"/>
                        </a:solidFill>
                        <a:latin typeface="Cambria Math" panose="02040503050406030204" pitchFamily="18" charset="0"/>
                        <a:cs typeface="Sora" pitchFamily="2" charset="0"/>
                      </a:rPr>
                      <m:t> </m:t>
                    </m:r>
                  </m:oMath>
                </m:oMathPara>
              </a14:m>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rPr>
                <a:t>Custo de aquisição de cliente (CAC):</a:t>
              </a:r>
            </a:p>
            <a:p>
              <a:pPr marL="0" marR="0" lvl="0" indent="0" algn="just" defTabSz="4572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rPr>
                <a:t>O custo médio para adicionar um cliente à base, considerando as despesas operacionais para abertura de conta</a:t>
              </a:r>
              <a:r>
                <a:rPr lang="en-US" sz="800">
                  <a:solidFill>
                    <a:schemeClr val="tx1"/>
                  </a:solidFill>
                  <a:latin typeface="Calibri" panose="020F0502020204030204" pitchFamily="34" charset="0"/>
                  <a:ea typeface="Inter Light BETA" panose="020B0402030000000004" pitchFamily="34" charset="0"/>
                  <a:cs typeface="Calibri" panose="020F0502020204030204" pitchFamily="34" charset="0"/>
                </a:rPr>
                <a:t>, </a:t>
              </a:r>
              <a:r>
                <a:rPr kumimoji="0" lang="en-US" sz="800" b="0" i="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rPr>
                <a:t>como pessoal de integração, gravação e envio de cartões, e despesas de marketing digital com foco na captação de clientes dividido pelo número de contas abertas no trimestre.</a:t>
              </a: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0" i="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rPr>
                <a:t>Gross Take Rate:</a:t>
              </a: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0" lang="pt-BR" sz="800" b="0" i="1" u="none" strike="noStrike" kern="1200" cap="none" spc="0" normalizeH="0" baseline="0">
                            <a:ln>
                              <a:noFill/>
                            </a:ln>
                            <a:solidFill>
                              <a:schemeClr val="tx1"/>
                            </a:solidFill>
                            <a:effectLst/>
                            <a:uLnTx/>
                            <a:uFillTx/>
                            <a:latin typeface="Cambria Math" panose="02040503050406030204" pitchFamily="18" charset="0"/>
                          </a:rPr>
                        </m:ctrlPr>
                      </m:fPr>
                      <m:num>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Receita</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bruta</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Inter</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Shop</m:t>
                        </m:r>
                      </m:num>
                      <m:den>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Volume</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transacionado</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no</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Marketplace</m:t>
                        </m:r>
                      </m:den>
                    </m:f>
                  </m:oMath>
                </m:oMathPara>
              </a14:m>
              <a:endParaRPr kumimoji="0" lang="en-US" sz="800" b="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rPr>
                <a:t>Net Take Rate:</a:t>
              </a:r>
            </a:p>
            <a:p>
              <a:pPr marL="0" marR="0" lvl="0" indent="0" algn="l" defTabSz="4572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0" lang="pt-BR" sz="800" b="0" i="1" u="none" strike="noStrike" kern="1200" cap="none" spc="0" normalizeH="0" baseline="0">
                            <a:ln>
                              <a:noFill/>
                            </a:ln>
                            <a:solidFill>
                              <a:schemeClr val="tx1"/>
                            </a:solidFill>
                            <a:effectLst/>
                            <a:uLnTx/>
                            <a:uFillTx/>
                            <a:latin typeface="Cambria Math" panose="02040503050406030204" pitchFamily="18" charset="0"/>
                          </a:rPr>
                        </m:ctrlPr>
                      </m:fPr>
                      <m:num>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Receita</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l</m:t>
                        </m:r>
                        <m:r>
                          <a:rPr kumimoji="0" lang="pt-BR" sz="800" b="0" i="0" u="none" strike="noStrike" kern="1200" cap="none" spc="0" normalizeH="0" baseline="0">
                            <a:ln>
                              <a:noFill/>
                            </a:ln>
                            <a:solidFill>
                              <a:schemeClr val="tx1"/>
                            </a:solidFill>
                            <a:effectLst/>
                            <a:uLnTx/>
                            <a:uFillTx/>
                            <a:latin typeface="Cambria Math" panose="02040503050406030204" pitchFamily="18" charset="0"/>
                          </a:rPr>
                          <m:t>í</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quida</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Inter</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Shop</m:t>
                        </m:r>
                      </m:num>
                      <m:den>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Volume</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transacionado</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no</m:t>
                        </m:r>
                        <m:r>
                          <a:rPr kumimoji="0" lang="pt-BR" sz="800" b="0" i="0" u="none" strike="noStrike" kern="1200" cap="none" spc="0" normalizeH="0" baseline="0">
                            <a:ln>
                              <a:noFill/>
                            </a:ln>
                            <a:solidFill>
                              <a:schemeClr val="tx1"/>
                            </a:solidFill>
                            <a:effectLst/>
                            <a:uLnTx/>
                            <a:uFillTx/>
                            <a:latin typeface="Cambria Math" panose="02040503050406030204" pitchFamily="18" charset="0"/>
                          </a:rPr>
                          <m:t> </m:t>
                        </m:r>
                        <m:r>
                          <m:rPr>
                            <m:sty m:val="p"/>
                          </m:rPr>
                          <a:rPr kumimoji="0" lang="pt-BR" sz="800" b="0" i="0" u="none" strike="noStrike" kern="1200" cap="none" spc="0" normalizeH="0" baseline="0">
                            <a:ln>
                              <a:noFill/>
                            </a:ln>
                            <a:solidFill>
                              <a:schemeClr val="tx1"/>
                            </a:solidFill>
                            <a:effectLst/>
                            <a:uLnTx/>
                            <a:uFillTx/>
                            <a:latin typeface="Cambria Math" panose="02040503050406030204" pitchFamily="18" charset="0"/>
                          </a:rPr>
                          <m:t>Marketplace</m:t>
                        </m:r>
                      </m:den>
                    </m:f>
                  </m:oMath>
                </m:oMathPara>
              </a14:m>
              <a:endParaRPr kumimoji="0" lang="pt-BR" sz="800" b="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xdr:txBody>
        </xdr:sp>
      </mc:Choice>
      <mc:Fallback xmlns="">
        <xdr:sp macro="" textlink="">
          <xdr:nvSpPr>
            <xdr:cNvPr id="45" name="Retângulo 9">
              <a:extLst>
                <a:ext uri="{FF2B5EF4-FFF2-40B4-BE49-F238E27FC236}">
                  <a16:creationId xmlns:a16="http://schemas.microsoft.com/office/drawing/2014/main" id="{48BBF3E4-0244-D8A6-4858-29E2132863B8}"/>
                </a:ext>
              </a:extLst>
            </xdr:cNvPr>
            <xdr:cNvSpPr/>
          </xdr:nvSpPr>
          <xdr:spPr>
            <a:xfrm>
              <a:off x="6741541" y="765095"/>
              <a:ext cx="5772853" cy="486440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solidFill>
                    <a:schemeClr val="tx1"/>
                  </a:solidFill>
                  <a:latin typeface="Calibri" panose="020F0502020204030204" pitchFamily="34" charset="0"/>
                  <a:cs typeface="Calibri" panose="020F0502020204030204" pitchFamily="34" charset="0"/>
                </a:rPr>
                <a:t>Clientes ativos:</a:t>
              </a:r>
            </a:p>
            <a:p>
              <a:pPr algn="just"/>
              <a:r>
                <a:rPr lang="en-US" sz="800">
                  <a:solidFill>
                    <a:schemeClr val="tx1"/>
                  </a:solidFill>
                  <a:latin typeface="Calibri" panose="020F0502020204030204" pitchFamily="34" charset="0"/>
                  <a:ea typeface="Inter Light BETA" panose="020B0402030000000004" pitchFamily="34" charset="0"/>
                  <a:cs typeface="Calibri" panose="020F0502020204030204" pitchFamily="34" charset="0"/>
                </a:rPr>
                <a:t>Nós definimos um cliente ativo como um cliente em qualquer data que foi a fonte de qualquer quantia de receita para nós nos últimos três meses e/ou um cliente que usou produtos nos últimos três meses. Para o Inter Seguros, calculamos o número de clientes ativos para a nossa vertical de corretagem de seguros como o número de beneficiários de apólices de seguro efetivas em uma determinada data. Para a Inter Invest, calculamos o número de clientes ativos como o número de contas individuais que investiram em nossa plataforma durante o período aplicável. </a:t>
              </a:r>
            </a:p>
            <a:p>
              <a:endParaRPr lang="en-US" sz="800" b="1">
                <a:solidFill>
                  <a:schemeClr val="tx1"/>
                </a:solidFill>
                <a:latin typeface="Calibri" panose="020F0502020204030204" pitchFamily="34" charset="0"/>
                <a:cs typeface="Calibri" panose="020F0502020204030204" pitchFamily="34" charset="0"/>
              </a:endParaRPr>
            </a:p>
            <a:p>
              <a:endParaRPr lang="en-US" sz="800" b="1">
                <a:solidFill>
                  <a:schemeClr val="tx1"/>
                </a:solidFill>
                <a:latin typeface="Calibri" panose="020F0502020204030204" pitchFamily="34" charset="0"/>
                <a:cs typeface="Calibri" panose="020F0502020204030204" pitchFamily="34" charset="0"/>
              </a:endParaRPr>
            </a:p>
            <a:p>
              <a:endParaRPr lang="en-US" sz="800" b="1">
                <a:solidFill>
                  <a:schemeClr val="tx1"/>
                </a:solidFill>
                <a:latin typeface="Calibri" panose="020F0502020204030204" pitchFamily="34" charset="0"/>
                <a:cs typeface="Calibri" panose="020F0502020204030204" pitchFamily="34" charset="0"/>
              </a:endParaRPr>
            </a:p>
            <a:p>
              <a:r>
                <a:rPr lang="en-US" sz="800" b="1">
                  <a:solidFill>
                    <a:schemeClr val="tx1"/>
                  </a:solidFill>
                  <a:latin typeface="Calibri" panose="020F0502020204030204" pitchFamily="34" charset="0"/>
                  <a:cs typeface="Calibri" panose="020F0502020204030204" pitchFamily="34" charset="0"/>
                </a:rPr>
                <a:t>Clientes ativos por colaborador:</a:t>
              </a:r>
            </a:p>
            <a:p>
              <a:endParaRPr lang="en-US" sz="800" b="1">
                <a:solidFill>
                  <a:schemeClr val="tx1"/>
                </a:solidFill>
                <a:latin typeface="Calibri" panose="020F0502020204030204" pitchFamily="34" charset="0"/>
                <a:cs typeface="Calibri" panose="020F0502020204030204" pitchFamily="34" charset="0"/>
              </a:endParaRPr>
            </a:p>
            <a:p>
              <a:pPr/>
              <a:r>
                <a:rPr lang="en-US" sz="800" i="0">
                  <a:solidFill>
                    <a:schemeClr val="tx1"/>
                  </a:solidFill>
                  <a:latin typeface="Cambria Math" panose="02040503050406030204" pitchFamily="18" charset="0"/>
                  <a:cs typeface="Sora" pitchFamily="2" charset="0"/>
                </a:rPr>
                <a:t>(</a:t>
              </a:r>
              <a:r>
                <a:rPr lang="pt-BR" sz="800" b="0" i="0">
                  <a:solidFill>
                    <a:schemeClr val="tx1"/>
                  </a:solidFill>
                  <a:latin typeface="Cambria Math" panose="02040503050406030204" pitchFamily="18" charset="0"/>
                  <a:cs typeface="Sora" pitchFamily="2" charset="0"/>
                </a:rPr>
                <a:t>N</a:t>
              </a:r>
              <a:r>
                <a:rPr lang="pt-BR" sz="800" i="0">
                  <a:solidFill>
                    <a:schemeClr val="tx1"/>
                  </a:solidFill>
                  <a:latin typeface="Cambria Math" panose="02040503050406030204" pitchFamily="18" charset="0"/>
                  <a:cs typeface="Sora" pitchFamily="2" charset="0"/>
                </a:rPr>
                <a:t>ú</a:t>
              </a:r>
              <a:r>
                <a:rPr lang="pt-BR" sz="800" b="0" i="0">
                  <a:solidFill>
                    <a:schemeClr val="tx1"/>
                  </a:solidFill>
                  <a:latin typeface="Cambria Math" panose="02040503050406030204" pitchFamily="18" charset="0"/>
                  <a:cs typeface="Sora" pitchFamily="2" charset="0"/>
                </a:rPr>
                <a:t>mero de clientes ativos no trimestre </a:t>
              </a:r>
              <a:r>
                <a:rPr lang="en-US" sz="800" b="0" i="0">
                  <a:solidFill>
                    <a:schemeClr val="tx1"/>
                  </a:solidFill>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Número total de colaboradores no trimestre, incluindo estagiários</a:t>
              </a:r>
              <a:r>
                <a:rPr lang="en-US" sz="800" i="0">
                  <a:solidFill>
                    <a:schemeClr val="tx1"/>
                  </a:solidFill>
                  <a:latin typeface="Cambria Math" panose="02040503050406030204" pitchFamily="18" charset="0"/>
                  <a:cs typeface="Sora" pitchFamily="2" charset="0"/>
                </a:rPr>
                <a:t>)</a:t>
              </a:r>
              <a:r>
                <a:rPr lang="pt-BR" sz="800" b="0" i="0">
                  <a:solidFill>
                    <a:schemeClr val="tx1"/>
                  </a:solidFill>
                  <a:latin typeface="Cambria Math" panose="02040503050406030204" pitchFamily="18" charset="0"/>
                  <a:cs typeface="Sora" pitchFamily="2" charset="0"/>
                </a:rPr>
                <a:t>  </a:t>
              </a:r>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rPr>
                <a:t>Custo de aquisição de cliente (CAC):</a:t>
              </a:r>
            </a:p>
            <a:p>
              <a:pPr marL="0" marR="0" lvl="0" indent="0" algn="just" defTabSz="4572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rPr>
                <a:t>O custo médio para adicionar um cliente à base, considerando as despesas operacionais para abertura de conta</a:t>
              </a:r>
              <a:r>
                <a:rPr lang="en-US" sz="800">
                  <a:solidFill>
                    <a:schemeClr val="tx1"/>
                  </a:solidFill>
                  <a:latin typeface="Calibri" panose="020F0502020204030204" pitchFamily="34" charset="0"/>
                  <a:ea typeface="Inter Light BETA" panose="020B0402030000000004" pitchFamily="34" charset="0"/>
                  <a:cs typeface="Calibri" panose="020F0502020204030204" pitchFamily="34" charset="0"/>
                </a:rPr>
                <a:t>, </a:t>
              </a:r>
              <a:r>
                <a:rPr kumimoji="0" lang="en-US" sz="800" b="0" i="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rPr>
                <a:t>como pessoal de integração, gravação e envio de cartões, e despesas de marketing digital com foco na captação de clientes dividido pelo número de contas abertas no trimestre.</a:t>
              </a: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0" i="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rPr>
                <a:t>Gross Take Rate:</a:t>
              </a: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pt-BR" sz="800" b="0" i="0" u="none" strike="noStrike" kern="1200" cap="none" spc="0" normalizeH="0" baseline="0">
                  <a:ln>
                    <a:noFill/>
                  </a:ln>
                  <a:solidFill>
                    <a:schemeClr val="tx1"/>
                  </a:solidFill>
                  <a:effectLst/>
                  <a:uLnTx/>
                  <a:uFillTx/>
                  <a:latin typeface="Cambria Math" panose="02040503050406030204" pitchFamily="18" charset="0"/>
                </a:rPr>
                <a:t>(Receita bruta Inter Shop)/(Volume transacionado no Marketplace)</a:t>
              </a:r>
              <a:endParaRPr kumimoji="0" lang="en-US" sz="800" b="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schemeClr val="tx1"/>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rPr>
                <a:t>Net Take Rate:</a:t>
              </a: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pt-BR" sz="800" b="0" i="0" u="none" strike="noStrike" kern="1200" cap="none" spc="0" normalizeH="0" baseline="0">
                  <a:ln>
                    <a:noFill/>
                  </a:ln>
                  <a:solidFill>
                    <a:schemeClr val="tx1"/>
                  </a:solidFill>
                  <a:effectLst/>
                  <a:uLnTx/>
                  <a:uFillTx/>
                  <a:latin typeface="Cambria Math" panose="02040503050406030204" pitchFamily="18" charset="0"/>
                </a:rPr>
                <a:t>(Receita líquida Inter Shop)/(Volume transacionado no Marketplace)</a:t>
              </a:r>
              <a:endParaRPr kumimoji="0" lang="pt-BR" sz="800" b="0" u="none" strike="noStrike" kern="1200" cap="none" spc="0" normalizeH="0" baseline="0">
                <a:ln>
                  <a:noFill/>
                </a:ln>
                <a:solidFill>
                  <a:schemeClr val="tx1"/>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0" u="none" strike="noStrike" kern="1200" cap="none" spc="0" normalizeH="0" baseline="0">
                <a:ln>
                  <a:noFill/>
                </a:ln>
                <a:solidFill>
                  <a:schemeClr val="tx1"/>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xdr:txBody>
        </xdr:sp>
      </mc:Fallback>
    </mc:AlternateContent>
    <xdr:clientData/>
  </xdr:twoCellAnchor>
  <xdr:twoCellAnchor>
    <xdr:from>
      <xdr:col>8</xdr:col>
      <xdr:colOff>135271</xdr:colOff>
      <xdr:row>27</xdr:row>
      <xdr:rowOff>173182</xdr:rowOff>
    </xdr:from>
    <xdr:to>
      <xdr:col>15</xdr:col>
      <xdr:colOff>111553</xdr:colOff>
      <xdr:row>47</xdr:row>
      <xdr:rowOff>78418</xdr:rowOff>
    </xdr:to>
    <mc:AlternateContent xmlns:mc="http://schemas.openxmlformats.org/markup-compatibility/2006" xmlns:a14="http://schemas.microsoft.com/office/drawing/2010/main">
      <mc:Choice Requires="a14">
        <xdr:sp macro="" textlink="">
          <xdr:nvSpPr>
            <xdr:cNvPr id="46" name="Retângulo 9">
              <a:extLst>
                <a:ext uri="{FF2B5EF4-FFF2-40B4-BE49-F238E27FC236}">
                  <a16:creationId xmlns:a16="http://schemas.microsoft.com/office/drawing/2014/main" id="{00000000-0008-0000-1600-00002E000000}"/>
                </a:ext>
              </a:extLst>
            </xdr:cNvPr>
            <xdr:cNvSpPr/>
          </xdr:nvSpPr>
          <xdr:spPr>
            <a:xfrm>
              <a:off x="6831635" y="5628409"/>
              <a:ext cx="5835600" cy="3946145"/>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endParaRPr lang="en-US" sz="800" b="1">
                <a:solidFill>
                  <a:prstClr val="black"/>
                </a:solidFill>
                <a:latin typeface="Calibri" panose="020F0502020204030204" pitchFamily="34" charset="0"/>
                <a:cs typeface="Calibri" panose="020F0502020204030204" pitchFamily="34" charset="0"/>
              </a:endParaRPr>
            </a:p>
            <a:p>
              <a:pPr algn="just"/>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Taxa de ativação:</a:t>
              </a:r>
            </a:p>
            <a:p>
              <a:pPr algn="just"/>
              <a14:m>
                <m:oMathPara xmlns:m="http://schemas.openxmlformats.org/officeDocument/2006/math">
                  <m:oMathParaPr>
                    <m:jc m:val="centerGroup"/>
                  </m:oMathParaPr>
                  <m:oMath xmlns:m="http://schemas.openxmlformats.org/officeDocument/2006/math">
                    <m:f>
                      <m:fPr>
                        <m:ctrlPr>
                          <a:rPr lang="en-US" sz="800" i="1">
                            <a:solidFill>
                              <a:schemeClr val="tx1"/>
                            </a:solidFill>
                            <a:latin typeface="Cambria Math" panose="02040503050406030204" pitchFamily="18" charset="0"/>
                            <a:cs typeface="Sora" pitchFamily="2" charset="0"/>
                          </a:rPr>
                        </m:ctrlPr>
                      </m:fPr>
                      <m:num>
                        <m:r>
                          <m:rPr>
                            <m:sty m:val="p"/>
                          </m:rPr>
                          <a:rPr lang="pt-BR" sz="800" i="0">
                            <a:latin typeface="Cambria Math" panose="02040503050406030204" pitchFamily="18" charset="0"/>
                            <a:cs typeface="Sora" pitchFamily="2" charset="0"/>
                          </a:rPr>
                          <m:t>N</m:t>
                        </m:r>
                        <m:r>
                          <a:rPr lang="pt-BR" sz="800" i="0">
                            <a:latin typeface="Cambria Math" panose="02040503050406030204" pitchFamily="18" charset="0"/>
                            <a:cs typeface="Sora" pitchFamily="2" charset="0"/>
                          </a:rPr>
                          <m:t>ú</m:t>
                        </m:r>
                        <m:r>
                          <m:rPr>
                            <m:sty m:val="p"/>
                          </m:rPr>
                          <a:rPr lang="pt-BR" sz="800" b="0" i="0">
                            <a:latin typeface="Cambria Math" panose="02040503050406030204" pitchFamily="18" charset="0"/>
                            <a:cs typeface="Sora" pitchFamily="2" charset="0"/>
                          </a:rPr>
                          <m:t>mero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clientes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ativos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no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final</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trimestre</m:t>
                        </m:r>
                      </m:num>
                      <m:den>
                        <m:r>
                          <m:rPr>
                            <m:sty m:val="p"/>
                          </m:rPr>
                          <a:rPr lang="pt-BR" sz="800" i="0">
                            <a:solidFill>
                              <a:schemeClr val="tx1"/>
                            </a:solidFill>
                            <a:latin typeface="Cambria Math" panose="02040503050406030204" pitchFamily="18" charset="0"/>
                            <a:cs typeface="Sora" pitchFamily="2" charset="0"/>
                          </a:rPr>
                          <m:t>N</m:t>
                        </m:r>
                        <m:r>
                          <a:rPr lang="pt-BR" sz="800" i="0">
                            <a:latin typeface="Cambria Math" panose="02040503050406030204" pitchFamily="18" charset="0"/>
                            <a:cs typeface="Sora" pitchFamily="2" charset="0"/>
                          </a:rPr>
                          <m:t>ú</m:t>
                        </m:r>
                        <m:r>
                          <m:rPr>
                            <m:sty m:val="p"/>
                          </m:rPr>
                          <a:rPr lang="pt-BR" sz="800" b="0" i="0">
                            <a:latin typeface="Cambria Math" panose="02040503050406030204" pitchFamily="18" charset="0"/>
                            <a:cs typeface="Sora" pitchFamily="2" charset="0"/>
                          </a:rPr>
                          <m:t>mero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total</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clientes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no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final</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trimestre</m:t>
                        </m:r>
                      </m:den>
                    </m:f>
                  </m:oMath>
                </m:oMathPara>
              </a14:m>
              <a:endParaRPr kumimoji="0" lang="en-US" sz="800" b="1"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r>
                <a:rPr lang="en-US" sz="800" b="1">
                  <a:solidFill>
                    <a:prstClr val="black"/>
                  </a:solidFill>
                  <a:latin typeface="Calibri" panose="020F0502020204030204" pitchFamily="34" charset="0"/>
                  <a:cs typeface="Calibri" panose="020F0502020204030204" pitchFamily="34" charset="0"/>
                </a:rPr>
                <a:t>T</a:t>
              </a:r>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PV de Cartões + PIX:</a:t>
              </a:r>
            </a:p>
            <a:p>
              <a:pPr algn="just"/>
              <a:r>
                <a:rPr lang="en-US" sz="800">
                  <a:latin typeface="Calibri" panose="020F0502020204030204" pitchFamily="34" charset="0"/>
                  <a:ea typeface="Inter Light BETA" panose="020B0402030000000004" pitchFamily="34" charset="0"/>
                  <a:cs typeface="Calibri" panose="020F0502020204030204" pitchFamily="34" charset="0"/>
                </a:rPr>
                <a:t>Volumes de transações PIX, débito e crédito e saques de um determinado período. O PIX é uma solução do Banco Central do Brasil para realizar pagamentos instantâneos entre bancos e instituições financeiras no Brasil. </a:t>
              </a: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lumMod val="85000"/>
                    <a:lumOff val="15000"/>
                  </a:prstClr>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algn="just"/>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algn="just"/>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TPV de Cartões + PIX por cliente ativo:</a:t>
              </a:r>
            </a:p>
            <a:p>
              <a:pPr algn="just"/>
              <a:r>
                <a:rPr lang="en-US" sz="800">
                  <a:latin typeface="Calibri" panose="020F0502020204030204" pitchFamily="34" charset="0"/>
                  <a:ea typeface="Inter Light BETA" panose="020B0402030000000004" pitchFamily="34" charset="0"/>
                  <a:cs typeface="Calibri" panose="020F0502020204030204" pitchFamily="34" charset="0"/>
                </a:rPr>
                <a:t>TPV de Cartões+PIX de um determinado período dividido pelo número de clientes ativos referente ao último dia do período. </a:t>
              </a: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prstClr val="black"/>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Volume transacionado no marketplace (GMV):</a:t>
              </a:r>
            </a:p>
            <a:p>
              <a:pPr algn="just"/>
              <a:r>
                <a:rPr lang="en-US" sz="8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rPr>
                <a:t>O valor total de todas as vendas feitas ou iniciadas por meio de nossa plataforma Inter Shop &amp; Commerce Plus, gerenciada pela Inter Shop &amp; Commerce Plus.</a:t>
              </a: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xdr:txBody>
        </xdr:sp>
      </mc:Choice>
      <mc:Fallback xmlns="">
        <xdr:sp macro="" textlink="">
          <xdr:nvSpPr>
            <xdr:cNvPr id="46" name="Retângulo 9">
              <a:extLst>
                <a:ext uri="{FF2B5EF4-FFF2-40B4-BE49-F238E27FC236}">
                  <a16:creationId xmlns:a16="http://schemas.microsoft.com/office/drawing/2014/main" id="{33500F7D-DE20-3699-A953-DA8ABAFC9F69}"/>
                </a:ext>
              </a:extLst>
            </xdr:cNvPr>
            <xdr:cNvSpPr/>
          </xdr:nvSpPr>
          <xdr:spPr>
            <a:xfrm>
              <a:off x="6831635" y="5628409"/>
              <a:ext cx="5835600" cy="3946145"/>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endParaRPr lang="en-US" sz="800" b="1">
                <a:solidFill>
                  <a:prstClr val="black"/>
                </a:solidFill>
                <a:latin typeface="Calibri" panose="020F0502020204030204" pitchFamily="34" charset="0"/>
                <a:cs typeface="Calibri" panose="020F0502020204030204" pitchFamily="34" charset="0"/>
              </a:endParaRPr>
            </a:p>
            <a:p>
              <a:pPr algn="just"/>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Taxa de ativação:</a:t>
              </a:r>
            </a:p>
            <a:p>
              <a:pPr algn="just"/>
              <a:r>
                <a:rPr lang="en-US" sz="800" i="0">
                  <a:solidFill>
                    <a:schemeClr val="tx1"/>
                  </a:solidFill>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Nú</a:t>
              </a:r>
              <a:r>
                <a:rPr lang="pt-BR" sz="800" b="0" i="0">
                  <a:latin typeface="Cambria Math" panose="02040503050406030204" pitchFamily="18" charset="0"/>
                  <a:cs typeface="Sora" pitchFamily="2" charset="0"/>
                </a:rPr>
                <a:t>mero de clientes ativos no final do trimestre</a:t>
              </a:r>
              <a:r>
                <a:rPr lang="en-US" sz="800" b="0" i="0">
                  <a:solidFill>
                    <a:schemeClr val="tx1"/>
                  </a:solidFill>
                  <a:latin typeface="Cambria Math" panose="02040503050406030204" pitchFamily="18" charset="0"/>
                  <a:cs typeface="Sora" pitchFamily="2" charset="0"/>
                </a:rPr>
                <a:t>)/(</a:t>
              </a:r>
              <a:r>
                <a:rPr lang="pt-BR" sz="800" i="0">
                  <a:solidFill>
                    <a:schemeClr val="tx1"/>
                  </a:solidFill>
                  <a:latin typeface="Cambria Math" panose="02040503050406030204" pitchFamily="18" charset="0"/>
                  <a:cs typeface="Sora" pitchFamily="2" charset="0"/>
                </a:rPr>
                <a:t>N</a:t>
              </a:r>
              <a:r>
                <a:rPr lang="pt-BR" sz="800" i="0">
                  <a:latin typeface="Cambria Math" panose="02040503050406030204" pitchFamily="18" charset="0"/>
                  <a:cs typeface="Sora" pitchFamily="2" charset="0"/>
                </a:rPr>
                <a:t>ú</a:t>
              </a:r>
              <a:r>
                <a:rPr lang="pt-BR" sz="800" b="0" i="0">
                  <a:latin typeface="Cambria Math" panose="02040503050406030204" pitchFamily="18" charset="0"/>
                  <a:cs typeface="Sora" pitchFamily="2" charset="0"/>
                </a:rPr>
                <a:t>mero total de clientes no final do trimestre</a:t>
              </a:r>
              <a:r>
                <a:rPr lang="en-US" sz="800" b="0" i="0">
                  <a:solidFill>
                    <a:schemeClr val="tx1"/>
                  </a:solidFill>
                  <a:latin typeface="Cambria Math" panose="02040503050406030204" pitchFamily="18" charset="0"/>
                  <a:cs typeface="Sora" pitchFamily="2" charset="0"/>
                </a:rPr>
                <a:t>)</a:t>
              </a:r>
              <a:endParaRPr kumimoji="0" lang="en-US" sz="800" b="1"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r>
                <a:rPr lang="en-US" sz="800" b="1">
                  <a:solidFill>
                    <a:prstClr val="black"/>
                  </a:solidFill>
                  <a:latin typeface="Calibri" panose="020F0502020204030204" pitchFamily="34" charset="0"/>
                  <a:cs typeface="Calibri" panose="020F0502020204030204" pitchFamily="34" charset="0"/>
                </a:rPr>
                <a:t>T</a:t>
              </a:r>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PV de Cartões + PIX:</a:t>
              </a:r>
            </a:p>
            <a:p>
              <a:pPr algn="just"/>
              <a:r>
                <a:rPr lang="en-US" sz="800">
                  <a:latin typeface="Calibri" panose="020F0502020204030204" pitchFamily="34" charset="0"/>
                  <a:ea typeface="Inter Light BETA" panose="020B0402030000000004" pitchFamily="34" charset="0"/>
                  <a:cs typeface="Calibri" panose="020F0502020204030204" pitchFamily="34" charset="0"/>
                </a:rPr>
                <a:t>Volumes de transações PIX, débito e crédito e saques de um determinado período. O PIX é uma solução do Banco Central do Brasil para realizar pagamentos instantâneos entre bancos e instituições financeiras no Brasil. </a:t>
              </a: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lumMod val="85000"/>
                    <a:lumOff val="15000"/>
                  </a:prstClr>
                </a:solidFill>
                <a:effectLst/>
                <a:uLnTx/>
                <a:uFillTx/>
                <a:latin typeface="Calibri" panose="020F0502020204030204" pitchFamily="34" charset="0"/>
                <a:ea typeface="Inter Light BETA" panose="020B0402030000000004" pitchFamily="34" charset="0"/>
                <a:cs typeface="Calibri" panose="020F0502020204030204" pitchFamily="34" charset="0"/>
              </a:endParaRPr>
            </a:p>
            <a:p>
              <a:pPr algn="just"/>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algn="just"/>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algn="just"/>
              <a:endParaRPr lang="en-US" sz="800" b="1">
                <a:solidFill>
                  <a:prstClr val="black"/>
                </a:solidFill>
                <a:latin typeface="Calibri" panose="020F0502020204030204" pitchFamily="34" charset="0"/>
                <a:cs typeface="Calibri" panose="020F0502020204030204" pitchFamily="34" charset="0"/>
              </a:endParaRPr>
            </a:p>
            <a:p>
              <a:pPr algn="just"/>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TPV de Cartões + PIX por cliente ativo:</a:t>
              </a:r>
            </a:p>
            <a:p>
              <a:pPr algn="just"/>
              <a:r>
                <a:rPr lang="en-US" sz="800">
                  <a:latin typeface="Calibri" panose="020F0502020204030204" pitchFamily="34" charset="0"/>
                  <a:ea typeface="Inter Light BETA" panose="020B0402030000000004" pitchFamily="34" charset="0"/>
                  <a:cs typeface="Calibri" panose="020F0502020204030204" pitchFamily="34" charset="0"/>
                </a:rPr>
                <a:t>TPV de Cartões+PIX de um determinado período dividido pelo número de clientes ativos referente ao último dia do período. </a:t>
              </a: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endParaRPr lang="en-US" sz="800" b="1">
                <a:solidFill>
                  <a:prstClr val="black"/>
                </a:solidFill>
                <a:latin typeface="Calibri" panose="020F0502020204030204" pitchFamily="34" charset="0"/>
                <a:cs typeface="Calibri" panose="020F0502020204030204" pitchFamily="34" charset="0"/>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rPr>
                <a:t>Volume transacionado no marketplace (GMV):</a:t>
              </a:r>
            </a:p>
            <a:p>
              <a:pPr algn="just"/>
              <a:r>
                <a:rPr lang="en-US" sz="8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rPr>
                <a:t>O valor total de todas as vendas feitas ou iniciadas por meio de nossa plataforma Inter Shop &amp; Commerce Plus, gerenciada pela Inter Shop &amp; Commerce Plus.</a:t>
              </a:r>
              <a:endParaRPr kumimoji="0" lang="en-US" sz="800" b="1" i="0" u="none" strike="noStrike" kern="1200" cap="none" spc="0" normalizeH="0" baseline="0">
                <a:ln>
                  <a:noFill/>
                </a:ln>
                <a:solidFill>
                  <a:prstClr val="black"/>
                </a:solidFill>
                <a:effectLst/>
                <a:uLnTx/>
                <a:uFillTx/>
                <a:latin typeface="Calibri" panose="020F0502020204030204" pitchFamily="34" charset="0"/>
                <a:cs typeface="Calibri" panose="020F0502020204030204" pitchFamily="34" charset="0"/>
              </a:endParaRPr>
            </a:p>
          </xdr:txBody>
        </xdr:sp>
      </mc:Fallback>
    </mc:AlternateContent>
    <xdr:clientData/>
  </xdr:twoCellAnchor>
  <xdr:twoCellAnchor>
    <xdr:from>
      <xdr:col>8</xdr:col>
      <xdr:colOff>86591</xdr:colOff>
      <xdr:row>52</xdr:row>
      <xdr:rowOff>57727</xdr:rowOff>
    </xdr:from>
    <xdr:to>
      <xdr:col>15</xdr:col>
      <xdr:colOff>61618</xdr:colOff>
      <xdr:row>80</xdr:row>
      <xdr:rowOff>144512</xdr:rowOff>
    </xdr:to>
    <mc:AlternateContent xmlns:mc="http://schemas.openxmlformats.org/markup-compatibility/2006" xmlns:a14="http://schemas.microsoft.com/office/drawing/2010/main">
      <mc:Choice Requires="a14">
        <xdr:sp macro="" textlink="">
          <xdr:nvSpPr>
            <xdr:cNvPr id="47" name="Retângulo 9">
              <a:extLst>
                <a:ext uri="{FF2B5EF4-FFF2-40B4-BE49-F238E27FC236}">
                  <a16:creationId xmlns:a16="http://schemas.microsoft.com/office/drawing/2014/main" id="{00000000-0008-0000-1600-00002F000000}"/>
                </a:ext>
              </a:extLst>
            </xdr:cNvPr>
            <xdr:cNvSpPr/>
          </xdr:nvSpPr>
          <xdr:spPr>
            <a:xfrm>
              <a:off x="6712678" y="9628741"/>
              <a:ext cx="5772853" cy="524040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800" b="1">
                  <a:latin typeface="Calibri" panose="020F0502020204030204" pitchFamily="34" charset="0"/>
                  <a:cs typeface="Calibri" panose="020F0502020204030204" pitchFamily="34" charset="0"/>
                </a:rPr>
                <a:t>Antecipação de recebíveis de cartão de crédito:</a:t>
              </a:r>
            </a:p>
            <a:p>
              <a:pPr algn="just"/>
              <a:r>
                <a:rPr lang="pt-BR" sz="800">
                  <a:latin typeface="Calibri" panose="020F0502020204030204" pitchFamily="34" charset="0"/>
                  <a:ea typeface="Inter" panose="020B0502030000000004" pitchFamily="34" charset="0"/>
                  <a:cs typeface="Calibri" panose="020F0502020204030204" pitchFamily="34" charset="0"/>
                </a:rPr>
                <a:t>Divulgados na nota 9.a das Demonstrações Financeiras, na linha "Empréstimos e adiantamentos a instituições financeiras”.</a:t>
              </a: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ARPAC bruto</a:t>
              </a:r>
              <a:r>
                <a:rPr lang="en-US" sz="800" b="1">
                  <a:solidFill>
                    <a:schemeClr val="tx1"/>
                  </a:solidFill>
                  <a:latin typeface="Calibri" panose="020F0502020204030204" pitchFamily="34" charset="0"/>
                  <a:cs typeface="Calibri" panose="020F0502020204030204" pitchFamily="34" charset="0"/>
                </a:rPr>
                <a:t>:</a:t>
              </a:r>
            </a:p>
            <a:p>
              <a:pPr algn="ctr"/>
              <a:br>
                <a:rPr lang="en-US" sz="800" b="1">
                  <a:solidFill>
                    <a:schemeClr val="tx1"/>
                  </a:solidFill>
                  <a:latin typeface="Calibri" panose="020F0502020204030204" pitchFamily="34" charset="0"/>
                  <a:cs typeface="Calibri" panose="020F0502020204030204" pitchFamily="34" charset="0"/>
                </a:rPr>
              </a:br>
              <a14:m>
                <m:oMathPara xmlns:m="http://schemas.openxmlformats.org/officeDocument/2006/math">
                  <m:oMathParaPr>
                    <m:jc m:val="centerGroup"/>
                  </m:oMathParaPr>
                  <m:oMath xmlns:m="http://schemas.openxmlformats.org/officeDocument/2006/math">
                    <m:f>
                      <m:fPr>
                        <m:ctrlPr>
                          <a:rPr lang="en-US" sz="800" i="1">
                            <a:solidFill>
                              <a:schemeClr val="tx1"/>
                            </a:solidFill>
                            <a:latin typeface="Cambria Math" panose="02040503050406030204" pitchFamily="18" charset="0"/>
                            <a:cs typeface="Sora" pitchFamily="2" charset="0"/>
                          </a:rPr>
                        </m:ctrlPr>
                      </m:fPr>
                      <m:num>
                        <m:eqArr>
                          <m:eqArrPr>
                            <m:ctrlPr>
                              <a:rPr lang="en-US" sz="800" i="1">
                                <a:latin typeface="Cambria Math" panose="02040503050406030204" pitchFamily="18" charset="0"/>
                                <a:cs typeface="Sora" pitchFamily="2" charset="0"/>
                              </a:rPr>
                            </m:ctrlPr>
                          </m:eqArrPr>
                          <m:e>
                            <m:r>
                              <m:rPr>
                                <m:sty m:val="p"/>
                              </m:rPr>
                              <a:rPr lang="en-US" sz="800">
                                <a:latin typeface="Cambria Math" panose="02040503050406030204" pitchFamily="18" charset="0"/>
                                <a:cs typeface="Sora" pitchFamily="2" charset="0"/>
                              </a:rPr>
                              <m:t>Receita</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juros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Receitas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servi</m:t>
                            </m:r>
                            <m:r>
                              <a:rPr lang="en-US" sz="800">
                                <a:latin typeface="Cambria Math" panose="02040503050406030204" pitchFamily="18" charset="0"/>
                                <a:cs typeface="Sora" pitchFamily="2" charset="0"/>
                              </a:rPr>
                              <m:t>ç</m:t>
                            </m:r>
                            <m:r>
                              <m:rPr>
                                <m:sty m:val="p"/>
                              </m:rPr>
                              <a:rPr lang="en-US" sz="800">
                                <a:latin typeface="Cambria Math" panose="02040503050406030204" pitchFamily="18" charset="0"/>
                                <a:cs typeface="Sora" pitchFamily="2" charset="0"/>
                              </a:rPr>
                              <m:t>os</m:t>
                            </m:r>
                            <m:r>
                              <a:rPr lang="pt-BR"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comiss</m:t>
                            </m:r>
                            <m:r>
                              <a:rPr lang="en-US" sz="800">
                                <a:latin typeface="Cambria Math" panose="02040503050406030204" pitchFamily="18" charset="0"/>
                                <a:cs typeface="Sora" pitchFamily="2" charset="0"/>
                              </a:rPr>
                              <m:t>õ</m:t>
                            </m:r>
                            <m:r>
                              <m:rPr>
                                <m:sty m:val="p"/>
                              </m:rPr>
                              <a:rPr lang="en-US" sz="800">
                                <a:latin typeface="Cambria Math" panose="02040503050406030204" pitchFamily="18" charset="0"/>
                                <a:cs typeface="Sora" pitchFamily="2" charset="0"/>
                              </a:rPr>
                              <m:t>es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Despesas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cashback</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InterRewards</m:t>
                            </m:r>
                            <m:r>
                              <m:rPr>
                                <m:nor/>
                              </m:rPr>
                              <a:rPr lang="pt-BR" sz="800">
                                <a:latin typeface="Calibri" panose="020F0502020204030204" pitchFamily="34" charset="0"/>
                                <a:cs typeface="Calibri" panose="020F0502020204030204" pitchFamily="34" charset="0"/>
                              </a:rPr>
                              <m:t>) </m:t>
                            </m:r>
                            <m:r>
                              <a:rPr lang="pt-BR" sz="800" i="1">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Re</m:t>
                            </m:r>
                            <m:r>
                              <m:rPr>
                                <m:sty m:val="p"/>
                              </m:rPr>
                              <a:rPr lang="pt-BR" sz="800">
                                <a:latin typeface="Cambria Math" panose="02040503050406030204" pitchFamily="18" charset="0"/>
                                <a:cs typeface="Sora" pitchFamily="2" charset="0"/>
                              </a:rPr>
                              <m:t>sultado</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t</m:t>
                            </m:r>
                            <m:r>
                              <a:rPr lang="en-US" sz="800">
                                <a:latin typeface="Cambria Math" panose="02040503050406030204" pitchFamily="18" charset="0"/>
                                <a:cs typeface="Sora" pitchFamily="2" charset="0"/>
                              </a:rPr>
                              <m:t>í</m:t>
                            </m:r>
                            <m:r>
                              <m:rPr>
                                <m:sty m:val="p"/>
                              </m:rPr>
                              <a:rPr lang="en-US" sz="800">
                                <a:latin typeface="Cambria Math" panose="02040503050406030204" pitchFamily="18" charset="0"/>
                                <a:cs typeface="Sora" pitchFamily="2" charset="0"/>
                              </a:rPr>
                              <m:t>tulos</m:t>
                            </m:r>
                            <m:r>
                              <a:rPr lang="en-US" sz="800">
                                <a:latin typeface="Cambria Math" panose="02040503050406030204" pitchFamily="18" charset="0"/>
                                <a:cs typeface="Sora" pitchFamily="2" charset="0"/>
                              </a:rPr>
                              <m:t> </m:t>
                            </m:r>
                          </m:e>
                          <m:e>
                            <m:r>
                              <m:rPr>
                                <m:sty m:val="p"/>
                              </m:rPr>
                              <a:rPr lang="en-US" sz="800">
                                <a:latin typeface="Cambria Math" panose="02040503050406030204" pitchFamily="18" charset="0"/>
                                <a:cs typeface="Sora" pitchFamily="2" charset="0"/>
                              </a:rPr>
                              <m:t>e</m:t>
                            </m:r>
                            <m:r>
                              <a:rPr lang="pt-BR" sz="800" b="0" i="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valores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mobili</m:t>
                            </m:r>
                            <m:r>
                              <a:rPr lang="en-US" sz="800">
                                <a:latin typeface="Cambria Math" panose="02040503050406030204" pitchFamily="18" charset="0"/>
                                <a:cs typeface="Sora" pitchFamily="2" charset="0"/>
                              </a:rPr>
                              <m:t>á</m:t>
                            </m:r>
                            <m:r>
                              <m:rPr>
                                <m:sty m:val="p"/>
                              </m:rPr>
                              <a:rPr lang="en-US" sz="800">
                                <a:latin typeface="Cambria Math" panose="02040503050406030204" pitchFamily="18" charset="0"/>
                                <a:cs typeface="Sora" pitchFamily="2" charset="0"/>
                              </a:rPr>
                              <m:t>rios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derivativos</m:t>
                            </m:r>
                            <m:r>
                              <a:rPr lang="pt-BR" sz="800">
                                <a:latin typeface="Cambria Math" panose="02040503050406030204" pitchFamily="18" charset="0"/>
                                <a:cs typeface="Sora" pitchFamily="2" charset="0"/>
                              </a:rPr>
                              <m:t>+</m:t>
                            </m:r>
                            <m:r>
                              <m:rPr>
                                <m:sty m:val="p"/>
                              </m:rPr>
                              <a:rPr lang="en-US" sz="800">
                                <a:latin typeface="Cambria Math" panose="02040503050406030204" pitchFamily="18" charset="0"/>
                                <a:cs typeface="Sora" pitchFamily="2" charset="0"/>
                              </a:rPr>
                              <m:t>Outras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receitas</m:t>
                            </m:r>
                            <m:r>
                              <a:rPr lang="en-US" sz="800">
                                <a:latin typeface="Cambria Math" panose="02040503050406030204" pitchFamily="18" charset="0"/>
                                <a:cs typeface="Sora" pitchFamily="2" charset="0"/>
                              </a:rPr>
                              <m:t> ÷3</m:t>
                            </m:r>
                            <m:r>
                              <m:rPr>
                                <m:nor/>
                              </m:rPr>
                              <a:rPr lang="pt-BR" sz="800">
                                <a:latin typeface="Calibri" panose="020F0502020204030204" pitchFamily="34" charset="0"/>
                                <a:cs typeface="Calibri" panose="020F0502020204030204" pitchFamily="34" charset="0"/>
                              </a:rPr>
                              <m:t> </m:t>
                            </m:r>
                          </m:e>
                        </m:eqArr>
                      </m:num>
                      <m:den>
                        <m:r>
                          <m:rPr>
                            <m:sty m:val="p"/>
                          </m:rPr>
                          <a:rPr lang="pt-BR" sz="800" b="0" i="0">
                            <a:solidFill>
                              <a:schemeClr val="tx1"/>
                            </a:solidFill>
                            <a:latin typeface="Cambria Math" panose="02040503050406030204" pitchFamily="18" charset="0"/>
                            <a:cs typeface="Sora" pitchFamily="2" charset="0"/>
                          </a:rPr>
                          <m:t>M</m:t>
                        </m:r>
                        <m:r>
                          <a:rPr lang="pt-BR" sz="800" i="0">
                            <a:latin typeface="Cambria Math" panose="02040503050406030204" pitchFamily="18" charset="0"/>
                            <a:cs typeface="Sora" pitchFamily="2" charset="0"/>
                          </a:rPr>
                          <m:t>é</m:t>
                        </m:r>
                        <m:r>
                          <m:rPr>
                            <m:sty m:val="p"/>
                          </m:rPr>
                          <a:rPr lang="pt-BR" sz="800" b="0" i="0">
                            <a:latin typeface="Cambria Math" panose="02040503050406030204" pitchFamily="18" charset="0"/>
                            <a:cs typeface="Sora" pitchFamily="2" charset="0"/>
                          </a:rPr>
                          <m:t>dia</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clientes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ativos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dos</m:t>
                        </m:r>
                        <m:r>
                          <a:rPr lang="pt-BR" sz="800" b="0" i="0">
                            <a:latin typeface="Cambria Math" panose="02040503050406030204" pitchFamily="18" charset="0"/>
                            <a:cs typeface="Sora" pitchFamily="2" charset="0"/>
                          </a:rPr>
                          <m:t> ú</m:t>
                        </m:r>
                        <m:r>
                          <m:rPr>
                            <m:sty m:val="p"/>
                          </m:rPr>
                          <a:rPr lang="pt-BR" sz="800" b="0" i="0">
                            <a:latin typeface="Cambria Math" panose="02040503050406030204" pitchFamily="18" charset="0"/>
                            <a:cs typeface="Sora" pitchFamily="2" charset="0"/>
                          </a:rPr>
                          <m:t>ltimos</m:t>
                        </m:r>
                        <m:r>
                          <a:rPr lang="pt-BR" sz="800" b="0" i="0">
                            <a:latin typeface="Cambria Math" panose="02040503050406030204" pitchFamily="18" charset="0"/>
                            <a:cs typeface="Sora" pitchFamily="2" charset="0"/>
                          </a:rPr>
                          <m:t> 2 </m:t>
                        </m:r>
                        <m:r>
                          <m:rPr>
                            <m:sty m:val="p"/>
                          </m:rPr>
                          <a:rPr lang="pt-BR" sz="800" b="0" i="0">
                            <a:latin typeface="Cambria Math" panose="02040503050406030204" pitchFamily="18" charset="0"/>
                            <a:cs typeface="Sora" pitchFamily="2" charset="0"/>
                          </a:rPr>
                          <m:t>trimestres</m:t>
                        </m:r>
                      </m:den>
                    </m:f>
                  </m:oMath>
                </m:oMathPara>
              </a14:m>
              <a:endParaRPr lang="en-US" sz="800" b="1">
                <a:solidFill>
                  <a:schemeClr val="tx1"/>
                </a:solidFill>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ARPAC líquido</a:t>
              </a:r>
              <a:r>
                <a:rPr lang="en-US" sz="800" b="1">
                  <a:solidFill>
                    <a:schemeClr val="tx1"/>
                  </a:solidFill>
                  <a:latin typeface="Calibri" panose="020F0502020204030204" pitchFamily="34" charset="0"/>
                  <a:cs typeface="Calibri" panose="020F0502020204030204" pitchFamily="34" charset="0"/>
                </a:rPr>
                <a:t>:</a:t>
              </a:r>
            </a:p>
            <a:p>
              <a:pPr algn="ctr"/>
              <a:br>
                <a:rPr lang="en-US" sz="800" b="1">
                  <a:solidFill>
                    <a:schemeClr val="tx1"/>
                  </a:solidFill>
                  <a:latin typeface="Calibri" panose="020F0502020204030204" pitchFamily="34" charset="0"/>
                  <a:cs typeface="Calibri" panose="020F0502020204030204" pitchFamily="34" charset="0"/>
                </a:rPr>
              </a:br>
              <a14:m>
                <m:oMathPara xmlns:m="http://schemas.openxmlformats.org/officeDocument/2006/math">
                  <m:oMathParaPr>
                    <m:jc m:val="centerGroup"/>
                  </m:oMathParaPr>
                  <m:oMath xmlns:m="http://schemas.openxmlformats.org/officeDocument/2006/math">
                    <m:f>
                      <m:fPr>
                        <m:ctrlPr>
                          <a:rPr lang="en-US" sz="800" i="1">
                            <a:solidFill>
                              <a:schemeClr val="tx1"/>
                            </a:solidFill>
                            <a:latin typeface="Cambria Math" panose="02040503050406030204" pitchFamily="18" charset="0"/>
                            <a:cs typeface="Sora" pitchFamily="2" charset="0"/>
                          </a:rPr>
                        </m:ctrlPr>
                      </m:fPr>
                      <m:num>
                        <m:r>
                          <a:rPr lang="en-US" sz="800" i="0">
                            <a:latin typeface="Cambria Math" panose="02040503050406030204" pitchFamily="18" charset="0"/>
                            <a:cs typeface="Sora" pitchFamily="2" charset="0"/>
                          </a:rPr>
                          <m:t>(</m:t>
                        </m:r>
                        <m:r>
                          <m:rPr>
                            <m:sty m:val="p"/>
                          </m:rPr>
                          <a:rPr lang="en-US" sz="800">
                            <a:latin typeface="Cambria Math" panose="02040503050406030204" pitchFamily="18" charset="0"/>
                            <a:cs typeface="Sora" pitchFamily="2" charset="0"/>
                          </a:rPr>
                          <m:t>Receita</m:t>
                        </m:r>
                        <m:r>
                          <m:rPr>
                            <m:sty m:val="p"/>
                          </m:rPr>
                          <a:rPr lang="pt-BR" sz="800" b="0" i="0">
                            <a:latin typeface="Cambria Math" panose="02040503050406030204" pitchFamily="18" charset="0"/>
                            <a:cs typeface="Sora" pitchFamily="2" charset="0"/>
                          </a:rPr>
                          <m:t>s</m:t>
                        </m:r>
                        <m:r>
                          <a:rPr lang="pt-BR" sz="800" b="0" i="0">
                            <a:latin typeface="Cambria Math" panose="02040503050406030204" pitchFamily="18" charset="0"/>
                            <a:cs typeface="Sora" pitchFamily="2" charset="0"/>
                          </a:rPr>
                          <m:t> −</m:t>
                        </m:r>
                        <m:r>
                          <m:rPr>
                            <m:sty m:val="p"/>
                          </m:rPr>
                          <a:rPr lang="en-US" sz="800" i="0">
                            <a:latin typeface="Cambria Math" panose="02040503050406030204" pitchFamily="18" charset="0"/>
                            <a:cs typeface="Sora" pitchFamily="2" charset="0"/>
                          </a:rPr>
                          <m:t>despesas</m:t>
                        </m:r>
                        <m:r>
                          <a:rPr lang="en-US" sz="800" i="0">
                            <a:latin typeface="Cambria Math" panose="02040503050406030204" pitchFamily="18" charset="0"/>
                            <a:cs typeface="Sora" pitchFamily="2" charset="0"/>
                          </a:rPr>
                          <m:t> </m:t>
                        </m:r>
                        <m:r>
                          <m:rPr>
                            <m:sty m:val="p"/>
                          </m:rPr>
                          <a:rPr lang="en-US" sz="800" i="0">
                            <a:latin typeface="Cambria Math" panose="02040503050406030204" pitchFamily="18" charset="0"/>
                            <a:cs typeface="Sora" pitchFamily="2" charset="0"/>
                          </a:rPr>
                          <m:t>de</m:t>
                        </m:r>
                        <m:r>
                          <a:rPr lang="en-US" sz="800" i="0">
                            <a:latin typeface="Cambria Math" panose="02040503050406030204" pitchFamily="18" charset="0"/>
                            <a:cs typeface="Sora" pitchFamily="2" charset="0"/>
                          </a:rPr>
                          <m:t> </m:t>
                        </m:r>
                        <m:r>
                          <m:rPr>
                            <m:sty m:val="p"/>
                          </m:rPr>
                          <a:rPr lang="en-US" sz="800" i="0">
                            <a:latin typeface="Cambria Math" panose="02040503050406030204" pitchFamily="18" charset="0"/>
                            <a:cs typeface="Sora" pitchFamily="2" charset="0"/>
                          </a:rPr>
                          <m:t>juros</m:t>
                        </m:r>
                        <m:r>
                          <a:rPr lang="en-US" sz="800" i="0">
                            <a:latin typeface="Cambria Math" panose="02040503050406030204" pitchFamily="18" charset="0"/>
                            <a:cs typeface="Sora" pitchFamily="2" charset="0"/>
                          </a:rPr>
                          <m:t>)÷3</m:t>
                        </m:r>
                      </m:num>
                      <m:den>
                        <m:r>
                          <m:rPr>
                            <m:sty m:val="p"/>
                          </m:rPr>
                          <a:rPr lang="pt-BR" sz="800" i="0">
                            <a:latin typeface="Cambria Math" panose="02040503050406030204" pitchFamily="18" charset="0"/>
                            <a:cs typeface="Sora" pitchFamily="2" charset="0"/>
                          </a:rPr>
                          <m:t>M</m:t>
                        </m:r>
                        <m:r>
                          <a:rPr lang="pt-BR" sz="800" i="0">
                            <a:latin typeface="Cambria Math" panose="02040503050406030204" pitchFamily="18" charset="0"/>
                            <a:cs typeface="Sora" pitchFamily="2" charset="0"/>
                          </a:rPr>
                          <m:t>é</m:t>
                        </m:r>
                        <m:r>
                          <m:rPr>
                            <m:sty m:val="p"/>
                          </m:rPr>
                          <a:rPr lang="pt-BR" sz="800" i="0">
                            <a:latin typeface="Cambria Math" panose="02040503050406030204" pitchFamily="18" charset="0"/>
                            <a:cs typeface="Sora" pitchFamily="2" charset="0"/>
                          </a:rPr>
                          <m:t>dia</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clientes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ativos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dos</m:t>
                        </m:r>
                        <m:r>
                          <a:rPr lang="pt-BR" sz="800" i="0">
                            <a:latin typeface="Cambria Math" panose="02040503050406030204" pitchFamily="18" charset="0"/>
                            <a:cs typeface="Sora" pitchFamily="2" charset="0"/>
                          </a:rPr>
                          <m:t> ú</m:t>
                        </m:r>
                        <m:r>
                          <m:rPr>
                            <m:sty m:val="p"/>
                          </m:rPr>
                          <a:rPr lang="pt-BR" sz="800" i="0">
                            <a:latin typeface="Cambria Math" panose="02040503050406030204" pitchFamily="18" charset="0"/>
                            <a:cs typeface="Sora" pitchFamily="2" charset="0"/>
                          </a:rPr>
                          <m:t>ltimos</m:t>
                        </m:r>
                        <m:r>
                          <a:rPr lang="pt-BR" sz="800" i="0">
                            <a:latin typeface="Cambria Math" panose="02040503050406030204" pitchFamily="18" charset="0"/>
                            <a:cs typeface="Sora" pitchFamily="2" charset="0"/>
                          </a:rPr>
                          <m:t> 2 </m:t>
                        </m:r>
                        <m:r>
                          <m:rPr>
                            <m:sty m:val="p"/>
                          </m:rPr>
                          <a:rPr lang="pt-BR" sz="800" i="0">
                            <a:latin typeface="Cambria Math" panose="02040503050406030204" pitchFamily="18" charset="0"/>
                            <a:cs typeface="Sora" pitchFamily="2" charset="0"/>
                          </a:rPr>
                          <m:t>trimestres</m:t>
                        </m:r>
                      </m:den>
                    </m:f>
                  </m:oMath>
                </m:oMathPara>
              </a14:m>
              <a:endParaRPr lang="en-US" sz="800" b="1">
                <a:solidFill>
                  <a:schemeClr val="tx1"/>
                </a:solidFill>
                <a:latin typeface="Calibri" panose="020F0502020204030204" pitchFamily="34" charset="0"/>
                <a:cs typeface="Calibri" panose="020F0502020204030204" pitchFamily="34" charset="0"/>
              </a:endParaRPr>
            </a:p>
            <a:p>
              <a:pPr algn="ctr"/>
              <a:endParaRPr lang="en-US" sz="800">
                <a:solidFill>
                  <a:schemeClr val="tx1"/>
                </a:solidFill>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ARPAC líquido por safras trimestrais:</a:t>
              </a:r>
            </a:p>
            <a:p>
              <a:r>
                <a:rPr lang="en-US" sz="800">
                  <a:latin typeface="Calibri" panose="020F0502020204030204" pitchFamily="34" charset="0"/>
                  <a:ea typeface="Inter Light BETA" panose="020B0402030000000004" pitchFamily="34" charset="0"/>
                  <a:cs typeface="Calibri" panose="020F0502020204030204" pitchFamily="34" charset="0"/>
                </a:rPr>
                <a:t>Receita bruta total líquida de despesas de juros em uma determinada safra dividida pela media do número de clientes ativos no período atual e no anterior (1). Safra é definida como o período em que o cliente começou a relação com o Inter. </a:t>
              </a:r>
              <a:br>
                <a:rPr lang="en-US" sz="800">
                  <a:latin typeface="Calibri" panose="020F0502020204030204" pitchFamily="34" charset="0"/>
                  <a:ea typeface="Inter Light BETA" panose="020B0402030000000004" pitchFamily="34" charset="0"/>
                  <a:cs typeface="Calibri" panose="020F0502020204030204" pitchFamily="34" charset="0"/>
                </a:rPr>
              </a:br>
              <a:endParaRPr lang="en-US" sz="800">
                <a:latin typeface="Calibri" panose="020F0502020204030204" pitchFamily="34" charset="0"/>
                <a:ea typeface="Inter" panose="020B0502030000000004" pitchFamily="34" charset="0"/>
                <a:cs typeface="Calibri" panose="020F0502020204030204" pitchFamily="34" charset="0"/>
              </a:endParaRPr>
            </a:p>
            <a:p>
              <a:r>
                <a:rPr lang="en-US" sz="800" baseline="30000">
                  <a:latin typeface="Calibri" panose="020F0502020204030204" pitchFamily="34" charset="0"/>
                  <a:ea typeface="Inter" panose="020B0502030000000004" pitchFamily="34" charset="0"/>
                  <a:cs typeface="Calibri" panose="020F0502020204030204" pitchFamily="34" charset="0"/>
                </a:rPr>
                <a:t>1 – Média do número de clientes ativos no período atual e no anterior. Para o primeiro período, é utilizado o número total de clientes ativos no final do período. </a:t>
              </a:r>
            </a:p>
            <a:p>
              <a:endParaRPr lang="en-US" sz="800" baseline="30000">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Assets under custody (AuC):</a:t>
              </a:r>
            </a:p>
            <a:p>
              <a:pPr algn="just"/>
              <a:r>
                <a:rPr lang="en-US" sz="800">
                  <a:latin typeface="Calibri" panose="020F0502020204030204" pitchFamily="34" charset="0"/>
                  <a:ea typeface="Inter" panose="020B0502030000000004" pitchFamily="34" charset="0"/>
                  <a:cs typeface="Calibri" panose="020F0502020204030204" pitchFamily="34" charset="0"/>
                </a:rPr>
                <a:t>Calculamos o AUC em uma determinada data como o valor de mercado de todos os ativos de clientes de varejo investidos por meio de nossa plataforma de investimentos na mesma data. Acreditamos que o AUC, por refletir o volume total de ativos investidos em nossa plataforma de investimentos sem levar em conta nossa eficiência operacional, nos fornece informações úteis sobre a atratividade de nossa plataforma. Usamos essa métrica para monitorar o tamanho de nossa plataforma de investimentos.</a:t>
              </a:r>
            </a:p>
            <a:p>
              <a:pPr algn="just"/>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Carteira de crédito bruta:</a:t>
              </a:r>
            </a:p>
            <a:p>
              <a:pPr algn="ctr"/>
              <a:endParaRPr lang="en-US" sz="800" b="1">
                <a:latin typeface="Calibri" panose="020F0502020204030204" pitchFamily="34" charset="0"/>
                <a:cs typeface="Calibri" panose="020F0502020204030204" pitchFamily="34" charset="0"/>
              </a:endParaRPr>
            </a:p>
            <a:p>
              <a:pPr algn="ctr"/>
              <a14:m>
                <m:oMathPara xmlns:m="http://schemas.openxmlformats.org/officeDocument/2006/math">
                  <m:oMathParaPr>
                    <m:jc m:val="center"/>
                  </m:oMathParaPr>
                  <m:oMath xmlns:m="http://schemas.openxmlformats.org/officeDocument/2006/math">
                    <m:r>
                      <m:rPr>
                        <m:sty m:val="p"/>
                      </m:rPr>
                      <a:rPr lang="en-US" sz="800" b="0" i="0">
                        <a:latin typeface="Cambria Math" panose="02040503050406030204" pitchFamily="18" charset="0"/>
                        <a:cs typeface="Sora" pitchFamily="2" charset="0"/>
                      </a:rPr>
                      <m:t>Empr</m:t>
                    </m:r>
                    <m:r>
                      <a:rPr lang="en-US" sz="800" b="0" i="0">
                        <a:latin typeface="Cambria Math" panose="02040503050406030204" pitchFamily="18" charset="0"/>
                        <a:cs typeface="Sora" pitchFamily="2" charset="0"/>
                      </a:rPr>
                      <m:t>é</m:t>
                    </m:r>
                    <m:r>
                      <m:rPr>
                        <m:sty m:val="p"/>
                      </m:rPr>
                      <a:rPr lang="en-US" sz="800" b="0" i="0">
                        <a:latin typeface="Cambria Math" panose="02040503050406030204" pitchFamily="18" charset="0"/>
                        <a:cs typeface="Sora" pitchFamily="2" charset="0"/>
                      </a:rPr>
                      <m:t>stimos</m:t>
                    </m:r>
                    <m:r>
                      <a:rPr lang="en-US" sz="800" b="0" i="0">
                        <a:latin typeface="Cambria Math" panose="02040503050406030204" pitchFamily="18" charset="0"/>
                        <a:cs typeface="Sora" pitchFamily="2" charset="0"/>
                      </a:rPr>
                      <m:t> </m:t>
                    </m:r>
                    <m:r>
                      <m:rPr>
                        <m:sty m:val="p"/>
                      </m:rPr>
                      <a:rPr lang="en-US" sz="800" b="0" i="0">
                        <a:latin typeface="Cambria Math" panose="02040503050406030204" pitchFamily="18" charset="0"/>
                        <a:cs typeface="Sora" pitchFamily="2" charset="0"/>
                      </a:rPr>
                      <m:t>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adiantamentos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a</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clientes</m:t>
                    </m:r>
                    <m:r>
                      <a:rPr lang="pt-BR" sz="800" b="0" i="0">
                        <a:latin typeface="Cambria Math" panose="02040503050406030204" pitchFamily="18" charset="0"/>
                        <a:cs typeface="Sora" pitchFamily="2" charset="0"/>
                      </a:rPr>
                      <m:t>+</m:t>
                    </m:r>
                    <m:r>
                      <m:rPr>
                        <m:sty m:val="p"/>
                      </m:rPr>
                      <a:rPr lang="pt-BR" sz="800" b="0" i="0">
                        <a:latin typeface="Cambria Math" panose="02040503050406030204" pitchFamily="18" charset="0"/>
                        <a:cs typeface="Sora" pitchFamily="2" charset="0"/>
                      </a:rPr>
                      <m:t>Empr</m:t>
                    </m:r>
                    <m:r>
                      <a:rPr lang="pt-BR" sz="800" b="0" i="0">
                        <a:latin typeface="Cambria Math" panose="02040503050406030204" pitchFamily="18" charset="0"/>
                        <a:cs typeface="Sora" pitchFamily="2" charset="0"/>
                      </a:rPr>
                      <m:t>é</m:t>
                    </m:r>
                    <m:r>
                      <m:rPr>
                        <m:sty m:val="p"/>
                      </m:rPr>
                      <a:rPr lang="pt-BR" sz="800" b="0" i="0">
                        <a:latin typeface="Cambria Math" panose="02040503050406030204" pitchFamily="18" charset="0"/>
                        <a:cs typeface="Sora" pitchFamily="2" charset="0"/>
                      </a:rPr>
                      <m:t>stimos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a</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institui</m:t>
                    </m:r>
                    <m:r>
                      <a:rPr lang="pt-BR" sz="800" b="0" i="0">
                        <a:latin typeface="Cambria Math" panose="02040503050406030204" pitchFamily="18" charset="0"/>
                        <a:cs typeface="Sora" pitchFamily="2" charset="0"/>
                      </a:rPr>
                      <m:t>çõ</m:t>
                    </m:r>
                    <m:r>
                      <m:rPr>
                        <m:sty m:val="p"/>
                      </m:rPr>
                      <a:rPr lang="pt-BR" sz="800" b="0" i="0">
                        <a:latin typeface="Cambria Math" panose="02040503050406030204" pitchFamily="18" charset="0"/>
                        <a:cs typeface="Sora" pitchFamily="2" charset="0"/>
                      </a:rPr>
                      <m:t>es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financeiras</m:t>
                    </m:r>
                  </m:oMath>
                </m:oMathPara>
              </a14:m>
              <a:endParaRPr lang="pt-BR" sz="800">
                <a:latin typeface="Calibri" panose="020F0502020204030204" pitchFamily="34" charset="0"/>
                <a:cs typeface="Calibri" panose="020F0502020204030204" pitchFamily="34" charset="0"/>
              </a:endParaRPr>
            </a:p>
            <a:p>
              <a:pPr algn="ctr"/>
              <a:endParaRPr lang="pt-BR" sz="800">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Carteira remunerada:</a:t>
              </a:r>
            </a:p>
            <a:p>
              <a:pPr algn="ctr"/>
              <a:endParaRPr lang="en-US" sz="800" b="1">
                <a:latin typeface="Calibri" panose="020F05020202040302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r>
                      <m:rPr>
                        <m:sty m:val="p"/>
                      </m:rPr>
                      <a:rPr lang="en-US" sz="800" i="1">
                        <a:latin typeface="Cambria Math" panose="02040503050406030204" pitchFamily="18" charset="0"/>
                        <a:cs typeface="Sora" pitchFamily="2" charset="0"/>
                      </a:rPr>
                      <m:t>Empr</m:t>
                    </m:r>
                    <m:r>
                      <a:rPr lang="en-US" sz="800" i="1">
                        <a:latin typeface="Cambria Math" panose="02040503050406030204" pitchFamily="18" charset="0"/>
                        <a:cs typeface="Sora" pitchFamily="2" charset="0"/>
                      </a:rPr>
                      <m:t>é</m:t>
                    </m:r>
                    <m:r>
                      <m:rPr>
                        <m:sty m:val="p"/>
                      </m:rPr>
                      <a:rPr lang="en-US" sz="800" i="1">
                        <a:latin typeface="Cambria Math" panose="02040503050406030204" pitchFamily="18" charset="0"/>
                        <a:cs typeface="Sora" pitchFamily="2" charset="0"/>
                      </a:rPr>
                      <m:t>stimos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e</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adiantamentos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a</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institui</m:t>
                    </m:r>
                    <m:r>
                      <a:rPr lang="en-US" sz="800" i="1">
                        <a:latin typeface="Cambria Math" panose="02040503050406030204" pitchFamily="18" charset="0"/>
                        <a:cs typeface="Sora" pitchFamily="2" charset="0"/>
                      </a:rPr>
                      <m:t>çõ</m:t>
                    </m:r>
                    <m:r>
                      <m:rPr>
                        <m:sty m:val="p"/>
                      </m:rPr>
                      <a:rPr lang="en-US" sz="800" i="1">
                        <a:latin typeface="Cambria Math" panose="02040503050406030204" pitchFamily="18" charset="0"/>
                        <a:cs typeface="Sora" pitchFamily="2" charset="0"/>
                      </a:rPr>
                      <m:t>es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financeiras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T</m:t>
                    </m:r>
                    <m:r>
                      <a:rPr lang="en-US" sz="800" i="1">
                        <a:latin typeface="Cambria Math" panose="02040503050406030204" pitchFamily="18" charset="0"/>
                        <a:cs typeface="Sora" pitchFamily="2" charset="0"/>
                      </a:rPr>
                      <m:t>í</m:t>
                    </m:r>
                    <m:r>
                      <m:rPr>
                        <m:sty m:val="p"/>
                      </m:rPr>
                      <a:rPr lang="en-US" sz="800" i="1">
                        <a:latin typeface="Cambria Math" panose="02040503050406030204" pitchFamily="18" charset="0"/>
                        <a:cs typeface="Sora" pitchFamily="2" charset="0"/>
                      </a:rPr>
                      <m:t>tulos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e</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valores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mobili</m:t>
                    </m:r>
                    <m:r>
                      <a:rPr lang="en-US" sz="800" i="1">
                        <a:latin typeface="Cambria Math" panose="02040503050406030204" pitchFamily="18" charset="0"/>
                        <a:cs typeface="Sora" pitchFamily="2" charset="0"/>
                      </a:rPr>
                      <m:t>á</m:t>
                    </m:r>
                    <m:r>
                      <m:rPr>
                        <m:sty m:val="p"/>
                      </m:rPr>
                      <a:rPr lang="en-US" sz="800" i="1">
                        <a:latin typeface="Cambria Math" panose="02040503050406030204" pitchFamily="18" charset="0"/>
                        <a:cs typeface="Sora" pitchFamily="2" charset="0"/>
                      </a:rPr>
                      <m:t>rios</m:t>
                    </m:r>
                    <m:r>
                      <a:rPr lang="en-US" sz="800" i="1">
                        <a:latin typeface="Cambria Math" panose="02040503050406030204" pitchFamily="18" charset="0"/>
                        <a:cs typeface="Sora" pitchFamily="2" charset="0"/>
                      </a:rPr>
                      <m:t>+</m:t>
                    </m:r>
                    <m:r>
                      <m:rPr>
                        <m:sty m:val="p"/>
                      </m:rPr>
                      <a:rPr lang="en-US" sz="800" i="1">
                        <a:latin typeface="Cambria Math" panose="02040503050406030204" pitchFamily="18" charset="0"/>
                        <a:cs typeface="Sora" pitchFamily="2" charset="0"/>
                      </a:rPr>
                      <m:t>Empr</m:t>
                    </m:r>
                    <m:r>
                      <a:rPr lang="en-US" sz="800" i="1">
                        <a:latin typeface="Cambria Math" panose="02040503050406030204" pitchFamily="18" charset="0"/>
                        <a:cs typeface="Sora" pitchFamily="2" charset="0"/>
                      </a:rPr>
                      <m:t>é</m:t>
                    </m:r>
                    <m:r>
                      <m:rPr>
                        <m:sty m:val="p"/>
                      </m:rPr>
                      <a:rPr lang="en-US" sz="800" i="1">
                        <a:latin typeface="Cambria Math" panose="02040503050406030204" pitchFamily="18" charset="0"/>
                        <a:cs typeface="Sora" pitchFamily="2" charset="0"/>
                      </a:rPr>
                      <m:t>stimos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e</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adiantamentos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a</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clientes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l</m:t>
                    </m:r>
                    <m:r>
                      <a:rPr lang="en-US" sz="800" i="1">
                        <a:latin typeface="Cambria Math" panose="02040503050406030204" pitchFamily="18" charset="0"/>
                        <a:cs typeface="Sora" pitchFamily="2" charset="0"/>
                      </a:rPr>
                      <m:t>í</m:t>
                    </m:r>
                    <m:r>
                      <m:rPr>
                        <m:sty m:val="p"/>
                      </m:rPr>
                      <a:rPr lang="en-US" sz="800" i="1">
                        <a:latin typeface="Cambria Math" panose="02040503050406030204" pitchFamily="18" charset="0"/>
                        <a:cs typeface="Sora" pitchFamily="2" charset="0"/>
                      </a:rPr>
                      <m:t>quidos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de</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provis</m:t>
                    </m:r>
                    <m:r>
                      <a:rPr lang="en-US" sz="800" i="1">
                        <a:latin typeface="Cambria Math" panose="02040503050406030204" pitchFamily="18" charset="0"/>
                        <a:cs typeface="Sora" pitchFamily="2" charset="0"/>
                      </a:rPr>
                      <m:t>ã</m:t>
                    </m:r>
                    <m:r>
                      <m:rPr>
                        <m:sty m:val="p"/>
                      </m:rPr>
                      <a:rPr lang="en-US" sz="800" i="1">
                        <a:latin typeface="Cambria Math" panose="02040503050406030204" pitchFamily="18" charset="0"/>
                        <a:cs typeface="Sora" pitchFamily="2" charset="0"/>
                      </a:rPr>
                      <m:t>o</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para</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perdas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esperadas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Instrumentos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financeiros</m:t>
                    </m:r>
                    <m:r>
                      <a:rPr lang="en-US" sz="800" i="1">
                        <a:latin typeface="Cambria Math" panose="02040503050406030204" pitchFamily="18" charset="0"/>
                        <a:cs typeface="Sora" pitchFamily="2" charset="0"/>
                      </a:rPr>
                      <m:t> </m:t>
                    </m:r>
                    <m:r>
                      <m:rPr>
                        <m:sty m:val="p"/>
                      </m:rPr>
                      <a:rPr lang="en-US" sz="800" i="1">
                        <a:latin typeface="Cambria Math" panose="02040503050406030204" pitchFamily="18" charset="0"/>
                        <a:cs typeface="Sora" pitchFamily="2" charset="0"/>
                      </a:rPr>
                      <m:t>derivativos</m:t>
                    </m:r>
                  </m:oMath>
                </m:oMathPara>
              </a14:m>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500">
                <a:latin typeface="Calibri" panose="020F0502020204030204" pitchFamily="34" charset="0"/>
                <a:ea typeface="Cambria Math" panose="02040503050406030204" pitchFamily="18" charset="0"/>
                <a:cs typeface="Calibri" panose="020F0502020204030204" pitchFamily="34" charset="0"/>
              </a:endParaRPr>
            </a:p>
          </xdr:txBody>
        </xdr:sp>
      </mc:Choice>
      <mc:Fallback xmlns="">
        <xdr:sp macro="" textlink="">
          <xdr:nvSpPr>
            <xdr:cNvPr id="47" name="Retângulo 9">
              <a:extLst>
                <a:ext uri="{FF2B5EF4-FFF2-40B4-BE49-F238E27FC236}">
                  <a16:creationId xmlns:a16="http://schemas.microsoft.com/office/drawing/2014/main" id="{7B6548DB-49D2-8B13-2D86-C9DAEC78AA0E}"/>
                </a:ext>
              </a:extLst>
            </xdr:cNvPr>
            <xdr:cNvSpPr/>
          </xdr:nvSpPr>
          <xdr:spPr>
            <a:xfrm>
              <a:off x="6712678" y="9628741"/>
              <a:ext cx="5772853" cy="524040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800" b="1">
                  <a:latin typeface="Calibri" panose="020F0502020204030204" pitchFamily="34" charset="0"/>
                  <a:cs typeface="Calibri" panose="020F0502020204030204" pitchFamily="34" charset="0"/>
                </a:rPr>
                <a:t>Antecipação de recebíveis de cartão de crédito:</a:t>
              </a:r>
            </a:p>
            <a:p>
              <a:pPr algn="just"/>
              <a:r>
                <a:rPr lang="pt-BR" sz="800">
                  <a:latin typeface="Calibri" panose="020F0502020204030204" pitchFamily="34" charset="0"/>
                  <a:ea typeface="Inter" panose="020B0502030000000004" pitchFamily="34" charset="0"/>
                  <a:cs typeface="Calibri" panose="020F0502020204030204" pitchFamily="34" charset="0"/>
                </a:rPr>
                <a:t>Divulgados na nota 9.a das Demonstrações Financeiras, na linha "Empréstimos e adiantamentos a instituições financeiras”.</a:t>
              </a: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ARPAC bruto</a:t>
              </a:r>
              <a:r>
                <a:rPr lang="en-US" sz="800" b="1">
                  <a:solidFill>
                    <a:schemeClr val="tx1"/>
                  </a:solidFill>
                  <a:latin typeface="Calibri" panose="020F0502020204030204" pitchFamily="34" charset="0"/>
                  <a:cs typeface="Calibri" panose="020F0502020204030204" pitchFamily="34" charset="0"/>
                </a:rPr>
                <a:t>:</a:t>
              </a:r>
            </a:p>
            <a:p>
              <a:pPr algn="ctr"/>
              <a:br>
                <a:rPr lang="en-US" sz="800" b="1">
                  <a:solidFill>
                    <a:schemeClr val="tx1"/>
                  </a:solidFill>
                  <a:latin typeface="Calibri" panose="020F0502020204030204" pitchFamily="34" charset="0"/>
                  <a:cs typeface="Calibri" panose="020F0502020204030204" pitchFamily="34" charset="0"/>
                </a:rPr>
              </a:br>
              <a:r>
                <a:rPr lang="en-US" sz="800" i="0">
                  <a:latin typeface="Cambria Math" panose="02040503050406030204" pitchFamily="18" charset="0"/>
                  <a:cs typeface="Sora" pitchFamily="2" charset="0"/>
                </a:rPr>
                <a:t>█(Receita de juros +(Receitas de serviços</a:t>
              </a:r>
              <a:r>
                <a:rPr lang="pt-BR" sz="80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e comissões− Despesas de cashback</a:t>
              </a:r>
              <a:r>
                <a:rPr lang="pt-BR" sz="800" i="0">
                  <a:latin typeface="Cambria Math" panose="02040503050406030204" pitchFamily="18" charset="0"/>
                  <a:cs typeface="Sora" pitchFamily="2" charset="0"/>
                </a:rPr>
                <a:t> −InterRewards"</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a:t>
              </a:r>
              <a:r>
                <a:rPr lang="pt-BR" sz="80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Re</a:t>
              </a:r>
              <a:r>
                <a:rPr lang="pt-BR" sz="800" i="0">
                  <a:latin typeface="Cambria Math" panose="02040503050406030204" pitchFamily="18" charset="0"/>
                  <a:cs typeface="Sora" pitchFamily="2" charset="0"/>
                </a:rPr>
                <a:t>sultado</a:t>
              </a:r>
              <a:r>
                <a:rPr lang="en-US" sz="800" i="0">
                  <a:latin typeface="Cambria Math" panose="02040503050406030204" pitchFamily="18" charset="0"/>
                  <a:cs typeface="Sora" pitchFamily="2" charset="0"/>
                </a:rPr>
                <a:t> de títulos @e</a:t>
              </a:r>
              <a:r>
                <a:rPr lang="pt-BR" sz="800" b="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valores mobiliários</a:t>
              </a:r>
              <a:r>
                <a:rPr lang="pt-BR" sz="800" i="0">
                  <a:latin typeface="Cambria Math" panose="02040503050406030204" pitchFamily="18" charset="0"/>
                  <a:cs typeface="Sora" pitchFamily="2" charset="0"/>
                </a:rPr>
                <a:t> e derivativos+</a:t>
              </a:r>
              <a:r>
                <a:rPr lang="en-US" sz="800" i="0">
                  <a:latin typeface="Cambria Math" panose="02040503050406030204" pitchFamily="18" charset="0"/>
                  <a:cs typeface="Sora" pitchFamily="2" charset="0"/>
                </a:rPr>
                <a:t>Outras receitas ÷3</a:t>
              </a:r>
              <a:r>
                <a:rPr lang="pt-BR" sz="800" i="0">
                  <a:latin typeface="Cambria Math" panose="02040503050406030204" pitchFamily="18" charset="0"/>
                  <a:cs typeface="Sora" pitchFamily="2" charset="0"/>
                </a:rPr>
                <a:t>"</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a:t>
              </a:r>
              <a:r>
                <a:rPr lang="en-US" sz="800" i="0">
                  <a:solidFill>
                    <a:schemeClr val="tx1"/>
                  </a:solidFill>
                  <a:latin typeface="Cambria Math" panose="02040503050406030204" pitchFamily="18" charset="0"/>
                  <a:cs typeface="Calibri" panose="020F0502020204030204" pitchFamily="34" charset="0"/>
                </a:rPr>
                <a:t>/(</a:t>
              </a:r>
              <a:r>
                <a:rPr lang="pt-BR" sz="800" b="0" i="0">
                  <a:solidFill>
                    <a:schemeClr val="tx1"/>
                  </a:solidFill>
                  <a:latin typeface="Cambria Math" panose="02040503050406030204" pitchFamily="18" charset="0"/>
                  <a:cs typeface="Sora" pitchFamily="2" charset="0"/>
                </a:rPr>
                <a:t>M</a:t>
              </a:r>
              <a:r>
                <a:rPr lang="pt-BR" sz="800" i="0">
                  <a:latin typeface="Cambria Math" panose="02040503050406030204" pitchFamily="18" charset="0"/>
                  <a:cs typeface="Sora" pitchFamily="2" charset="0"/>
                </a:rPr>
                <a:t>é</a:t>
              </a:r>
              <a:r>
                <a:rPr lang="pt-BR" sz="800" b="0" i="0">
                  <a:latin typeface="Cambria Math" panose="02040503050406030204" pitchFamily="18" charset="0"/>
                  <a:cs typeface="Sora" pitchFamily="2" charset="0"/>
                </a:rPr>
                <a:t>dia de clientes ativos dos últimos 2 trimestres</a:t>
              </a:r>
              <a:r>
                <a:rPr lang="en-US" sz="800" b="0" i="0">
                  <a:solidFill>
                    <a:schemeClr val="tx1"/>
                  </a:solidFill>
                  <a:latin typeface="Cambria Math" panose="02040503050406030204" pitchFamily="18" charset="0"/>
                  <a:cs typeface="Sora" pitchFamily="2" charset="0"/>
                </a:rPr>
                <a:t>)</a:t>
              </a:r>
              <a:endParaRPr lang="en-US" sz="800" b="1">
                <a:solidFill>
                  <a:schemeClr val="tx1"/>
                </a:solidFill>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ARPAC líquido</a:t>
              </a:r>
              <a:r>
                <a:rPr lang="en-US" sz="800" b="1">
                  <a:solidFill>
                    <a:schemeClr val="tx1"/>
                  </a:solidFill>
                  <a:latin typeface="Calibri" panose="020F0502020204030204" pitchFamily="34" charset="0"/>
                  <a:cs typeface="Calibri" panose="020F0502020204030204" pitchFamily="34" charset="0"/>
                </a:rPr>
                <a:t>:</a:t>
              </a:r>
            </a:p>
            <a:p>
              <a:pPr algn="ctr"/>
              <a:br>
                <a:rPr lang="en-US" sz="800" b="1">
                  <a:solidFill>
                    <a:schemeClr val="tx1"/>
                  </a:solidFill>
                  <a:latin typeface="Calibri" panose="020F0502020204030204" pitchFamily="34" charset="0"/>
                  <a:cs typeface="Calibri" panose="020F0502020204030204" pitchFamily="34" charset="0"/>
                </a:rPr>
              </a:br>
              <a:r>
                <a:rPr lang="en-US" sz="800" i="0">
                  <a:solidFill>
                    <a:schemeClr val="tx1"/>
                  </a:solidFill>
                  <a:latin typeface="Cambria Math" panose="02040503050406030204" pitchFamily="18" charset="0"/>
                  <a:cs typeface="Sora" pitchFamily="2" charset="0"/>
                </a:rPr>
                <a:t>(</a:t>
              </a:r>
              <a:r>
                <a:rPr lang="en-US" sz="800" i="0">
                  <a:latin typeface="Cambria Math" panose="02040503050406030204" pitchFamily="18" charset="0"/>
                  <a:cs typeface="Sora" pitchFamily="2" charset="0"/>
                </a:rPr>
                <a:t>(Receita</a:t>
              </a:r>
              <a:r>
                <a:rPr lang="pt-BR" sz="800" b="0" i="0">
                  <a:latin typeface="Cambria Math" panose="02040503050406030204" pitchFamily="18" charset="0"/>
                  <a:cs typeface="Sora" pitchFamily="2" charset="0"/>
                </a:rPr>
                <a:t>s −</a:t>
              </a:r>
              <a:r>
                <a:rPr lang="en-US" sz="800" i="0">
                  <a:latin typeface="Cambria Math" panose="02040503050406030204" pitchFamily="18" charset="0"/>
                  <a:cs typeface="Sora" pitchFamily="2" charset="0"/>
                </a:rPr>
                <a:t>despesas de juros)÷3</a:t>
              </a:r>
              <a:r>
                <a:rPr lang="en-US" sz="800" i="0">
                  <a:solidFill>
                    <a:schemeClr val="tx1"/>
                  </a:solidFill>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Média de clientes ativos dos últimos 2 trimestres</a:t>
              </a:r>
              <a:r>
                <a:rPr lang="en-US" sz="800" i="0">
                  <a:solidFill>
                    <a:schemeClr val="tx1"/>
                  </a:solidFill>
                  <a:latin typeface="Cambria Math" panose="02040503050406030204" pitchFamily="18" charset="0"/>
                  <a:cs typeface="Sora" pitchFamily="2" charset="0"/>
                </a:rPr>
                <a:t>)</a:t>
              </a:r>
              <a:endParaRPr lang="en-US" sz="800" b="1">
                <a:solidFill>
                  <a:schemeClr val="tx1"/>
                </a:solidFill>
                <a:latin typeface="Calibri" panose="020F0502020204030204" pitchFamily="34" charset="0"/>
                <a:cs typeface="Calibri" panose="020F0502020204030204" pitchFamily="34" charset="0"/>
              </a:endParaRPr>
            </a:p>
            <a:p>
              <a:pPr algn="ctr"/>
              <a:endParaRPr lang="en-US" sz="800">
                <a:solidFill>
                  <a:schemeClr val="tx1"/>
                </a:solidFill>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ARPAC líquido por safras trimestrais:</a:t>
              </a:r>
            </a:p>
            <a:p>
              <a:r>
                <a:rPr lang="en-US" sz="800">
                  <a:latin typeface="Calibri" panose="020F0502020204030204" pitchFamily="34" charset="0"/>
                  <a:ea typeface="Inter Light BETA" panose="020B0402030000000004" pitchFamily="34" charset="0"/>
                  <a:cs typeface="Calibri" panose="020F0502020204030204" pitchFamily="34" charset="0"/>
                </a:rPr>
                <a:t>Receita bruta total líquida de despesas de juros em uma determinada safra dividida pela media do número de clientes ativos no período atual e no anterior (1). Safra é definida como o período em que o cliente começou a relação com o Inter. </a:t>
              </a:r>
              <a:br>
                <a:rPr lang="en-US" sz="800">
                  <a:latin typeface="Calibri" panose="020F0502020204030204" pitchFamily="34" charset="0"/>
                  <a:ea typeface="Inter Light BETA" panose="020B0402030000000004" pitchFamily="34" charset="0"/>
                  <a:cs typeface="Calibri" panose="020F0502020204030204" pitchFamily="34" charset="0"/>
                </a:rPr>
              </a:br>
              <a:endParaRPr lang="en-US" sz="800">
                <a:latin typeface="Calibri" panose="020F0502020204030204" pitchFamily="34" charset="0"/>
                <a:ea typeface="Inter" panose="020B0502030000000004" pitchFamily="34" charset="0"/>
                <a:cs typeface="Calibri" panose="020F0502020204030204" pitchFamily="34" charset="0"/>
              </a:endParaRPr>
            </a:p>
            <a:p>
              <a:r>
                <a:rPr lang="en-US" sz="800" baseline="30000">
                  <a:latin typeface="Calibri" panose="020F0502020204030204" pitchFamily="34" charset="0"/>
                  <a:ea typeface="Inter" panose="020B0502030000000004" pitchFamily="34" charset="0"/>
                  <a:cs typeface="Calibri" panose="020F0502020204030204" pitchFamily="34" charset="0"/>
                </a:rPr>
                <a:t>1 – Média do número de clientes ativos no período atual e no anterior. Para o primeiro período, é utilizado o número total de clientes ativos no final do período. </a:t>
              </a:r>
            </a:p>
            <a:p>
              <a:endParaRPr lang="en-US" sz="800" baseline="30000">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Assets under custody (AuC):</a:t>
              </a:r>
            </a:p>
            <a:p>
              <a:pPr algn="just"/>
              <a:r>
                <a:rPr lang="en-US" sz="800">
                  <a:latin typeface="Calibri" panose="020F0502020204030204" pitchFamily="34" charset="0"/>
                  <a:ea typeface="Inter" panose="020B0502030000000004" pitchFamily="34" charset="0"/>
                  <a:cs typeface="Calibri" panose="020F0502020204030204" pitchFamily="34" charset="0"/>
                </a:rPr>
                <a:t>Calculamos o AUC em uma determinada data como o valor de mercado de todos os ativos de clientes de varejo investidos por meio de nossa plataforma de investimentos na mesma data. Acreditamos que o AUC, por refletir o volume total de ativos investidos em nossa plataforma de investimentos sem levar em conta nossa eficiência operacional, nos fornece informações úteis sobre a atratividade de nossa plataforma. Usamos essa métrica para monitorar o tamanho de nossa plataforma de investimentos.</a:t>
              </a:r>
            </a:p>
            <a:p>
              <a:pPr algn="just"/>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Carteira de crédito bruta:</a:t>
              </a:r>
            </a:p>
            <a:p>
              <a:pPr algn="ctr"/>
              <a:endParaRPr lang="en-US" sz="800" b="1">
                <a:latin typeface="Calibri" panose="020F0502020204030204" pitchFamily="34" charset="0"/>
                <a:cs typeface="Calibri" panose="020F0502020204030204" pitchFamily="34" charset="0"/>
              </a:endParaRPr>
            </a:p>
            <a:p>
              <a:pPr algn="ctr"/>
              <a:r>
                <a:rPr lang="en-US" sz="800" b="0" i="0">
                  <a:latin typeface="Cambria Math" panose="02040503050406030204" pitchFamily="18" charset="0"/>
                  <a:cs typeface="Sora" pitchFamily="2" charset="0"/>
                </a:rPr>
                <a:t>Empréstimos e</a:t>
              </a:r>
              <a:r>
                <a:rPr lang="pt-BR" sz="800" b="0" i="0">
                  <a:latin typeface="Cambria Math" panose="02040503050406030204" pitchFamily="18" charset="0"/>
                  <a:cs typeface="Sora" pitchFamily="2" charset="0"/>
                </a:rPr>
                <a:t> adiantamentos a clientes+Empréstimos a instituições financeiras</a:t>
              </a:r>
              <a:endParaRPr lang="pt-BR" sz="800">
                <a:latin typeface="Calibri" panose="020F0502020204030204" pitchFamily="34" charset="0"/>
                <a:cs typeface="Calibri" panose="020F0502020204030204" pitchFamily="34" charset="0"/>
              </a:endParaRPr>
            </a:p>
            <a:p>
              <a:pPr algn="ctr"/>
              <a:endParaRPr lang="pt-BR" sz="800">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Carteira remunerada:</a:t>
              </a:r>
            </a:p>
            <a:p>
              <a:pPr algn="ctr"/>
              <a:endParaRPr lang="en-US" sz="800" b="1">
                <a:latin typeface="Calibri" panose="020F0502020204030204" pitchFamily="34" charset="0"/>
                <a:cs typeface="Calibri" panose="020F0502020204030204" pitchFamily="34" charset="0"/>
              </a:endParaRPr>
            </a:p>
            <a:p>
              <a:pPr algn="ctr"/>
              <a:r>
                <a:rPr lang="en-US" sz="800" i="0">
                  <a:latin typeface="Cambria Math" panose="02040503050406030204" pitchFamily="18" charset="0"/>
                  <a:cs typeface="Sora" pitchFamily="2" charset="0"/>
                </a:rPr>
                <a:t>Empréstimos e adiantamentos a instituições financeiras +Títulos e valores mobiliários+Empréstimos e adiantamentos a clientes, líquidos de provisão para perdas esperadas +Instrumentos financeiros derivativos</a:t>
              </a:r>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500">
                <a:latin typeface="Calibri" panose="020F0502020204030204" pitchFamily="34" charset="0"/>
                <a:ea typeface="Cambria Math" panose="02040503050406030204" pitchFamily="18" charset="0"/>
                <a:cs typeface="Calibri" panose="020F0502020204030204" pitchFamily="34" charset="0"/>
              </a:endParaRPr>
            </a:p>
          </xdr:txBody>
        </xdr:sp>
      </mc:Fallback>
    </mc:AlternateContent>
    <xdr:clientData/>
  </xdr:twoCellAnchor>
  <xdr:twoCellAnchor>
    <xdr:from>
      <xdr:col>8</xdr:col>
      <xdr:colOff>135271</xdr:colOff>
      <xdr:row>81</xdr:row>
      <xdr:rowOff>144319</xdr:rowOff>
    </xdr:from>
    <xdr:to>
      <xdr:col>15</xdr:col>
      <xdr:colOff>111553</xdr:colOff>
      <xdr:row>114</xdr:row>
      <xdr:rowOff>176629</xdr:rowOff>
    </xdr:to>
    <mc:AlternateContent xmlns:mc="http://schemas.openxmlformats.org/markup-compatibility/2006" xmlns:a14="http://schemas.microsoft.com/office/drawing/2010/main">
      <mc:Choice Requires="a14">
        <xdr:sp macro="" textlink="">
          <xdr:nvSpPr>
            <xdr:cNvPr id="48" name="Retângulo 9">
              <a:extLst>
                <a:ext uri="{FF2B5EF4-FFF2-40B4-BE49-F238E27FC236}">
                  <a16:creationId xmlns:a16="http://schemas.microsoft.com/office/drawing/2014/main" id="{00000000-0008-0000-1600-000030000000}"/>
                </a:ext>
              </a:extLst>
            </xdr:cNvPr>
            <xdr:cNvSpPr/>
          </xdr:nvSpPr>
          <xdr:spPr>
            <a:xfrm>
              <a:off x="6761358" y="15053015"/>
              <a:ext cx="5774108" cy="6106223"/>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Cost of risk:</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cs typeface="Sora" pitchFamily="2" charset="0"/>
                          </a:rPr>
                        </m:ctrlPr>
                      </m:fPr>
                      <m:num>
                        <m:r>
                          <m:rPr>
                            <m:sty m:val="p"/>
                          </m:rPr>
                          <a:rPr lang="pt-BR" sz="800" i="1">
                            <a:latin typeface="Cambria Math" panose="02040503050406030204" pitchFamily="18" charset="0"/>
                            <a:cs typeface="Sora" pitchFamily="2" charset="0"/>
                          </a:rPr>
                          <m:t>Resultado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perdas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por</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redu</m:t>
                        </m:r>
                        <m:r>
                          <a:rPr lang="pt-BR" sz="800" i="1">
                            <a:latin typeface="Cambria Math" panose="02040503050406030204" pitchFamily="18" charset="0"/>
                            <a:cs typeface="Sora" pitchFamily="2" charset="0"/>
                          </a:rPr>
                          <m:t>çã</m:t>
                        </m:r>
                        <m:r>
                          <m:rPr>
                            <m:sty m:val="p"/>
                          </m:rPr>
                          <a:rPr lang="pt-BR" sz="800" i="1">
                            <a:latin typeface="Cambria Math" panose="02040503050406030204" pitchFamily="18" charset="0"/>
                            <a:cs typeface="Sora" pitchFamily="2" charset="0"/>
                          </a:rPr>
                          <m:t>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valor</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recuper</m:t>
                        </m:r>
                        <m:r>
                          <a:rPr lang="pt-BR" sz="800" i="1">
                            <a:latin typeface="Cambria Math" panose="02040503050406030204" pitchFamily="18" charset="0"/>
                            <a:cs typeface="Sora" pitchFamily="2" charset="0"/>
                          </a:rPr>
                          <m:t>á</m:t>
                        </m:r>
                        <m:r>
                          <m:rPr>
                            <m:sty m:val="p"/>
                          </m:rPr>
                          <a:rPr lang="pt-BR" sz="800" i="1">
                            <a:latin typeface="Cambria Math" panose="02040503050406030204" pitchFamily="18" charset="0"/>
                            <a:cs typeface="Sora" pitchFamily="2" charset="0"/>
                          </a:rPr>
                          <m:t>vel</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ativos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financeiros</m:t>
                        </m:r>
                        <m:r>
                          <a:rPr lang="pt-BR" sz="800" i="1">
                            <a:latin typeface="Cambria Math" panose="02040503050406030204" pitchFamily="18" charset="0"/>
                            <a:cs typeface="Sora" pitchFamily="2" charset="0"/>
                          </a:rPr>
                          <m:t> × 4</m:t>
                        </m:r>
                      </m:num>
                      <m:den>
                        <m:r>
                          <m:rPr>
                            <m:sty m:val="p"/>
                          </m:rPr>
                          <a:rPr lang="pt-BR" sz="800" i="1">
                            <a:latin typeface="Cambria Math" panose="02040503050406030204" pitchFamily="18" charset="0"/>
                            <a:cs typeface="Sora" pitchFamily="2" charset="0"/>
                          </a:rPr>
                          <m:t>M</m:t>
                        </m:r>
                        <m:r>
                          <a:rPr lang="pt-BR" sz="800" i="1">
                            <a:latin typeface="Cambria Math" panose="02040503050406030204" pitchFamily="18" charset="0"/>
                            <a:cs typeface="Sora" pitchFamily="2" charset="0"/>
                          </a:rPr>
                          <m:t>é</m:t>
                        </m:r>
                        <m:r>
                          <m:rPr>
                            <m:sty m:val="p"/>
                          </m:rPr>
                          <a:rPr lang="pt-BR" sz="800" i="1">
                            <a:latin typeface="Cambria Math" panose="02040503050406030204" pitchFamily="18" charset="0"/>
                            <a:cs typeface="Sora" pitchFamily="2" charset="0"/>
                          </a:rPr>
                          <m:t>dia</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empr</m:t>
                        </m:r>
                        <m:r>
                          <a:rPr lang="pt-BR" sz="800" i="1">
                            <a:latin typeface="Cambria Math" panose="02040503050406030204" pitchFamily="18" charset="0"/>
                            <a:cs typeface="Sora" pitchFamily="2" charset="0"/>
                          </a:rPr>
                          <m:t>é</m:t>
                        </m:r>
                        <m:r>
                          <m:rPr>
                            <m:sty m:val="p"/>
                          </m:rPr>
                          <a:rPr lang="pt-BR" sz="800" i="1">
                            <a:latin typeface="Cambria Math" panose="02040503050406030204" pitchFamily="18" charset="0"/>
                            <a:cs typeface="Sora" pitchFamily="2" charset="0"/>
                          </a:rPr>
                          <m:t>stimos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adiantamento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clientes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dos</m:t>
                        </m:r>
                        <m:r>
                          <a:rPr lang="pt-BR" sz="800" i="1">
                            <a:latin typeface="Cambria Math" panose="02040503050406030204" pitchFamily="18" charset="0"/>
                            <a:cs typeface="Sora" pitchFamily="2" charset="0"/>
                          </a:rPr>
                          <m:t> ú</m:t>
                        </m:r>
                        <m:r>
                          <m:rPr>
                            <m:sty m:val="p"/>
                          </m:rPr>
                          <a:rPr lang="pt-BR" sz="800" i="1">
                            <a:latin typeface="Cambria Math" panose="02040503050406030204" pitchFamily="18" charset="0"/>
                            <a:cs typeface="Sora" pitchFamily="2" charset="0"/>
                          </a:rPr>
                          <m:t>ltimos</m:t>
                        </m:r>
                        <m:r>
                          <a:rPr lang="pt-BR" sz="800" i="1">
                            <a:latin typeface="Cambria Math" panose="02040503050406030204" pitchFamily="18" charset="0"/>
                            <a:cs typeface="Sora" pitchFamily="2" charset="0"/>
                          </a:rPr>
                          <m:t> 2 </m:t>
                        </m:r>
                        <m:r>
                          <m:rPr>
                            <m:sty m:val="p"/>
                          </m:rPr>
                          <a:rPr lang="pt-BR" sz="800" i="1">
                            <a:latin typeface="Cambria Math" panose="02040503050406030204" pitchFamily="18" charset="0"/>
                            <a:cs typeface="Sora" pitchFamily="2" charset="0"/>
                          </a:rPr>
                          <m:t>trimestres</m:t>
                        </m:r>
                        <m:r>
                          <a:rPr lang="pt-BR" sz="800" i="1">
                            <a:latin typeface="Cambria Math" panose="02040503050406030204" pitchFamily="18" charset="0"/>
                            <a:cs typeface="Sora" pitchFamily="2" charset="0"/>
                          </a:rPr>
                          <m:t> </m:t>
                        </m:r>
                      </m:den>
                    </m:f>
                  </m:oMath>
                </m:oMathPara>
              </a14:m>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Cost of risk excluindo antecipação de recebíveis de cartão de crédito:</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cs typeface="Sora" pitchFamily="2" charset="0"/>
                          </a:rPr>
                        </m:ctrlPr>
                      </m:fPr>
                      <m:num>
                        <m:r>
                          <m:rPr>
                            <m:sty m:val="p"/>
                          </m:rPr>
                          <a:rPr lang="pt-BR" sz="800" i="1">
                            <a:latin typeface="Cambria Math" panose="02040503050406030204" pitchFamily="18" charset="0"/>
                            <a:cs typeface="Sora" pitchFamily="2" charset="0"/>
                          </a:rPr>
                          <m:t>Resultado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perdas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por</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redu</m:t>
                        </m:r>
                        <m:r>
                          <a:rPr lang="pt-BR" sz="800" i="1">
                            <a:latin typeface="Cambria Math" panose="02040503050406030204" pitchFamily="18" charset="0"/>
                            <a:cs typeface="Sora" pitchFamily="2" charset="0"/>
                          </a:rPr>
                          <m:t>çã</m:t>
                        </m:r>
                        <m:r>
                          <m:rPr>
                            <m:sty m:val="p"/>
                          </m:rPr>
                          <a:rPr lang="pt-BR" sz="800" i="1">
                            <a:latin typeface="Cambria Math" panose="02040503050406030204" pitchFamily="18" charset="0"/>
                            <a:cs typeface="Sora" pitchFamily="2" charset="0"/>
                          </a:rPr>
                          <m:t>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valor</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recuper</m:t>
                        </m:r>
                        <m:r>
                          <a:rPr lang="pt-BR" sz="800" i="1">
                            <a:latin typeface="Cambria Math" panose="02040503050406030204" pitchFamily="18" charset="0"/>
                            <a:cs typeface="Sora" pitchFamily="2" charset="0"/>
                          </a:rPr>
                          <m:t>á</m:t>
                        </m:r>
                        <m:r>
                          <m:rPr>
                            <m:sty m:val="p"/>
                          </m:rPr>
                          <a:rPr lang="pt-BR" sz="800" i="1">
                            <a:latin typeface="Cambria Math" panose="02040503050406030204" pitchFamily="18" charset="0"/>
                            <a:cs typeface="Sora" pitchFamily="2" charset="0"/>
                          </a:rPr>
                          <m:t>vel</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ativos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financeiros</m:t>
                        </m:r>
                        <m:r>
                          <a:rPr lang="pt-BR" sz="800" i="1">
                            <a:latin typeface="Cambria Math" panose="02040503050406030204" pitchFamily="18" charset="0"/>
                            <a:cs typeface="Sora" pitchFamily="2" charset="0"/>
                          </a:rPr>
                          <m:t> × 4</m:t>
                        </m:r>
                      </m:num>
                      <m:den>
                        <m:r>
                          <m:rPr>
                            <m:sty m:val="p"/>
                          </m:rPr>
                          <a:rPr lang="pt-BR" sz="800">
                            <a:latin typeface="Cambria Math" panose="02040503050406030204" pitchFamily="18" charset="0"/>
                            <a:cs typeface="Sora" pitchFamily="2" charset="0"/>
                          </a:rPr>
                          <m:t>M</m:t>
                        </m:r>
                        <m:r>
                          <a:rPr lang="pt-BR" sz="800">
                            <a:latin typeface="Cambria Math" panose="02040503050406030204" pitchFamily="18" charset="0"/>
                            <a:cs typeface="Sora" pitchFamily="2" charset="0"/>
                          </a:rPr>
                          <m:t>é</m:t>
                        </m:r>
                        <m:r>
                          <m:rPr>
                            <m:sty m:val="p"/>
                          </m:rPr>
                          <a:rPr lang="pt-BR" sz="800">
                            <a:latin typeface="Cambria Math" panose="02040503050406030204" pitchFamily="18" charset="0"/>
                            <a:cs typeface="Sora" pitchFamily="2" charset="0"/>
                          </a:rPr>
                          <m:t>dia</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empr</m:t>
                        </m:r>
                        <m:r>
                          <a:rPr lang="pt-BR" sz="800">
                            <a:latin typeface="Cambria Math" panose="02040503050406030204" pitchFamily="18" charset="0"/>
                            <a:cs typeface="Sora" pitchFamily="2" charset="0"/>
                          </a:rPr>
                          <m:t>é</m:t>
                        </m:r>
                        <m:r>
                          <m:rPr>
                            <m:sty m:val="p"/>
                          </m:rPr>
                          <a:rPr lang="pt-BR" sz="800">
                            <a:latin typeface="Cambria Math" panose="02040503050406030204" pitchFamily="18" charset="0"/>
                            <a:cs typeface="Sora" pitchFamily="2" charset="0"/>
                          </a:rPr>
                          <m:t>stimos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adiantamento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a</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clientes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dos</m:t>
                        </m:r>
                        <m:r>
                          <a:rPr lang="pt-BR" sz="800">
                            <a:latin typeface="Cambria Math" panose="02040503050406030204" pitchFamily="18" charset="0"/>
                            <a:cs typeface="Sora" pitchFamily="2" charset="0"/>
                          </a:rPr>
                          <m:t> ú</m:t>
                        </m:r>
                        <m:r>
                          <m:rPr>
                            <m:sty m:val="p"/>
                          </m:rPr>
                          <a:rPr lang="pt-BR" sz="800">
                            <a:latin typeface="Cambria Math" panose="02040503050406030204" pitchFamily="18" charset="0"/>
                            <a:cs typeface="Sora" pitchFamily="2" charset="0"/>
                          </a:rPr>
                          <m:t>ltimos</m:t>
                        </m:r>
                        <m:r>
                          <a:rPr lang="pt-BR" sz="800">
                            <a:latin typeface="Cambria Math" panose="02040503050406030204" pitchFamily="18" charset="0"/>
                            <a:cs typeface="Sora" pitchFamily="2" charset="0"/>
                          </a:rPr>
                          <m:t> 2 </m:t>
                        </m:r>
                        <m:r>
                          <m:rPr>
                            <m:sty m:val="p"/>
                          </m:rPr>
                          <a:rPr lang="pt-BR" sz="800">
                            <a:latin typeface="Cambria Math" panose="02040503050406030204" pitchFamily="18" charset="0"/>
                            <a:cs typeface="Sora" pitchFamily="2" charset="0"/>
                          </a:rPr>
                          <m:t>trimestres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excluindoantecipa</m:t>
                        </m:r>
                        <m:r>
                          <a:rPr lang="pt-BR" sz="800">
                            <a:latin typeface="Cambria Math" panose="02040503050406030204" pitchFamily="18" charset="0"/>
                            <a:cs typeface="Sora" pitchFamily="2" charset="0"/>
                          </a:rPr>
                          <m:t>çã</m:t>
                        </m:r>
                        <m:r>
                          <m:rPr>
                            <m:sty m:val="p"/>
                          </m:rPr>
                          <a:rPr lang="pt-BR" sz="800">
                            <a:latin typeface="Cambria Math" panose="02040503050406030204" pitchFamily="18" charset="0"/>
                            <a:cs typeface="Sora" pitchFamily="2" charset="0"/>
                          </a:rPr>
                          <m:t>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receb</m:t>
                        </m:r>
                        <m:r>
                          <a:rPr lang="pt-BR" sz="800">
                            <a:latin typeface="Cambria Math" panose="02040503050406030204" pitchFamily="18" charset="0"/>
                            <a:cs typeface="Sora" pitchFamily="2" charset="0"/>
                          </a:rPr>
                          <m:t>í</m:t>
                        </m:r>
                        <m:r>
                          <m:rPr>
                            <m:sty m:val="p"/>
                          </m:rPr>
                          <a:rPr lang="pt-BR" sz="800">
                            <a:latin typeface="Cambria Math" panose="02040503050406030204" pitchFamily="18" charset="0"/>
                            <a:cs typeface="Sora" pitchFamily="2" charset="0"/>
                          </a:rPr>
                          <m:t>veis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cart</m:t>
                        </m:r>
                        <m:r>
                          <a:rPr lang="pt-BR" sz="800">
                            <a:latin typeface="Cambria Math" panose="02040503050406030204" pitchFamily="18" charset="0"/>
                            <a:cs typeface="Sora" pitchFamily="2" charset="0"/>
                          </a:rPr>
                          <m:t>ã</m:t>
                        </m:r>
                        <m:r>
                          <m:rPr>
                            <m:sty m:val="p"/>
                          </m:rPr>
                          <a:rPr lang="pt-BR" sz="800">
                            <a:latin typeface="Cambria Math" panose="02040503050406030204" pitchFamily="18" charset="0"/>
                            <a:cs typeface="Sora" pitchFamily="2" charset="0"/>
                          </a:rPr>
                          <m:t>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cr</m:t>
                        </m:r>
                        <m:r>
                          <a:rPr lang="pt-BR" sz="800">
                            <a:latin typeface="Cambria Math" panose="02040503050406030204" pitchFamily="18" charset="0"/>
                            <a:cs typeface="Sora" pitchFamily="2" charset="0"/>
                          </a:rPr>
                          <m:t>é</m:t>
                        </m:r>
                        <m:r>
                          <m:rPr>
                            <m:sty m:val="p"/>
                          </m:rPr>
                          <a:rPr lang="pt-BR" sz="800">
                            <a:latin typeface="Cambria Math" panose="02040503050406030204" pitchFamily="18" charset="0"/>
                            <a:cs typeface="Sora" pitchFamily="2" charset="0"/>
                          </a:rPr>
                          <m:t>dito</m:t>
                        </m:r>
                      </m:den>
                    </m:f>
                  </m:oMath>
                </m:oMathPara>
              </a14:m>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Cost of risk excluindo cartão de crédito:</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cs typeface="Sora" pitchFamily="2" charset="0"/>
                          </a:rPr>
                        </m:ctrlPr>
                      </m:fPr>
                      <m:num>
                        <m:r>
                          <m:rPr>
                            <m:sty m:val="p"/>
                          </m:rPr>
                          <a:rPr lang="pt-BR" sz="800" i="1">
                            <a:latin typeface="Cambria Math" panose="02040503050406030204" pitchFamily="18" charset="0"/>
                            <a:cs typeface="Sora" pitchFamily="2" charset="0"/>
                          </a:rPr>
                          <m:t>Resultado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perdas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por</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redu</m:t>
                        </m:r>
                        <m:r>
                          <a:rPr lang="pt-BR" sz="800" i="1">
                            <a:latin typeface="Cambria Math" panose="02040503050406030204" pitchFamily="18" charset="0"/>
                            <a:cs typeface="Sora" pitchFamily="2" charset="0"/>
                          </a:rPr>
                          <m:t>çã</m:t>
                        </m:r>
                        <m:r>
                          <m:rPr>
                            <m:sty m:val="p"/>
                          </m:rPr>
                          <a:rPr lang="pt-BR" sz="800" i="1">
                            <a:latin typeface="Cambria Math" panose="02040503050406030204" pitchFamily="18" charset="0"/>
                            <a:cs typeface="Sora" pitchFamily="2" charset="0"/>
                          </a:rPr>
                          <m:t>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ao</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valor</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recuper</m:t>
                        </m:r>
                        <m:r>
                          <a:rPr lang="pt-BR" sz="800" i="1">
                            <a:latin typeface="Cambria Math" panose="02040503050406030204" pitchFamily="18" charset="0"/>
                            <a:cs typeface="Sora" pitchFamily="2" charset="0"/>
                          </a:rPr>
                          <m:t>á</m:t>
                        </m:r>
                        <m:r>
                          <m:rPr>
                            <m:sty m:val="p"/>
                          </m:rPr>
                          <a:rPr lang="pt-BR" sz="800" i="1">
                            <a:latin typeface="Cambria Math" panose="02040503050406030204" pitchFamily="18" charset="0"/>
                            <a:cs typeface="Sora" pitchFamily="2" charset="0"/>
                          </a:rPr>
                          <m:t>vel</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de</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ativos</m:t>
                        </m:r>
                        <m:r>
                          <a:rPr lang="pt-BR" sz="800" i="1">
                            <a:latin typeface="Cambria Math" panose="02040503050406030204" pitchFamily="18" charset="0"/>
                            <a:cs typeface="Sora" pitchFamily="2" charset="0"/>
                          </a:rPr>
                          <m:t> </m:t>
                        </m:r>
                        <m:r>
                          <m:rPr>
                            <m:sty m:val="p"/>
                          </m:rPr>
                          <a:rPr lang="pt-BR" sz="800" i="1">
                            <a:latin typeface="Cambria Math" panose="02040503050406030204" pitchFamily="18" charset="0"/>
                            <a:cs typeface="Sora" pitchFamily="2" charset="0"/>
                          </a:rPr>
                          <m:t>financeiros</m:t>
                        </m:r>
                        <m:r>
                          <a:rPr lang="pt-BR" sz="800" i="1">
                            <a:latin typeface="Cambria Math" panose="02040503050406030204" pitchFamily="18" charset="0"/>
                            <a:cs typeface="Sora" pitchFamily="2" charset="0"/>
                          </a:rPr>
                          <m:t> × 4</m:t>
                        </m:r>
                      </m:num>
                      <m:den>
                        <m:r>
                          <m:rPr>
                            <m:sty m:val="p"/>
                          </m:rPr>
                          <a:rPr lang="pt-BR" sz="800">
                            <a:latin typeface="Cambria Math" panose="02040503050406030204" pitchFamily="18" charset="0"/>
                            <a:cs typeface="Sora" pitchFamily="2" charset="0"/>
                          </a:rPr>
                          <m:t>M</m:t>
                        </m:r>
                        <m:r>
                          <a:rPr lang="pt-BR" sz="800">
                            <a:latin typeface="Cambria Math" panose="02040503050406030204" pitchFamily="18" charset="0"/>
                            <a:cs typeface="Sora" pitchFamily="2" charset="0"/>
                          </a:rPr>
                          <m:t>é</m:t>
                        </m:r>
                        <m:r>
                          <m:rPr>
                            <m:sty m:val="p"/>
                          </m:rPr>
                          <a:rPr lang="pt-BR" sz="800">
                            <a:latin typeface="Cambria Math" panose="02040503050406030204" pitchFamily="18" charset="0"/>
                            <a:cs typeface="Sora" pitchFamily="2" charset="0"/>
                          </a:rPr>
                          <m:t>dia</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empr</m:t>
                        </m:r>
                        <m:r>
                          <a:rPr lang="pt-BR" sz="800">
                            <a:latin typeface="Cambria Math" panose="02040503050406030204" pitchFamily="18" charset="0"/>
                            <a:cs typeface="Sora" pitchFamily="2" charset="0"/>
                          </a:rPr>
                          <m:t>é</m:t>
                        </m:r>
                        <m:r>
                          <m:rPr>
                            <m:sty m:val="p"/>
                          </m:rPr>
                          <a:rPr lang="pt-BR" sz="800">
                            <a:latin typeface="Cambria Math" panose="02040503050406030204" pitchFamily="18" charset="0"/>
                            <a:cs typeface="Sora" pitchFamily="2" charset="0"/>
                          </a:rPr>
                          <m:t>stimos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adiantamento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a</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clientes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dos</m:t>
                        </m:r>
                        <m:r>
                          <a:rPr lang="pt-BR" sz="800">
                            <a:latin typeface="Cambria Math" panose="02040503050406030204" pitchFamily="18" charset="0"/>
                            <a:cs typeface="Sora" pitchFamily="2" charset="0"/>
                          </a:rPr>
                          <m:t> ú</m:t>
                        </m:r>
                        <m:r>
                          <m:rPr>
                            <m:sty m:val="p"/>
                          </m:rPr>
                          <a:rPr lang="pt-BR" sz="800">
                            <a:latin typeface="Cambria Math" panose="02040503050406030204" pitchFamily="18" charset="0"/>
                            <a:cs typeface="Sora" pitchFamily="2" charset="0"/>
                          </a:rPr>
                          <m:t>ltimos</m:t>
                        </m:r>
                        <m:r>
                          <a:rPr lang="pt-BR" sz="800">
                            <a:latin typeface="Cambria Math" panose="02040503050406030204" pitchFamily="18" charset="0"/>
                            <a:cs typeface="Sora" pitchFamily="2" charset="0"/>
                          </a:rPr>
                          <m:t> 2 </m:t>
                        </m:r>
                        <m:r>
                          <m:rPr>
                            <m:sty m:val="p"/>
                          </m:rPr>
                          <a:rPr lang="pt-BR" sz="800">
                            <a:latin typeface="Cambria Math" panose="02040503050406030204" pitchFamily="18" charset="0"/>
                            <a:cs typeface="Sora" pitchFamily="2" charset="0"/>
                          </a:rPr>
                          <m:t>trimestres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excluindo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cart</m:t>
                        </m:r>
                        <m:r>
                          <a:rPr lang="pt-BR" sz="800">
                            <a:latin typeface="Cambria Math" panose="02040503050406030204" pitchFamily="18" charset="0"/>
                            <a:cs typeface="Sora" pitchFamily="2" charset="0"/>
                          </a:rPr>
                          <m:t>ã</m:t>
                        </m:r>
                        <m:r>
                          <m:rPr>
                            <m:sty m:val="p"/>
                          </m:rPr>
                          <a:rPr lang="pt-BR" sz="800">
                            <a:latin typeface="Cambria Math" panose="02040503050406030204" pitchFamily="18" charset="0"/>
                            <a:cs typeface="Sora" pitchFamily="2" charset="0"/>
                          </a:rPr>
                          <m:t>o</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cr</m:t>
                        </m:r>
                        <m:r>
                          <a:rPr lang="pt-BR" sz="800">
                            <a:latin typeface="Cambria Math" panose="02040503050406030204" pitchFamily="18" charset="0"/>
                            <a:cs typeface="Sora" pitchFamily="2" charset="0"/>
                          </a:rPr>
                          <m:t>é</m:t>
                        </m:r>
                        <m:r>
                          <m:rPr>
                            <m:sty m:val="p"/>
                          </m:rPr>
                          <a:rPr lang="pt-BR" sz="800">
                            <a:latin typeface="Cambria Math" panose="02040503050406030204" pitchFamily="18" charset="0"/>
                            <a:cs typeface="Sora" pitchFamily="2" charset="0"/>
                          </a:rPr>
                          <m:t>dito</m:t>
                        </m:r>
                      </m:den>
                    </m:f>
                    <m:r>
                      <a:rPr lang="pt-BR" sz="800" i="1">
                        <a:latin typeface="Cambria Math" panose="02040503050406030204" pitchFamily="18" charset="0"/>
                        <a:cs typeface="Sora" pitchFamily="2" charset="0"/>
                      </a:rPr>
                      <m:t> </m:t>
                    </m:r>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Custo de  funding:</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en-US" sz="800" i="1">
                            <a:latin typeface="Cambria Math" panose="02040503050406030204" pitchFamily="18" charset="0"/>
                            <a:cs typeface="Sora" pitchFamily="2" charset="0"/>
                          </a:rPr>
                        </m:ctrlPr>
                      </m:fPr>
                      <m:num>
                        <m:r>
                          <m:rPr>
                            <m:sty m:val="p"/>
                          </m:rPr>
                          <a:rPr lang="pt-BR" sz="800" b="0" i="0">
                            <a:latin typeface="Cambria Math" panose="02040503050406030204" pitchFamily="18" charset="0"/>
                            <a:cs typeface="Sora" pitchFamily="2" charset="0"/>
                          </a:rPr>
                          <m:t>Despesas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juros</m:t>
                        </m:r>
                        <m:r>
                          <a:rPr lang="pt-BR" sz="800" b="0" i="0">
                            <a:latin typeface="Cambria Math" panose="02040503050406030204" pitchFamily="18" charset="0"/>
                            <a:cs typeface="Sora" pitchFamily="2" charset="0"/>
                          </a:rPr>
                          <m:t> × 4</m:t>
                        </m:r>
                      </m:num>
                      <m:den>
                        <m:eqArr>
                          <m:eqArrPr>
                            <m:ctrlPr>
                              <a:rPr lang="pt-BR" sz="800" i="1">
                                <a:latin typeface="Cambria Math" panose="02040503050406030204" pitchFamily="18" charset="0"/>
                                <a:cs typeface="Sora" pitchFamily="2" charset="0"/>
                              </a:rPr>
                            </m:ctrlPr>
                          </m:eqArrPr>
                          <m:e>
                            <m:r>
                              <m:rPr>
                                <m:sty m:val="p"/>
                              </m:rPr>
                              <a:rPr lang="pt-BR" sz="800" i="0">
                                <a:latin typeface="Cambria Math" panose="02040503050406030204" pitchFamily="18" charset="0"/>
                                <a:cs typeface="Sora" pitchFamily="2" charset="0"/>
                              </a:rPr>
                              <m:t>M</m:t>
                            </m:r>
                            <m:r>
                              <a:rPr lang="pt-BR" sz="800" i="0">
                                <a:latin typeface="Cambria Math" panose="02040503050406030204" pitchFamily="18" charset="0"/>
                                <a:cs typeface="Sora" pitchFamily="2" charset="0"/>
                              </a:rPr>
                              <m:t>é</m:t>
                            </m:r>
                            <m:r>
                              <m:rPr>
                                <m:sty m:val="p"/>
                              </m:rPr>
                              <a:rPr lang="pt-BR" sz="800" i="0">
                                <a:latin typeface="Cambria Math" panose="02040503050406030204" pitchFamily="18" charset="0"/>
                                <a:cs typeface="Sora" pitchFamily="2" charset="0"/>
                              </a:rPr>
                              <m:t>dia</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passivos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remunerados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dos</m:t>
                            </m:r>
                            <m:r>
                              <a:rPr lang="pt-BR" sz="800" i="0">
                                <a:latin typeface="Cambria Math" panose="02040503050406030204" pitchFamily="18" charset="0"/>
                                <a:cs typeface="Sora" pitchFamily="2" charset="0"/>
                              </a:rPr>
                              <m:t> ú</m:t>
                            </m:r>
                            <m:r>
                              <m:rPr>
                                <m:sty m:val="p"/>
                              </m:rPr>
                              <a:rPr lang="pt-BR" sz="800" i="0">
                                <a:latin typeface="Cambria Math" panose="02040503050406030204" pitchFamily="18" charset="0"/>
                                <a:cs typeface="Sora" pitchFamily="2" charset="0"/>
                              </a:rPr>
                              <m:t>ltimos</m:t>
                            </m:r>
                            <m:r>
                              <a:rPr lang="pt-BR" sz="800" i="0">
                                <a:latin typeface="Cambria Math" panose="02040503050406030204" pitchFamily="18" charset="0"/>
                                <a:cs typeface="Sora" pitchFamily="2" charset="0"/>
                              </a:rPr>
                              <m:t> 2 </m:t>
                            </m:r>
                            <m:r>
                              <m:rPr>
                                <m:sty m:val="p"/>
                              </m:rPr>
                              <a:rPr lang="pt-BR" sz="800" i="0">
                                <a:latin typeface="Cambria Math" panose="02040503050406030204" pitchFamily="18" charset="0"/>
                                <a:cs typeface="Sora" pitchFamily="2" charset="0"/>
                              </a:rPr>
                              <m:t>trimestres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dep</m:t>
                            </m:r>
                            <m:r>
                              <a:rPr lang="pt-BR" sz="800" i="0">
                                <a:latin typeface="Cambria Math" panose="02040503050406030204" pitchFamily="18" charset="0"/>
                                <a:cs typeface="Sora" pitchFamily="2" charset="0"/>
                              </a:rPr>
                              <m:t>ó</m:t>
                            </m:r>
                            <m:r>
                              <m:rPr>
                                <m:sty m:val="p"/>
                              </m:rPr>
                              <a:rPr lang="pt-BR" sz="800" i="0">
                                <a:latin typeface="Cambria Math" panose="02040503050406030204" pitchFamily="18" charset="0"/>
                                <a:cs typeface="Sora" pitchFamily="2" charset="0"/>
                              </a:rPr>
                              <m:t>sitos</m:t>
                            </m:r>
                            <m:r>
                              <a:rPr lang="pt-BR" sz="800" i="0">
                                <a:latin typeface="Cambria Math" panose="02040503050406030204" pitchFamily="18" charset="0"/>
                                <a:cs typeface="Sora" pitchFamily="2" charset="0"/>
                              </a:rPr>
                              <m:t> à </m:t>
                            </m:r>
                            <m:r>
                              <m:rPr>
                                <m:sty m:val="p"/>
                              </m:rPr>
                              <a:rPr lang="pt-BR" sz="800" i="0">
                                <a:latin typeface="Cambria Math" panose="02040503050406030204" pitchFamily="18" charset="0"/>
                                <a:cs typeface="Sora" pitchFamily="2" charset="0"/>
                              </a:rPr>
                              <m:t>vista</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dep</m:t>
                            </m:r>
                            <m:r>
                              <a:rPr lang="pt-BR" sz="800" i="0">
                                <a:latin typeface="Cambria Math" panose="02040503050406030204" pitchFamily="18" charset="0"/>
                                <a:cs typeface="Sora" pitchFamily="2" charset="0"/>
                              </a:rPr>
                              <m:t>ó</m:t>
                            </m:r>
                            <m:r>
                              <m:rPr>
                                <m:sty m:val="p"/>
                              </m:rPr>
                              <a:rPr lang="pt-BR" sz="800" i="0">
                                <a:latin typeface="Cambria Math" panose="02040503050406030204" pitchFamily="18" charset="0"/>
                                <a:cs typeface="Sora" pitchFamily="2" charset="0"/>
                              </a:rPr>
                              <m:t>sitos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a</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prazo</m:t>
                            </m:r>
                            <m:r>
                              <a:rPr lang="pt-BR" sz="800" i="0">
                                <a:latin typeface="Cambria Math" panose="02040503050406030204" pitchFamily="18" charset="0"/>
                                <a:cs typeface="Sora" pitchFamily="2" charset="0"/>
                              </a:rPr>
                              <m:t>,</m:t>
                            </m:r>
                            <m:r>
                              <m:rPr>
                                <m:sty m:val="p"/>
                              </m:rPr>
                              <a:rPr lang="pt-BR" sz="800" i="0">
                                <a:latin typeface="Cambria Math" panose="02040503050406030204" pitchFamily="18" charset="0"/>
                                <a:cs typeface="Sora" pitchFamily="2" charset="0"/>
                              </a:rPr>
                              <m:t>poupan</m:t>
                            </m:r>
                            <m:r>
                              <a:rPr lang="pt-BR" sz="800" i="0">
                                <a:latin typeface="Cambria Math" panose="02040503050406030204" pitchFamily="18" charset="0"/>
                                <a:cs typeface="Sora" pitchFamily="2" charset="0"/>
                              </a:rPr>
                              <m:t>ç</m:t>
                            </m:r>
                            <m:r>
                              <m:rPr>
                                <m:sty m:val="p"/>
                              </m:rPr>
                              <a:rPr lang="pt-BR" sz="800" i="0">
                                <a:latin typeface="Cambria Math" panose="02040503050406030204" pitchFamily="18" charset="0"/>
                                <a:cs typeface="Sora" pitchFamily="2" charset="0"/>
                              </a:rPr>
                              <m:t>a</m:t>
                            </m:r>
                            <m:r>
                              <a:rPr lang="pt-BR" sz="800" i="0">
                                <a:latin typeface="Cambria Math" panose="02040503050406030204" pitchFamily="18" charset="0"/>
                                <a:cs typeface="Sora" pitchFamily="2" charset="0"/>
                              </a:rPr>
                              <m:t>, </m:t>
                            </m:r>
                          </m:e>
                          <m:e>
                            <m:r>
                              <m:rPr>
                                <m:sty m:val="p"/>
                              </m:rPr>
                              <a:rPr lang="pt-BR" sz="800" i="0">
                                <a:latin typeface="Cambria Math" panose="02040503050406030204" pitchFamily="18" charset="0"/>
                                <a:cs typeface="Sora" pitchFamily="2" charset="0"/>
                              </a:rPr>
                              <m:t>credores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por</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recursos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a</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liberar</m:t>
                            </m:r>
                            <m:r>
                              <a:rPr lang="pt-BR" sz="800" i="0">
                                <a:latin typeface="Cambria Math" panose="02040503050406030204" pitchFamily="18" charset="0"/>
                                <a:cs typeface="Sora" pitchFamily="2" charset="0"/>
                              </a:rPr>
                              <m:t>,</m:t>
                            </m:r>
                            <m:r>
                              <m:rPr>
                                <m:sty m:val="p"/>
                              </m:rPr>
                              <a:rPr lang="pt-BR" sz="800" i="0">
                                <a:latin typeface="Cambria Math" panose="02040503050406030204" pitchFamily="18" charset="0"/>
                                <a:cs typeface="Sora" pitchFamily="2" charset="0"/>
                              </a:rPr>
                              <m:t>t</m:t>
                            </m:r>
                            <m:r>
                              <a:rPr lang="pt-BR" sz="800" i="0">
                                <a:latin typeface="Cambria Math" panose="02040503050406030204" pitchFamily="18" charset="0"/>
                                <a:cs typeface="Sora" pitchFamily="2" charset="0"/>
                              </a:rPr>
                              <m:t>í</m:t>
                            </m:r>
                            <m:r>
                              <m:rPr>
                                <m:sty m:val="p"/>
                              </m:rPr>
                              <a:rPr lang="pt-BR" sz="800" i="0">
                                <a:latin typeface="Cambria Math" panose="02040503050406030204" pitchFamily="18" charset="0"/>
                                <a:cs typeface="Sora" pitchFamily="2" charset="0"/>
                              </a:rPr>
                              <m:t>tulos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emitidos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obriga</m:t>
                            </m:r>
                            <m:r>
                              <a:rPr lang="pt-BR" sz="800" i="0">
                                <a:latin typeface="Cambria Math" panose="02040503050406030204" pitchFamily="18" charset="0"/>
                                <a:cs typeface="Sora" pitchFamily="2" charset="0"/>
                              </a:rPr>
                              <m:t>çõ</m:t>
                            </m:r>
                            <m:r>
                              <m:rPr>
                                <m:sty m:val="p"/>
                              </m:rPr>
                              <a:rPr lang="pt-BR" sz="800" i="0">
                                <a:latin typeface="Cambria Math" panose="02040503050406030204" pitchFamily="18" charset="0"/>
                                <a:cs typeface="Sora" pitchFamily="2" charset="0"/>
                              </a:rPr>
                              <m:t>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com</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redes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cart</m:t>
                            </m:r>
                            <m:r>
                              <a:rPr lang="pt-BR" sz="800" i="0">
                                <a:latin typeface="Cambria Math" panose="02040503050406030204" pitchFamily="18" charset="0"/>
                                <a:cs typeface="Sora" pitchFamily="2" charset="0"/>
                              </a:rPr>
                              <m:t>ã</m:t>
                            </m:r>
                            <m:r>
                              <m:rPr>
                                <m:sty m:val="p"/>
                              </m:rPr>
                              <a:rPr lang="pt-BR" sz="800" i="0">
                                <a:latin typeface="Cambria Math" panose="02040503050406030204" pitchFamily="18" charset="0"/>
                                <a:cs typeface="Sora" pitchFamily="2" charset="0"/>
                              </a:rPr>
                              <m:t>o</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cr</m:t>
                            </m:r>
                            <m:r>
                              <a:rPr lang="pt-BR" sz="800" i="0">
                                <a:latin typeface="Cambria Math" panose="02040503050406030204" pitchFamily="18" charset="0"/>
                                <a:cs typeface="Sora" pitchFamily="2" charset="0"/>
                              </a:rPr>
                              <m:t>é</m:t>
                            </m:r>
                            <m:r>
                              <m:rPr>
                                <m:sty m:val="p"/>
                              </m:rPr>
                              <a:rPr lang="pt-BR" sz="800" i="0">
                                <a:latin typeface="Cambria Math" panose="02040503050406030204" pitchFamily="18" charset="0"/>
                                <a:cs typeface="Sora" pitchFamily="2" charset="0"/>
                              </a:rPr>
                              <m:t>dito</m:t>
                            </m:r>
                            <m:r>
                              <a:rPr lang="pt-BR" sz="800" i="0">
                                <a:latin typeface="Cambria Math" panose="02040503050406030204" pitchFamily="18" charset="0"/>
                                <a:cs typeface="Sora" pitchFamily="2" charset="0"/>
                              </a:rPr>
                              <m:t>,</m:t>
                            </m:r>
                          </m:e>
                          <m:e>
                            <m:r>
                              <m:rPr>
                                <m:sty m:val="p"/>
                              </m:rPr>
                              <a:rPr lang="pt-BR" sz="800" i="0">
                                <a:latin typeface="Cambria Math" panose="02040503050406030204" pitchFamily="18" charset="0"/>
                                <a:cs typeface="Sora" pitchFamily="2" charset="0"/>
                              </a:rPr>
                              <m:t>obriga</m:t>
                            </m:r>
                            <m:r>
                              <a:rPr lang="pt-BR" sz="800" i="0">
                                <a:latin typeface="Cambria Math" panose="02040503050406030204" pitchFamily="18" charset="0"/>
                                <a:cs typeface="Sora" pitchFamily="2" charset="0"/>
                              </a:rPr>
                              <m:t>çõ</m:t>
                            </m:r>
                            <m:r>
                              <m:rPr>
                                <m:sty m:val="p"/>
                              </m:rPr>
                              <a:rPr lang="pt-BR" sz="800" i="0">
                                <a:latin typeface="Cambria Math" panose="02040503050406030204" pitchFamily="18" charset="0"/>
                                <a:cs typeface="Sora" pitchFamily="2" charset="0"/>
                              </a:rPr>
                              <m:t>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por</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opera</m:t>
                            </m:r>
                            <m:r>
                              <a:rPr lang="pt-BR" sz="800" i="0">
                                <a:latin typeface="Cambria Math" panose="02040503050406030204" pitchFamily="18" charset="0"/>
                                <a:cs typeface="Sora" pitchFamily="2" charset="0"/>
                              </a:rPr>
                              <m:t>çõ</m:t>
                            </m:r>
                            <m:r>
                              <m:rPr>
                                <m:sty m:val="p"/>
                              </m:rPr>
                              <a:rPr lang="pt-BR" sz="800" i="0">
                                <a:latin typeface="Cambria Math" panose="02040503050406030204" pitchFamily="18" charset="0"/>
                                <a:cs typeface="Sora" pitchFamily="2" charset="0"/>
                              </a:rPr>
                              <m:t>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compromissadas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dep</m:t>
                            </m:r>
                            <m:r>
                              <a:rPr lang="pt-BR" sz="800" i="0">
                                <a:latin typeface="Cambria Math" panose="02040503050406030204" pitchFamily="18" charset="0"/>
                                <a:cs typeface="Sora" pitchFamily="2" charset="0"/>
                              </a:rPr>
                              <m:t>ó</m:t>
                            </m:r>
                            <m:r>
                              <m:rPr>
                                <m:sty m:val="p"/>
                              </m:rPr>
                              <a:rPr lang="pt-BR" sz="800" i="0">
                                <a:latin typeface="Cambria Math" panose="02040503050406030204" pitchFamily="18" charset="0"/>
                                <a:cs typeface="Sora" pitchFamily="2" charset="0"/>
                              </a:rPr>
                              <m:t>sitos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interfinanceiros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outros</m:t>
                            </m:r>
                            <m:r>
                              <a:rPr lang="pt-BR" sz="800" i="0">
                                <a:latin typeface="Cambria Math" panose="02040503050406030204" pitchFamily="18" charset="0"/>
                                <a:cs typeface="Sora" pitchFamily="2" charset="0"/>
                              </a:rPr>
                              <m:t>)</m:t>
                            </m:r>
                          </m:e>
                        </m:eqArr>
                      </m:den>
                    </m:f>
                  </m:oMath>
                </m:oMathPara>
              </a14:m>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Custo de servir (CTS):</a:t>
              </a:r>
            </a:p>
            <a:p>
              <a:pPr algn="ctr"/>
              <a:endParaRPr lang="en-US" sz="800">
                <a:solidFill>
                  <a:schemeClr val="tx1">
                    <a:lumMod val="85000"/>
                    <a:lumOff val="15000"/>
                  </a:schemeClr>
                </a:solidFill>
                <a:latin typeface="Calibri" panose="020F05020202040302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a:rPr lang="pt-BR" sz="800">
                            <a:latin typeface="Cambria Math" panose="02040503050406030204" pitchFamily="18" charset="0"/>
                          </a:rPr>
                          <m:t>(</m:t>
                        </m:r>
                        <m:r>
                          <m:rPr>
                            <m:sty m:val="p"/>
                          </m:rPr>
                          <a:rPr lang="en-US" sz="800">
                            <a:solidFill>
                              <a:schemeClr val="tx1">
                                <a:lumMod val="85000"/>
                                <a:lumOff val="15000"/>
                              </a:schemeClr>
                            </a:solidFill>
                            <a:latin typeface="Cambria Math" panose="02040503050406030204" pitchFamily="18" charset="0"/>
                            <a:cs typeface="Sora" pitchFamily="2" charset="0"/>
                          </a:rPr>
                          <m:t>Despesas</m:t>
                        </m:r>
                        <m:r>
                          <a:rPr lang="en-US" sz="800">
                            <a:solidFill>
                              <a:schemeClr val="tx1">
                                <a:lumMod val="85000"/>
                                <a:lumOff val="15000"/>
                              </a:schemeClr>
                            </a:solidFill>
                            <a:latin typeface="Cambria Math" panose="02040503050406030204" pitchFamily="18" charset="0"/>
                            <a:cs typeface="Sora" pitchFamily="2" charset="0"/>
                          </a:rPr>
                          <m:t> </m:t>
                        </m:r>
                        <m:r>
                          <m:rPr>
                            <m:sty m:val="p"/>
                          </m:rPr>
                          <a:rPr lang="en-US" sz="800">
                            <a:solidFill>
                              <a:schemeClr val="tx1">
                                <a:lumMod val="85000"/>
                                <a:lumOff val="15000"/>
                              </a:schemeClr>
                            </a:solidFill>
                            <a:latin typeface="Cambria Math" panose="02040503050406030204" pitchFamily="18" charset="0"/>
                            <a:cs typeface="Sora" pitchFamily="2" charset="0"/>
                          </a:rPr>
                          <m:t>de</m:t>
                        </m:r>
                        <m:r>
                          <a:rPr lang="en-US" sz="800">
                            <a:solidFill>
                              <a:schemeClr val="tx1">
                                <a:lumMod val="85000"/>
                                <a:lumOff val="15000"/>
                              </a:schemeClr>
                            </a:solidFill>
                            <a:latin typeface="Cambria Math" panose="02040503050406030204" pitchFamily="18" charset="0"/>
                            <a:cs typeface="Sora" pitchFamily="2" charset="0"/>
                          </a:rPr>
                          <m:t> </m:t>
                        </m:r>
                        <m:r>
                          <m:rPr>
                            <m:sty m:val="p"/>
                          </m:rPr>
                          <a:rPr lang="en-US" sz="800">
                            <a:solidFill>
                              <a:schemeClr val="tx1">
                                <a:lumMod val="85000"/>
                                <a:lumOff val="15000"/>
                              </a:schemeClr>
                            </a:solidFill>
                            <a:latin typeface="Cambria Math" panose="02040503050406030204" pitchFamily="18" charset="0"/>
                            <a:cs typeface="Sora" pitchFamily="2" charset="0"/>
                          </a:rPr>
                          <m:t>pessoal</m:t>
                        </m:r>
                        <m:r>
                          <a:rPr lang="en-US" sz="800">
                            <a:solidFill>
                              <a:schemeClr val="tx1">
                                <a:lumMod val="85000"/>
                                <a:lumOff val="15000"/>
                              </a:schemeClr>
                            </a:solidFill>
                            <a:latin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cs typeface="Sora" pitchFamily="2" charset="0"/>
                          </a:rPr>
                          <m:t>D</m:t>
                        </m:r>
                        <m:r>
                          <m:rPr>
                            <m:sty m:val="p"/>
                          </m:rPr>
                          <a:rPr lang="en-US" sz="800">
                            <a:solidFill>
                              <a:schemeClr val="tx1">
                                <a:lumMod val="85000"/>
                                <a:lumOff val="15000"/>
                              </a:schemeClr>
                            </a:solidFill>
                            <a:latin typeface="Cambria Math" panose="02040503050406030204" pitchFamily="18" charset="0"/>
                            <a:cs typeface="Sora" pitchFamily="2" charset="0"/>
                          </a:rPr>
                          <m:t>espesas</m:t>
                        </m:r>
                        <m:r>
                          <a:rPr lang="en-US" sz="800">
                            <a:solidFill>
                              <a:schemeClr val="tx1">
                                <a:lumMod val="85000"/>
                                <a:lumOff val="15000"/>
                              </a:schemeClr>
                            </a:solidFill>
                            <a:latin typeface="Cambria Math" panose="02040503050406030204" pitchFamily="18" charset="0"/>
                            <a:cs typeface="Sora" pitchFamily="2" charset="0"/>
                          </a:rPr>
                          <m:t> </m:t>
                        </m:r>
                        <m:r>
                          <m:rPr>
                            <m:sty m:val="p"/>
                          </m:rPr>
                          <a:rPr lang="en-US" sz="800">
                            <a:solidFill>
                              <a:schemeClr val="tx1">
                                <a:lumMod val="85000"/>
                                <a:lumOff val="15000"/>
                              </a:schemeClr>
                            </a:solidFill>
                            <a:latin typeface="Cambria Math" panose="02040503050406030204" pitchFamily="18" charset="0"/>
                            <a:cs typeface="Sora" pitchFamily="2" charset="0"/>
                          </a:rPr>
                          <m:t>administrativas</m:t>
                        </m:r>
                        <m:r>
                          <a:rPr lang="pt-BR" sz="800" i="1">
                            <a:solidFill>
                              <a:schemeClr val="tx1">
                                <a:lumMod val="85000"/>
                                <a:lumOff val="15000"/>
                              </a:schemeClr>
                            </a:solidFill>
                            <a:latin typeface="Cambria Math" panose="02040503050406030204" pitchFamily="18" charset="0"/>
                            <a:cs typeface="Sora" pitchFamily="2" charset="0"/>
                          </a:rPr>
                          <m:t> −</m:t>
                        </m:r>
                        <m:r>
                          <m:rPr>
                            <m:sty m:val="p"/>
                          </m:rPr>
                          <a:rPr lang="en-US" sz="800">
                            <a:solidFill>
                              <a:schemeClr val="tx1">
                                <a:lumMod val="85000"/>
                                <a:lumOff val="15000"/>
                              </a:schemeClr>
                            </a:solidFill>
                            <a:latin typeface="Cambria Math" panose="02040503050406030204" pitchFamily="18" charset="0"/>
                            <a:cs typeface="Sora" pitchFamily="2" charset="0"/>
                          </a:rPr>
                          <m:t>CAC</m:t>
                        </m:r>
                        <m:r>
                          <a:rPr lang="en-US" sz="800">
                            <a:solidFill>
                              <a:schemeClr val="tx1">
                                <a:lumMod val="85000"/>
                                <a:lumOff val="15000"/>
                              </a:schemeClr>
                            </a:solidFill>
                            <a:latin typeface="Cambria Math" panose="02040503050406030204" pitchFamily="18" charset="0"/>
                            <a:cs typeface="Sora" pitchFamily="2" charset="0"/>
                          </a:rPr>
                          <m:t> </m:t>
                        </m:r>
                        <m:r>
                          <m:rPr>
                            <m:sty m:val="p"/>
                          </m:rPr>
                          <a:rPr lang="en-US" sz="800">
                            <a:solidFill>
                              <a:schemeClr val="tx1">
                                <a:lumMod val="85000"/>
                                <a:lumOff val="15000"/>
                              </a:schemeClr>
                            </a:solidFill>
                            <a:latin typeface="Cambria Math" panose="02040503050406030204" pitchFamily="18" charset="0"/>
                            <a:cs typeface="Sora" pitchFamily="2" charset="0"/>
                          </a:rPr>
                          <m:t>Total</m:t>
                        </m:r>
                        <m:r>
                          <a:rPr lang="en-US" sz="800">
                            <a:solidFill>
                              <a:schemeClr val="tx1">
                                <a:lumMod val="85000"/>
                                <a:lumOff val="15000"/>
                              </a:schemeClr>
                            </a:solidFill>
                            <a:latin typeface="Cambria Math" panose="02040503050406030204" pitchFamily="18" charset="0"/>
                            <a:cs typeface="Sora" pitchFamily="2" charset="0"/>
                          </a:rPr>
                          <m:t> )÷</m:t>
                        </m:r>
                        <m:r>
                          <a:rPr lang="pt-BR" sz="800" i="1">
                            <a:solidFill>
                              <a:schemeClr val="tx1">
                                <a:lumMod val="85000"/>
                                <a:lumOff val="15000"/>
                              </a:schemeClr>
                            </a:solidFill>
                            <a:latin typeface="Cambria Math" panose="02040503050406030204" pitchFamily="18" charset="0"/>
                            <a:cs typeface="Sora" pitchFamily="2" charset="0"/>
                          </a:rPr>
                          <m:t>3)</m:t>
                        </m:r>
                      </m:num>
                      <m:den>
                        <m:r>
                          <m:rPr>
                            <m:sty m:val="p"/>
                          </m:rPr>
                          <a:rPr lang="pt-BR" sz="800">
                            <a:latin typeface="Cambria Math" panose="02040503050406030204" pitchFamily="18" charset="0"/>
                            <a:cs typeface="Sora" pitchFamily="2" charset="0"/>
                          </a:rPr>
                          <m:t>M</m:t>
                        </m:r>
                        <m:r>
                          <a:rPr lang="pt-BR" sz="800">
                            <a:latin typeface="Cambria Math" panose="02040503050406030204" pitchFamily="18" charset="0"/>
                            <a:cs typeface="Sora" pitchFamily="2" charset="0"/>
                          </a:rPr>
                          <m:t>é</m:t>
                        </m:r>
                        <m:r>
                          <m:rPr>
                            <m:sty m:val="p"/>
                          </m:rPr>
                          <a:rPr lang="pt-BR" sz="800">
                            <a:latin typeface="Cambria Math" panose="02040503050406030204" pitchFamily="18" charset="0"/>
                            <a:cs typeface="Sora" pitchFamily="2" charset="0"/>
                          </a:rPr>
                          <m:t>dia</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clientes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ativos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dos</m:t>
                        </m:r>
                        <m:r>
                          <a:rPr lang="pt-BR" sz="800">
                            <a:latin typeface="Cambria Math" panose="02040503050406030204" pitchFamily="18" charset="0"/>
                            <a:cs typeface="Sora" pitchFamily="2" charset="0"/>
                          </a:rPr>
                          <m:t> ú</m:t>
                        </m:r>
                        <m:r>
                          <m:rPr>
                            <m:sty m:val="p"/>
                          </m:rPr>
                          <a:rPr lang="pt-BR" sz="800">
                            <a:latin typeface="Cambria Math" panose="02040503050406030204" pitchFamily="18" charset="0"/>
                            <a:cs typeface="Sora" pitchFamily="2" charset="0"/>
                          </a:rPr>
                          <m:t>ltimos</m:t>
                        </m:r>
                        <m:r>
                          <a:rPr lang="pt-BR" sz="800">
                            <a:latin typeface="Cambria Math" panose="02040503050406030204" pitchFamily="18" charset="0"/>
                            <a:cs typeface="Sora" pitchFamily="2" charset="0"/>
                          </a:rPr>
                          <m:t> 2 </m:t>
                        </m:r>
                        <m:r>
                          <m:rPr>
                            <m:sty m:val="p"/>
                          </m:rPr>
                          <a:rPr lang="pt-BR" sz="800">
                            <a:latin typeface="Cambria Math" panose="02040503050406030204" pitchFamily="18" charset="0"/>
                            <a:cs typeface="Sora" pitchFamily="2" charset="0"/>
                          </a:rPr>
                          <m:t>trimestres</m:t>
                        </m:r>
                      </m:den>
                    </m:f>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Fee income ratio:</a:t>
              </a:r>
            </a:p>
            <a:p>
              <a:endParaRPr lang="pt-BR"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Receita</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servi</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ç</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comiss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õ</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Outras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receitas</m:t>
                        </m:r>
                      </m:num>
                      <m:den>
                        <m:r>
                          <m:rPr>
                            <m:sty m:val="p"/>
                          </m:rPr>
                          <a:rPr lang="pt-BR" sz="800">
                            <a:latin typeface="Cambria Math" panose="02040503050406030204" pitchFamily="18" charset="0"/>
                          </a:rPr>
                          <m:t>Resultado</m:t>
                        </m:r>
                        <m:r>
                          <a:rPr lang="pt-BR" sz="800">
                            <a:latin typeface="Cambria Math" panose="02040503050406030204" pitchFamily="18" charset="0"/>
                          </a:rPr>
                          <m:t> </m:t>
                        </m:r>
                        <m:r>
                          <m:rPr>
                            <m:sty m:val="p"/>
                          </m:rPr>
                          <a:rPr lang="pt-BR" sz="800">
                            <a:latin typeface="Cambria Math" panose="02040503050406030204" pitchFamily="18" charset="0"/>
                          </a:rPr>
                          <m:t>l</m:t>
                        </m:r>
                        <m:r>
                          <a:rPr lang="pt-BR" sz="800">
                            <a:latin typeface="Cambria Math" panose="02040503050406030204" pitchFamily="18" charset="0"/>
                          </a:rPr>
                          <m:t>í</m:t>
                        </m:r>
                        <m:r>
                          <m:rPr>
                            <m:sty m:val="p"/>
                          </m:rPr>
                          <a:rPr lang="pt-BR" sz="800">
                            <a:latin typeface="Cambria Math" panose="02040503050406030204" pitchFamily="18" charset="0"/>
                          </a:rPr>
                          <m:t>quido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juros</m:t>
                        </m:r>
                        <m:r>
                          <a:rPr lang="pt-BR" sz="800">
                            <a:latin typeface="Cambria Math" panose="02040503050406030204" pitchFamily="18" charset="0"/>
                          </a:rPr>
                          <m:t> + </m:t>
                        </m:r>
                        <m:r>
                          <m:rPr>
                            <m:sty m:val="p"/>
                          </m:rPr>
                          <a:rPr lang="pt-BR" sz="800">
                            <a:latin typeface="Cambria Math" panose="02040503050406030204" pitchFamily="18" charset="0"/>
                          </a:rPr>
                          <m:t>Resultado</m:t>
                        </m:r>
                        <m:r>
                          <a:rPr lang="pt-BR" sz="800">
                            <a:latin typeface="Cambria Math" panose="02040503050406030204" pitchFamily="18" charset="0"/>
                          </a:rPr>
                          <m:t> </m:t>
                        </m:r>
                        <m:r>
                          <m:rPr>
                            <m:sty m:val="p"/>
                          </m:rPr>
                          <a:rPr lang="pt-BR" sz="800">
                            <a:latin typeface="Cambria Math" panose="02040503050406030204" pitchFamily="18" charset="0"/>
                          </a:rPr>
                          <m:t>l</m:t>
                        </m:r>
                        <m:r>
                          <a:rPr lang="pt-BR" sz="800">
                            <a:latin typeface="Cambria Math" panose="02040503050406030204" pitchFamily="18" charset="0"/>
                          </a:rPr>
                          <m:t>í</m:t>
                        </m:r>
                        <m:r>
                          <m:rPr>
                            <m:sty m:val="p"/>
                          </m:rPr>
                          <a:rPr lang="pt-BR" sz="800">
                            <a:latin typeface="Cambria Math" panose="02040503050406030204" pitchFamily="18" charset="0"/>
                          </a:rPr>
                          <m:t>quido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servi</m:t>
                        </m:r>
                        <m:r>
                          <a:rPr lang="pt-BR" sz="800">
                            <a:latin typeface="Cambria Math" panose="02040503050406030204" pitchFamily="18" charset="0"/>
                          </a:rPr>
                          <m:t>ç</m:t>
                        </m:r>
                        <m:r>
                          <m:rPr>
                            <m:sty m:val="p"/>
                          </m:rPr>
                          <a:rPr lang="pt-BR" sz="800">
                            <a:latin typeface="Cambria Math" panose="02040503050406030204" pitchFamily="18" charset="0"/>
                          </a:rPr>
                          <m:t>os</m:t>
                        </m:r>
                        <m:r>
                          <a:rPr lang="pt-BR" sz="800">
                            <a:latin typeface="Cambria Math" panose="02040503050406030204" pitchFamily="18" charset="0"/>
                          </a:rPr>
                          <m:t> </m:t>
                        </m:r>
                        <m:r>
                          <m:rPr>
                            <m:sty m:val="p"/>
                          </m:rPr>
                          <a:rPr lang="pt-BR" sz="800">
                            <a:latin typeface="Cambria Math" panose="02040503050406030204" pitchFamily="18" charset="0"/>
                          </a:rPr>
                          <m:t>e</m:t>
                        </m:r>
                        <m:r>
                          <a:rPr lang="pt-BR" sz="800">
                            <a:latin typeface="Cambria Math" panose="02040503050406030204" pitchFamily="18" charset="0"/>
                          </a:rPr>
                          <m:t> </m:t>
                        </m:r>
                        <m:r>
                          <m:rPr>
                            <m:sty m:val="p"/>
                          </m:rPr>
                          <a:rPr lang="pt-BR" sz="800">
                            <a:latin typeface="Cambria Math" panose="02040503050406030204" pitchFamily="18" charset="0"/>
                          </a:rPr>
                          <m:t>comiss</m:t>
                        </m:r>
                        <m:r>
                          <a:rPr lang="pt-BR" sz="800">
                            <a:latin typeface="Cambria Math" panose="02040503050406030204" pitchFamily="18" charset="0"/>
                          </a:rPr>
                          <m:t>õ</m:t>
                        </m:r>
                        <m:r>
                          <m:rPr>
                            <m:sty m:val="p"/>
                          </m:rPr>
                          <a:rPr lang="pt-BR" sz="800">
                            <a:latin typeface="Cambria Math" panose="02040503050406030204" pitchFamily="18" charset="0"/>
                          </a:rPr>
                          <m:t>es</m:t>
                        </m:r>
                        <m:r>
                          <a:rPr lang="pt-BR" sz="800">
                            <a:latin typeface="Cambria Math" panose="02040503050406030204" pitchFamily="18" charset="0"/>
                          </a:rPr>
                          <m:t>+</m:t>
                        </m:r>
                        <m:r>
                          <m:rPr>
                            <m:sty m:val="p"/>
                          </m:rPr>
                          <a:rPr lang="pt-BR" sz="800">
                            <a:latin typeface="Cambria Math" panose="02040503050406030204" pitchFamily="18" charset="0"/>
                          </a:rPr>
                          <m:t>Outras</m:t>
                        </m:r>
                        <m:r>
                          <a:rPr lang="pt-BR" sz="800">
                            <a:latin typeface="Cambria Math" panose="02040503050406030204" pitchFamily="18" charset="0"/>
                          </a:rPr>
                          <m:t> </m:t>
                        </m:r>
                        <m:r>
                          <m:rPr>
                            <m:sty m:val="p"/>
                          </m:rPr>
                          <a:rPr lang="pt-BR" sz="800">
                            <a:latin typeface="Cambria Math" panose="02040503050406030204" pitchFamily="18" charset="0"/>
                          </a:rPr>
                          <m:t>Receitas</m:t>
                        </m:r>
                      </m:den>
                    </m:f>
                    <m:r>
                      <a:rPr lang="pt-BR" sz="800" b="0" i="1">
                        <a:latin typeface="Cambria Math" panose="02040503050406030204" pitchFamily="18" charset="0"/>
                      </a:rPr>
                      <m:t> </m:t>
                    </m:r>
                  </m:oMath>
                </m:oMathPara>
              </a14:m>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xdr:txBody>
        </xdr:sp>
      </mc:Choice>
      <mc:Fallback xmlns="">
        <xdr:sp macro="" textlink="">
          <xdr:nvSpPr>
            <xdr:cNvPr id="48" name="Retângulo 9">
              <a:extLst>
                <a:ext uri="{FF2B5EF4-FFF2-40B4-BE49-F238E27FC236}">
                  <a16:creationId xmlns:a16="http://schemas.microsoft.com/office/drawing/2014/main" id="{5B278FE1-A57E-AFEA-C21F-490D8D7CDCD1}"/>
                </a:ext>
              </a:extLst>
            </xdr:cNvPr>
            <xdr:cNvSpPr/>
          </xdr:nvSpPr>
          <xdr:spPr>
            <a:xfrm>
              <a:off x="6761358" y="15053015"/>
              <a:ext cx="5774108" cy="6106223"/>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Cost of risk:</a:t>
              </a:r>
            </a:p>
            <a:p>
              <a:endParaRPr lang="en-US" sz="800" b="1">
                <a:latin typeface="Calibri" panose="020F0502020204030204" pitchFamily="34" charset="0"/>
                <a:cs typeface="Calibri" panose="020F0502020204030204" pitchFamily="34" charset="0"/>
              </a:endParaRPr>
            </a:p>
            <a:p>
              <a:pPr/>
              <a:r>
                <a:rPr lang="en-US" sz="80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Resultado de perdas por redução ao valor recuperável de ativos financeiros × 4</a:t>
              </a:r>
              <a:r>
                <a:rPr lang="en-US" sz="80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Média de empréstimos e adiantamento a clientes dos últimos 2 trimestres </a:t>
              </a:r>
              <a:r>
                <a:rPr lang="en-US" sz="800" i="0">
                  <a:latin typeface="Cambria Math" panose="02040503050406030204" pitchFamily="18" charset="0"/>
                  <a:cs typeface="Sora" pitchFamily="2" charset="0"/>
                </a:rPr>
                <a:t>)</a:t>
              </a: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Cost of risk excluindo antecipação de recebíveis de cartão de crédito:</a:t>
              </a:r>
            </a:p>
            <a:p>
              <a:endParaRPr lang="en-US" sz="800" b="1">
                <a:latin typeface="Calibri" panose="020F0502020204030204" pitchFamily="34" charset="0"/>
                <a:cs typeface="Calibri" panose="020F0502020204030204" pitchFamily="34" charset="0"/>
              </a:endParaRPr>
            </a:p>
            <a:p>
              <a:pPr/>
              <a:r>
                <a:rPr lang="en-US" sz="80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Resultado de perdas por redução ao valor recuperável de ativos financeiros × 4</a:t>
              </a:r>
              <a:r>
                <a:rPr lang="en-US" sz="80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Média de empréstimos e adiantamento a clientes dos últimos 2 trimestres excluindoantecipação de recebíveis de cartão de crédito</a:t>
              </a:r>
              <a:r>
                <a:rPr lang="en-US" sz="800" i="0">
                  <a:latin typeface="Cambria Math" panose="02040503050406030204" pitchFamily="18" charset="0"/>
                  <a:cs typeface="Sora" pitchFamily="2" charset="0"/>
                </a:rPr>
                <a:t>)</a:t>
              </a: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Cost of risk excluindo cartão de crédito:</a:t>
              </a:r>
            </a:p>
            <a:p>
              <a:endParaRPr lang="en-US" sz="800" b="1">
                <a:latin typeface="Calibri" panose="020F0502020204030204" pitchFamily="34" charset="0"/>
                <a:cs typeface="Calibri" panose="020F0502020204030204" pitchFamily="34" charset="0"/>
              </a:endParaRPr>
            </a:p>
            <a:p>
              <a:pPr/>
              <a:r>
                <a:rPr lang="en-US" sz="80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Resultado de perdas por redução ao valor recuperável de ativos financeiros × 4</a:t>
              </a:r>
              <a:r>
                <a:rPr lang="en-US" sz="80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Média de empréstimos e adiantamento a clientes dos últimos 2 trimestres excluindo cartão de crédito</a:t>
              </a:r>
              <a:r>
                <a:rPr lang="en-US" sz="80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  </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Custo de  funding:</a:t>
              </a:r>
            </a:p>
            <a:p>
              <a:endParaRPr lang="en-US" sz="800" b="1">
                <a:latin typeface="Calibri" panose="020F0502020204030204" pitchFamily="34" charset="0"/>
                <a:cs typeface="Calibri" panose="020F0502020204030204" pitchFamily="34" charset="0"/>
              </a:endParaRPr>
            </a:p>
            <a:p>
              <a:pPr/>
              <a:r>
                <a:rPr lang="en-US" sz="800" i="0">
                  <a:latin typeface="Cambria Math" panose="02040503050406030204" pitchFamily="18" charset="0"/>
                  <a:cs typeface="Sora" pitchFamily="2" charset="0"/>
                </a:rPr>
                <a:t>(</a:t>
              </a:r>
              <a:r>
                <a:rPr lang="pt-BR" sz="800" b="0" i="0">
                  <a:latin typeface="Cambria Math" panose="02040503050406030204" pitchFamily="18" charset="0"/>
                  <a:cs typeface="Sora" pitchFamily="2" charset="0"/>
                </a:rPr>
                <a:t>Despesas de juros × 4</a:t>
              </a:r>
              <a:r>
                <a:rPr lang="en-US" sz="800" b="0" i="0">
                  <a:latin typeface="Cambria Math" panose="02040503050406030204" pitchFamily="18" charset="0"/>
                  <a:cs typeface="Sora" pitchFamily="2" charset="0"/>
                </a:rPr>
                <a:t>)/</a:t>
              </a:r>
              <a:r>
                <a:rPr lang="pt-BR" sz="800" b="0" i="0">
                  <a:latin typeface="Cambria Math" panose="02040503050406030204" pitchFamily="18" charset="0"/>
                  <a:cs typeface="Sora" pitchFamily="2" charset="0"/>
                </a:rPr>
                <a:t>█(</a:t>
              </a:r>
              <a:r>
                <a:rPr lang="pt-BR" sz="800" i="0">
                  <a:latin typeface="Cambria Math" panose="02040503050406030204" pitchFamily="18" charset="0"/>
                  <a:cs typeface="Sora" pitchFamily="2" charset="0"/>
                </a:rPr>
                <a:t>Média dos passivos remunerados dos últimos 2 trimestres (depósitos à vista, depósitos a prazo,poupança, @credores por recursos a liberar,títulos emitidos, obrigações com redes de cartão de crédito,@obrigações por operações compromissadas, depósitos interfinanceiros e outros))</a:t>
              </a: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Custo de servir (CTS):</a:t>
              </a:r>
            </a:p>
            <a:p>
              <a:pPr algn="ctr"/>
              <a:endParaRPr lang="en-US" sz="800">
                <a:solidFill>
                  <a:schemeClr val="tx1">
                    <a:lumMod val="85000"/>
                    <a:lumOff val="15000"/>
                  </a:schemeClr>
                </a:solidFill>
                <a:latin typeface="Calibri" panose="020F0502020204030204" pitchFamily="34" charset="0"/>
                <a:cs typeface="Calibri" panose="020F0502020204030204" pitchFamily="34" charset="0"/>
              </a:endParaRPr>
            </a:p>
            <a:p>
              <a:pPr algn="ctr"/>
              <a:r>
                <a:rPr lang="pt-BR" sz="800" i="0">
                  <a:latin typeface="Cambria Math" panose="02040503050406030204" pitchFamily="18" charset="0"/>
                </a:rPr>
                <a:t>((</a:t>
              </a:r>
              <a:r>
                <a:rPr lang="en-US" sz="800" i="0">
                  <a:solidFill>
                    <a:schemeClr val="tx1">
                      <a:lumMod val="85000"/>
                      <a:lumOff val="15000"/>
                    </a:schemeClr>
                  </a:solidFill>
                  <a:latin typeface="Cambria Math" panose="02040503050406030204" pitchFamily="18" charset="0"/>
                  <a:cs typeface="Sora" pitchFamily="2" charset="0"/>
                </a:rPr>
                <a:t>Despesas de pessoal+</a:t>
              </a:r>
              <a:r>
                <a:rPr lang="pt-BR" sz="800" b="0" i="0">
                  <a:solidFill>
                    <a:schemeClr val="tx1">
                      <a:lumMod val="85000"/>
                      <a:lumOff val="15000"/>
                    </a:schemeClr>
                  </a:solidFill>
                  <a:latin typeface="Cambria Math" panose="02040503050406030204" pitchFamily="18" charset="0"/>
                  <a:cs typeface="Sora" pitchFamily="2" charset="0"/>
                </a:rPr>
                <a:t>D</a:t>
              </a:r>
              <a:r>
                <a:rPr lang="en-US" sz="800" i="0">
                  <a:solidFill>
                    <a:schemeClr val="tx1">
                      <a:lumMod val="85000"/>
                      <a:lumOff val="15000"/>
                    </a:schemeClr>
                  </a:solidFill>
                  <a:latin typeface="Cambria Math" panose="02040503050406030204" pitchFamily="18" charset="0"/>
                  <a:cs typeface="Sora" pitchFamily="2" charset="0"/>
                </a:rPr>
                <a:t>espesas administrativas</a:t>
              </a:r>
              <a:r>
                <a:rPr lang="pt-BR" sz="800" i="0">
                  <a:solidFill>
                    <a:schemeClr val="tx1">
                      <a:lumMod val="85000"/>
                      <a:lumOff val="15000"/>
                    </a:schemeClr>
                  </a:solidFill>
                  <a:latin typeface="Cambria Math" panose="02040503050406030204" pitchFamily="18" charset="0"/>
                  <a:cs typeface="Sora" pitchFamily="2" charset="0"/>
                </a:rPr>
                <a:t> −</a:t>
              </a:r>
              <a:r>
                <a:rPr lang="en-US" sz="800" i="0">
                  <a:solidFill>
                    <a:schemeClr val="tx1">
                      <a:lumMod val="85000"/>
                      <a:lumOff val="15000"/>
                    </a:schemeClr>
                  </a:solidFill>
                  <a:latin typeface="Cambria Math" panose="02040503050406030204" pitchFamily="18" charset="0"/>
                  <a:cs typeface="Sora" pitchFamily="2" charset="0"/>
                </a:rPr>
                <a:t>CAC Total )÷</a:t>
              </a:r>
              <a:r>
                <a:rPr lang="pt-BR" sz="800" i="0">
                  <a:solidFill>
                    <a:schemeClr val="tx1">
                      <a:lumMod val="85000"/>
                      <a:lumOff val="15000"/>
                    </a:schemeClr>
                  </a:solidFill>
                  <a:latin typeface="Cambria Math" panose="02040503050406030204" pitchFamily="18" charset="0"/>
                  <a:cs typeface="Sora" pitchFamily="2" charset="0"/>
                </a:rPr>
                <a:t>3))/(</a:t>
              </a:r>
              <a:r>
                <a:rPr lang="pt-BR" sz="800" i="0">
                  <a:latin typeface="Cambria Math" panose="02040503050406030204" pitchFamily="18" charset="0"/>
                  <a:cs typeface="Sora" pitchFamily="2" charset="0"/>
                </a:rPr>
                <a:t>Média de clientes ativos dos últimos 2 trimestres)</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Fee income ratio:</a:t>
              </a:r>
            </a:p>
            <a:p>
              <a:endParaRPr lang="pt-BR" sz="800" b="1">
                <a:latin typeface="Calibri" panose="020F0502020204030204" pitchFamily="34" charset="0"/>
                <a:cs typeface="Calibri" panose="020F0502020204030204" pitchFamily="34" charset="0"/>
              </a:endParaRPr>
            </a:p>
            <a:p>
              <a:pPr/>
              <a:r>
                <a:rPr lang="pt-BR" sz="800" i="0">
                  <a:latin typeface="Cambria Math" panose="02040503050406030204" pitchFamily="18" charset="0"/>
                </a:rPr>
                <a:t>(</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Receita de servi</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ç</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os e comiss</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õ</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es+Outras receitas)/(</a:t>
              </a:r>
              <a:r>
                <a:rPr lang="pt-BR" sz="800" i="0">
                  <a:latin typeface="Cambria Math" panose="02040503050406030204" pitchFamily="18" charset="0"/>
                </a:rPr>
                <a:t>Resultado líquido de juros + Resultado líquido de serviços e comissões+Outras Receitas)</a:t>
              </a:r>
              <a:r>
                <a:rPr lang="pt-BR" sz="800" b="0" i="0">
                  <a:latin typeface="Cambria Math" panose="02040503050406030204" pitchFamily="18" charset="0"/>
                </a:rPr>
                <a:t>  </a:t>
              </a:r>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xdr:txBody>
        </xdr:sp>
      </mc:Fallback>
    </mc:AlternateContent>
    <xdr:clientData/>
  </xdr:twoCellAnchor>
  <xdr:twoCellAnchor>
    <xdr:from>
      <xdr:col>8</xdr:col>
      <xdr:colOff>122382</xdr:colOff>
      <xdr:row>113</xdr:row>
      <xdr:rowOff>127386</xdr:rowOff>
    </xdr:from>
    <xdr:to>
      <xdr:col>15</xdr:col>
      <xdr:colOff>97409</xdr:colOff>
      <xdr:row>143</xdr:row>
      <xdr:rowOff>181212</xdr:rowOff>
    </xdr:to>
    <mc:AlternateContent xmlns:mc="http://schemas.openxmlformats.org/markup-compatibility/2006" xmlns:a14="http://schemas.microsoft.com/office/drawing/2010/main">
      <mc:Choice Requires="a14">
        <xdr:sp macro="" textlink="">
          <xdr:nvSpPr>
            <xdr:cNvPr id="49" name="Retângulo 9">
              <a:extLst>
                <a:ext uri="{FF2B5EF4-FFF2-40B4-BE49-F238E27FC236}">
                  <a16:creationId xmlns:a16="http://schemas.microsoft.com/office/drawing/2014/main" id="{00000000-0008-0000-1600-000031000000}"/>
                </a:ext>
              </a:extLst>
            </xdr:cNvPr>
            <xdr:cNvSpPr/>
          </xdr:nvSpPr>
          <xdr:spPr>
            <a:xfrm>
              <a:off x="6748469" y="20925937"/>
              <a:ext cx="5772853" cy="5575565"/>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Formação de estágio 3:</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a:latin typeface="Cambria Math" panose="02040503050406030204" pitchFamily="18" charset="0"/>
                          </a:rPr>
                          <m:t>Saldo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est</m:t>
                        </m:r>
                        <m:r>
                          <a:rPr lang="pt-BR" sz="800">
                            <a:latin typeface="Cambria Math" panose="02040503050406030204" pitchFamily="18" charset="0"/>
                          </a:rPr>
                          <m:t>á</m:t>
                        </m:r>
                        <m:r>
                          <m:rPr>
                            <m:sty m:val="p"/>
                          </m:rPr>
                          <a:rPr lang="pt-BR" sz="800">
                            <a:latin typeface="Cambria Math" panose="02040503050406030204" pitchFamily="18" charset="0"/>
                          </a:rPr>
                          <m:t>gio</m:t>
                        </m:r>
                        <m:r>
                          <a:rPr lang="pt-BR" sz="800">
                            <a:latin typeface="Cambria Math" panose="02040503050406030204" pitchFamily="18" charset="0"/>
                          </a:rPr>
                          <m:t> 3 </m:t>
                        </m:r>
                        <m:r>
                          <m:rPr>
                            <m:sty m:val="p"/>
                          </m:rPr>
                          <a:rPr lang="pt-BR" sz="800">
                            <a:latin typeface="Cambria Math" panose="02040503050406030204" pitchFamily="18" charset="0"/>
                          </a:rPr>
                          <m:t>do</m:t>
                        </m:r>
                        <m:r>
                          <a:rPr lang="pt-BR" sz="800">
                            <a:latin typeface="Cambria Math" panose="02040503050406030204" pitchFamily="18" charset="0"/>
                          </a:rPr>
                          <m:t> </m:t>
                        </m:r>
                        <m:r>
                          <m:rPr>
                            <m:sty m:val="p"/>
                          </m:rPr>
                          <a:rPr lang="pt-BR" sz="800">
                            <a:latin typeface="Cambria Math" panose="02040503050406030204" pitchFamily="18" charset="0"/>
                          </a:rPr>
                          <m:t>trimestre</m:t>
                        </m:r>
                        <m:r>
                          <a:rPr lang="pt-BR" sz="800">
                            <a:latin typeface="Cambria Math" panose="02040503050406030204" pitchFamily="18" charset="0"/>
                          </a:rPr>
                          <m:t> </m:t>
                        </m:r>
                        <m:r>
                          <m:rPr>
                            <m:sty m:val="p"/>
                          </m:rPr>
                          <a:rPr lang="pt-BR" sz="800">
                            <a:latin typeface="Cambria Math" panose="02040503050406030204" pitchFamily="18" charset="0"/>
                          </a:rPr>
                          <m:t>atual</m:t>
                        </m:r>
                        <m:r>
                          <a:rPr lang="pt-BR" sz="800">
                            <a:latin typeface="Cambria Math" panose="02040503050406030204" pitchFamily="18" charset="0"/>
                          </a:rPr>
                          <m:t> –</m:t>
                        </m:r>
                        <m:r>
                          <m:rPr>
                            <m:sty m:val="p"/>
                          </m:rPr>
                          <a:rPr lang="pt-BR" sz="800">
                            <a:latin typeface="Cambria Math" panose="02040503050406030204" pitchFamily="18" charset="0"/>
                          </a:rPr>
                          <m:t>Saldo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est</m:t>
                        </m:r>
                        <m:r>
                          <a:rPr lang="pt-BR" sz="800">
                            <a:latin typeface="Cambria Math" panose="02040503050406030204" pitchFamily="18" charset="0"/>
                          </a:rPr>
                          <m:t>á</m:t>
                        </m:r>
                        <m:r>
                          <m:rPr>
                            <m:sty m:val="p"/>
                          </m:rPr>
                          <a:rPr lang="pt-BR" sz="800">
                            <a:latin typeface="Cambria Math" panose="02040503050406030204" pitchFamily="18" charset="0"/>
                          </a:rPr>
                          <m:t>gio</m:t>
                        </m:r>
                        <m:r>
                          <a:rPr lang="pt-BR" sz="800">
                            <a:latin typeface="Cambria Math" panose="02040503050406030204" pitchFamily="18" charset="0"/>
                          </a:rPr>
                          <m:t> 3 </m:t>
                        </m:r>
                        <m:r>
                          <m:rPr>
                            <m:sty m:val="p"/>
                          </m:rPr>
                          <a:rPr lang="pt-BR" sz="800">
                            <a:latin typeface="Cambria Math" panose="02040503050406030204" pitchFamily="18" charset="0"/>
                          </a:rPr>
                          <m:t>do</m:t>
                        </m:r>
                        <m:r>
                          <a:rPr lang="pt-BR" sz="800">
                            <a:latin typeface="Cambria Math" panose="02040503050406030204" pitchFamily="18" charset="0"/>
                          </a:rPr>
                          <m:t> </m:t>
                        </m:r>
                        <m:r>
                          <m:rPr>
                            <m:sty m:val="p"/>
                          </m:rPr>
                          <a:rPr lang="pt-BR" sz="800">
                            <a:latin typeface="Cambria Math" panose="02040503050406030204" pitchFamily="18" charset="0"/>
                          </a:rPr>
                          <m:t>trimestre</m:t>
                        </m:r>
                        <m:r>
                          <a:rPr lang="pt-BR" sz="800">
                            <a:latin typeface="Cambria Math" panose="02040503050406030204" pitchFamily="18" charset="0"/>
                          </a:rPr>
                          <m:t> </m:t>
                        </m:r>
                        <m:r>
                          <m:rPr>
                            <m:sty m:val="p"/>
                          </m:rPr>
                          <a:rPr lang="pt-BR" sz="800">
                            <a:latin typeface="Cambria Math" panose="02040503050406030204" pitchFamily="18" charset="0"/>
                          </a:rPr>
                          <m:t>anterior</m:t>
                        </m:r>
                        <m:r>
                          <a:rPr lang="pt-BR" sz="800">
                            <a:latin typeface="Cambria Math" panose="02040503050406030204" pitchFamily="18" charset="0"/>
                          </a:rPr>
                          <m:t> +</m:t>
                        </m:r>
                        <m:r>
                          <m:rPr>
                            <m:sty m:val="p"/>
                          </m:rPr>
                          <a:rPr lang="pt-BR" sz="800">
                            <a:latin typeface="Cambria Math" panose="02040503050406030204" pitchFamily="18" charset="0"/>
                          </a:rPr>
                          <m:t>Migra</m:t>
                        </m:r>
                        <m:r>
                          <a:rPr lang="pt-BR" sz="800">
                            <a:latin typeface="Cambria Math" panose="02040503050406030204" pitchFamily="18" charset="0"/>
                          </a:rPr>
                          <m:t>çã</m:t>
                        </m:r>
                        <m:r>
                          <m:rPr>
                            <m:sty m:val="p"/>
                          </m:rPr>
                          <a:rPr lang="pt-BR" sz="800">
                            <a:latin typeface="Cambria Math" panose="02040503050406030204" pitchFamily="18" charset="0"/>
                          </a:rPr>
                          <m:t>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write</m:t>
                        </m:r>
                        <m:r>
                          <a:rPr lang="pt-BR" sz="800">
                            <a:latin typeface="Cambria Math" panose="02040503050406030204" pitchFamily="18" charset="0"/>
                          </a:rPr>
                          <m:t>−</m:t>
                        </m:r>
                        <m:r>
                          <m:rPr>
                            <m:sty m:val="p"/>
                          </m:rPr>
                          <a:rPr lang="pt-BR" sz="800">
                            <a:latin typeface="Cambria Math" panose="02040503050406030204" pitchFamily="18" charset="0"/>
                          </a:rPr>
                          <m:t>off</m:t>
                        </m:r>
                        <m:r>
                          <a:rPr lang="pt-BR" sz="800">
                            <a:latin typeface="Cambria Math" panose="02040503050406030204" pitchFamily="18" charset="0"/>
                          </a:rPr>
                          <m:t> </m:t>
                        </m:r>
                        <m:r>
                          <m:rPr>
                            <m:sty m:val="p"/>
                          </m:rPr>
                          <a:rPr lang="pt-BR" sz="800">
                            <a:latin typeface="Cambria Math" panose="02040503050406030204" pitchFamily="18" charset="0"/>
                          </a:rPr>
                          <m:t>no</m:t>
                        </m:r>
                        <m:r>
                          <a:rPr lang="pt-BR" sz="800">
                            <a:latin typeface="Cambria Math" panose="02040503050406030204" pitchFamily="18" charset="0"/>
                          </a:rPr>
                          <m:t> </m:t>
                        </m:r>
                        <m:r>
                          <m:rPr>
                            <m:sty m:val="p"/>
                          </m:rPr>
                          <a:rPr lang="pt-BR" sz="800">
                            <a:latin typeface="Cambria Math" panose="02040503050406030204" pitchFamily="18" charset="0"/>
                          </a:rPr>
                          <m:t>trimestre</m:t>
                        </m:r>
                        <m:r>
                          <a:rPr lang="pt-BR" sz="800">
                            <a:latin typeface="Cambria Math" panose="02040503050406030204" pitchFamily="18" charset="0"/>
                          </a:rPr>
                          <m:t> </m:t>
                        </m:r>
                        <m:r>
                          <m:rPr>
                            <m:sty m:val="p"/>
                          </m:rPr>
                          <a:rPr lang="pt-BR" sz="800">
                            <a:latin typeface="Cambria Math" panose="02040503050406030204" pitchFamily="18" charset="0"/>
                          </a:rPr>
                          <m:t>atual</m:t>
                        </m:r>
                      </m:num>
                      <m:den>
                        <m:r>
                          <m:rPr>
                            <m:sty m:val="p"/>
                          </m:rPr>
                          <a:rPr lang="en-US" sz="800" i="0">
                            <a:latin typeface="Cambria Math" panose="02040503050406030204" pitchFamily="18" charset="0"/>
                            <a:cs typeface="Sora" pitchFamily="2" charset="0"/>
                          </a:rPr>
                          <m:t>Empr</m:t>
                        </m:r>
                        <m:r>
                          <a:rPr lang="en-US" sz="800" i="0">
                            <a:latin typeface="Cambria Math" panose="02040503050406030204" pitchFamily="18" charset="0"/>
                            <a:cs typeface="Sora" pitchFamily="2" charset="0"/>
                          </a:rPr>
                          <m:t>é</m:t>
                        </m:r>
                        <m:r>
                          <m:rPr>
                            <m:sty m:val="p"/>
                          </m:rPr>
                          <a:rPr lang="en-US" sz="800" i="0">
                            <a:latin typeface="Cambria Math" panose="02040503050406030204" pitchFamily="18" charset="0"/>
                            <a:cs typeface="Sora" pitchFamily="2" charset="0"/>
                          </a:rPr>
                          <m:t>stimos</m:t>
                        </m:r>
                        <m:r>
                          <a:rPr lang="en-US" sz="800" i="0">
                            <a:latin typeface="Cambria Math" panose="02040503050406030204" pitchFamily="18" charset="0"/>
                            <a:cs typeface="Sora" pitchFamily="2" charset="0"/>
                          </a:rPr>
                          <m:t> </m:t>
                        </m:r>
                        <m:r>
                          <m:rPr>
                            <m:sty m:val="p"/>
                          </m:rPr>
                          <a:rPr lang="en-US" sz="800" i="0">
                            <a:latin typeface="Cambria Math" panose="02040503050406030204" pitchFamily="18" charset="0"/>
                            <a:cs typeface="Sora" pitchFamily="2" charset="0"/>
                          </a:rPr>
                          <m:t>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adiantamentos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a</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clientes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totais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trimestre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anterior</m:t>
                        </m:r>
                      </m:den>
                    </m:f>
                    <m:r>
                      <a:rPr lang="pt-BR" sz="800" b="0" i="1">
                        <a:latin typeface="Cambria Math" panose="02040503050406030204" pitchFamily="18" charset="0"/>
                        <a:cs typeface="Sora" pitchFamily="2" charset="0"/>
                      </a:rPr>
                      <m:t> </m:t>
                    </m:r>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Formação de NPL:</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eqArr>
                          <m:eqArrPr>
                            <m:ctrlPr>
                              <a:rPr lang="pt-BR" sz="800" i="1">
                                <a:latin typeface="Cambria Math" panose="02040503050406030204" pitchFamily="18" charset="0"/>
                              </a:rPr>
                            </m:ctrlPr>
                          </m:eqArrPr>
                          <m:e>
                            <m:r>
                              <m:rPr>
                                <m:sty m:val="p"/>
                              </m:rPr>
                              <a:rPr lang="pt-BR" sz="800">
                                <a:latin typeface="Cambria Math" panose="02040503050406030204" pitchFamily="18" charset="0"/>
                              </a:rPr>
                              <m:t>Saldo</m:t>
                            </m:r>
                            <m:r>
                              <a:rPr lang="pt-BR" sz="800">
                                <a:latin typeface="Cambria Math" panose="02040503050406030204" pitchFamily="18" charset="0"/>
                              </a:rPr>
                              <m:t> </m:t>
                            </m:r>
                            <m:r>
                              <m:rPr>
                                <m:sty m:val="p"/>
                              </m:rPr>
                              <a:rPr lang="pt-BR" sz="800">
                                <a:latin typeface="Cambria Math" panose="02040503050406030204" pitchFamily="18" charset="0"/>
                              </a:rPr>
                              <m:t>vencido</m:t>
                            </m:r>
                            <m:r>
                              <a:rPr lang="pt-BR" sz="800">
                                <a:latin typeface="Cambria Math" panose="02040503050406030204" pitchFamily="18" charset="0"/>
                              </a:rPr>
                              <m:t> </m:t>
                            </m:r>
                            <m:r>
                              <m:rPr>
                                <m:sty m:val="p"/>
                              </m:rPr>
                              <a:rPr lang="pt-BR" sz="800">
                                <a:latin typeface="Cambria Math" panose="02040503050406030204" pitchFamily="18" charset="0"/>
                              </a:rPr>
                              <m:t>h</m:t>
                            </m:r>
                            <m:r>
                              <a:rPr lang="pt-BR" sz="800">
                                <a:latin typeface="Cambria Math" panose="02040503050406030204" pitchFamily="18" charset="0"/>
                              </a:rPr>
                              <m:t>á </m:t>
                            </m:r>
                            <m:r>
                              <m:rPr>
                                <m:sty m:val="p"/>
                              </m:rPr>
                              <a:rPr lang="pt-BR" sz="800">
                                <a:latin typeface="Cambria Math" panose="02040503050406030204" pitchFamily="18" charset="0"/>
                              </a:rPr>
                              <m:t>mais</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90 </m:t>
                            </m:r>
                            <m:r>
                              <m:rPr>
                                <m:sty m:val="p"/>
                              </m:rPr>
                              <a:rPr lang="pt-BR" sz="800">
                                <a:latin typeface="Cambria Math" panose="02040503050406030204" pitchFamily="18" charset="0"/>
                              </a:rPr>
                              <m:t>dias</m:t>
                            </m:r>
                            <m:r>
                              <a:rPr lang="pt-BR" sz="800">
                                <a:latin typeface="Cambria Math" panose="02040503050406030204" pitchFamily="18" charset="0"/>
                              </a:rPr>
                              <m:t> </m:t>
                            </m:r>
                            <m:r>
                              <m:rPr>
                                <m:sty m:val="p"/>
                              </m:rPr>
                              <a:rPr lang="pt-BR" sz="800">
                                <a:latin typeface="Cambria Math" panose="02040503050406030204" pitchFamily="18" charset="0"/>
                              </a:rPr>
                              <m:t>do</m:t>
                            </m:r>
                            <m:r>
                              <a:rPr lang="pt-BR" sz="800">
                                <a:latin typeface="Cambria Math" panose="02040503050406030204" pitchFamily="18" charset="0"/>
                              </a:rPr>
                              <m:t> </m:t>
                            </m:r>
                            <m:r>
                              <m:rPr>
                                <m:sty m:val="p"/>
                              </m:rPr>
                              <a:rPr lang="pt-BR" sz="800">
                                <a:latin typeface="Cambria Math" panose="02040503050406030204" pitchFamily="18" charset="0"/>
                              </a:rPr>
                              <m:t>trimestre</m:t>
                            </m:r>
                            <m:r>
                              <a:rPr lang="pt-BR" sz="800">
                                <a:latin typeface="Cambria Math" panose="02040503050406030204" pitchFamily="18" charset="0"/>
                              </a:rPr>
                              <m:t> </m:t>
                            </m:r>
                            <m:r>
                              <m:rPr>
                                <m:sty m:val="p"/>
                              </m:rPr>
                              <a:rPr lang="pt-BR" sz="800">
                                <a:latin typeface="Cambria Math" panose="02040503050406030204" pitchFamily="18" charset="0"/>
                              </a:rPr>
                              <m:t>atual</m:t>
                            </m:r>
                            <m:r>
                              <a:rPr lang="pt-BR" sz="800">
                                <a:latin typeface="Cambria Math" panose="02040503050406030204" pitchFamily="18" charset="0"/>
                              </a:rPr>
                              <m:t> –</m:t>
                            </m:r>
                            <m:r>
                              <m:rPr>
                                <m:sty m:val="p"/>
                              </m:rPr>
                              <a:rPr lang="pt-BR" sz="800">
                                <a:latin typeface="Cambria Math" panose="02040503050406030204" pitchFamily="18" charset="0"/>
                              </a:rPr>
                              <m:t>Saldo</m:t>
                            </m:r>
                            <m:r>
                              <a:rPr lang="pt-BR" sz="800">
                                <a:latin typeface="Cambria Math" panose="02040503050406030204" pitchFamily="18" charset="0"/>
                              </a:rPr>
                              <m:t> </m:t>
                            </m:r>
                            <m:r>
                              <m:rPr>
                                <m:sty m:val="p"/>
                              </m:rPr>
                              <a:rPr lang="pt-BR" sz="800">
                                <a:latin typeface="Cambria Math" panose="02040503050406030204" pitchFamily="18" charset="0"/>
                              </a:rPr>
                              <m:t>vencido</m:t>
                            </m:r>
                            <m:r>
                              <a:rPr lang="pt-BR" sz="800">
                                <a:latin typeface="Cambria Math" panose="02040503050406030204" pitchFamily="18" charset="0"/>
                              </a:rPr>
                              <m:t> </m:t>
                            </m:r>
                            <m:r>
                              <m:rPr>
                                <m:sty m:val="p"/>
                              </m:rPr>
                              <a:rPr lang="pt-BR" sz="800">
                                <a:latin typeface="Cambria Math" panose="02040503050406030204" pitchFamily="18" charset="0"/>
                              </a:rPr>
                              <m:t>h</m:t>
                            </m:r>
                            <m:r>
                              <a:rPr lang="pt-BR" sz="800">
                                <a:latin typeface="Cambria Math" panose="02040503050406030204" pitchFamily="18" charset="0"/>
                              </a:rPr>
                              <m:t>á </m:t>
                            </m:r>
                            <m:r>
                              <m:rPr>
                                <m:sty m:val="p"/>
                              </m:rPr>
                              <a:rPr lang="pt-BR" sz="800">
                                <a:latin typeface="Cambria Math" panose="02040503050406030204" pitchFamily="18" charset="0"/>
                              </a:rPr>
                              <m:t>mais</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90 </m:t>
                            </m:r>
                            <m:r>
                              <m:rPr>
                                <m:sty m:val="p"/>
                              </m:rPr>
                              <a:rPr lang="pt-BR" sz="800">
                                <a:latin typeface="Cambria Math" panose="02040503050406030204" pitchFamily="18" charset="0"/>
                              </a:rPr>
                              <m:t>dias</m:t>
                            </m:r>
                            <m:r>
                              <a:rPr lang="pt-BR" sz="800">
                                <a:latin typeface="Cambria Math" panose="02040503050406030204" pitchFamily="18" charset="0"/>
                              </a:rPr>
                              <m:t> </m:t>
                            </m:r>
                            <m:r>
                              <m:rPr>
                                <m:sty m:val="p"/>
                              </m:rPr>
                              <a:rPr lang="pt-BR" sz="800">
                                <a:latin typeface="Cambria Math" panose="02040503050406030204" pitchFamily="18" charset="0"/>
                              </a:rPr>
                              <m:t>do</m:t>
                            </m:r>
                            <m:r>
                              <a:rPr lang="pt-BR" sz="800" b="0" i="0">
                                <a:latin typeface="Cambria Math" panose="02040503050406030204" pitchFamily="18" charset="0"/>
                              </a:rPr>
                              <m:t> </m:t>
                            </m:r>
                            <m:r>
                              <m:rPr>
                                <m:sty m:val="p"/>
                              </m:rPr>
                              <a:rPr lang="pt-BR" sz="800">
                                <a:latin typeface="Cambria Math" panose="02040503050406030204" pitchFamily="18" charset="0"/>
                              </a:rPr>
                              <m:t>trimestreanterior</m:t>
                            </m:r>
                            <m:r>
                              <a:rPr lang="pt-BR" sz="800">
                                <a:latin typeface="Cambria Math" panose="02040503050406030204" pitchFamily="18" charset="0"/>
                              </a:rPr>
                              <m:t> +</m:t>
                            </m:r>
                            <m:r>
                              <m:rPr>
                                <m:sty m:val="p"/>
                              </m:rPr>
                              <a:rPr lang="pt-BR" sz="800">
                                <a:latin typeface="Cambria Math" panose="02040503050406030204" pitchFamily="18" charset="0"/>
                              </a:rPr>
                              <m:t>Migra</m:t>
                            </m:r>
                            <m:r>
                              <a:rPr lang="pt-BR" sz="800">
                                <a:latin typeface="Cambria Math" panose="02040503050406030204" pitchFamily="18" charset="0"/>
                              </a:rPr>
                              <m:t>çã</m:t>
                            </m:r>
                            <m:r>
                              <m:rPr>
                                <m:sty m:val="p"/>
                              </m:rPr>
                              <a:rPr lang="pt-BR" sz="800">
                                <a:latin typeface="Cambria Math" panose="02040503050406030204" pitchFamily="18" charset="0"/>
                              </a:rPr>
                              <m:t>o</m:t>
                            </m:r>
                            <m:r>
                              <a:rPr lang="pt-BR" sz="800">
                                <a:latin typeface="Cambria Math" panose="02040503050406030204" pitchFamily="18" charset="0"/>
                              </a:rPr>
                              <m:t> </m:t>
                            </m:r>
                            <m:r>
                              <m:rPr>
                                <m:sty m:val="p"/>
                              </m:rPr>
                              <a:rPr lang="pt-BR" sz="800">
                                <a:latin typeface="Cambria Math" panose="02040503050406030204" pitchFamily="18" charset="0"/>
                              </a:rPr>
                              <m:t>de</m:t>
                            </m:r>
                          </m:e>
                          <m:e>
                            <m:r>
                              <a:rPr lang="pt-BR" sz="800" b="0" i="0">
                                <a:latin typeface="Cambria Math" panose="02040503050406030204" pitchFamily="18" charset="0"/>
                              </a:rPr>
                              <m:t> </m:t>
                            </m:r>
                            <m:r>
                              <m:rPr>
                                <m:sty m:val="p"/>
                              </m:rPr>
                              <a:rPr lang="pt-BR" sz="800">
                                <a:latin typeface="Cambria Math" panose="02040503050406030204" pitchFamily="18" charset="0"/>
                              </a:rPr>
                              <m:t>write</m:t>
                            </m:r>
                            <m:r>
                              <a:rPr lang="pt-BR" sz="800">
                                <a:latin typeface="Cambria Math" panose="02040503050406030204" pitchFamily="18" charset="0"/>
                              </a:rPr>
                              <m:t>−</m:t>
                            </m:r>
                            <m:r>
                              <m:rPr>
                                <m:sty m:val="p"/>
                              </m:rPr>
                              <a:rPr lang="pt-BR" sz="800">
                                <a:latin typeface="Cambria Math" panose="02040503050406030204" pitchFamily="18" charset="0"/>
                              </a:rPr>
                              <m:t>off</m:t>
                            </m:r>
                            <m:r>
                              <a:rPr lang="pt-BR" sz="800">
                                <a:latin typeface="Cambria Math" panose="02040503050406030204" pitchFamily="18" charset="0"/>
                              </a:rPr>
                              <m:t> </m:t>
                            </m:r>
                            <m:r>
                              <m:rPr>
                                <m:sty m:val="p"/>
                              </m:rPr>
                              <a:rPr lang="pt-BR" sz="800">
                                <a:latin typeface="Cambria Math" panose="02040503050406030204" pitchFamily="18" charset="0"/>
                              </a:rPr>
                              <m:t>no</m:t>
                            </m:r>
                            <m:r>
                              <a:rPr lang="pt-BR" sz="800">
                                <a:latin typeface="Cambria Math" panose="02040503050406030204" pitchFamily="18" charset="0"/>
                              </a:rPr>
                              <m:t> </m:t>
                            </m:r>
                            <m:r>
                              <m:rPr>
                                <m:sty m:val="p"/>
                              </m:rPr>
                              <a:rPr lang="pt-BR" sz="800">
                                <a:latin typeface="Cambria Math" panose="02040503050406030204" pitchFamily="18" charset="0"/>
                              </a:rPr>
                              <m:t>trimestre</m:t>
                            </m:r>
                            <m:r>
                              <a:rPr lang="pt-BR" sz="800">
                                <a:latin typeface="Cambria Math" panose="02040503050406030204" pitchFamily="18" charset="0"/>
                              </a:rPr>
                              <m:t> </m:t>
                            </m:r>
                            <m:r>
                              <m:rPr>
                                <m:sty m:val="p"/>
                              </m:rPr>
                              <a:rPr lang="pt-BR" sz="800">
                                <a:latin typeface="Cambria Math" panose="02040503050406030204" pitchFamily="18" charset="0"/>
                              </a:rPr>
                              <m:t>atual</m:t>
                            </m:r>
                            <m:r>
                              <m:rPr>
                                <m:nor/>
                              </m:rPr>
                              <a:rPr lang="pt-BR" sz="800">
                                <a:latin typeface="Calibri" panose="020F0502020204030204" pitchFamily="34" charset="0"/>
                                <a:cs typeface="Calibri" panose="020F0502020204030204" pitchFamily="34" charset="0"/>
                              </a:rPr>
                              <m:t> </m:t>
                            </m:r>
                          </m:e>
                        </m:eqArr>
                      </m:num>
                      <m:den>
                        <m:r>
                          <m:rPr>
                            <m:sty m:val="p"/>
                          </m:rPr>
                          <a:rPr lang="en-US" sz="800" i="0">
                            <a:latin typeface="Cambria Math" panose="02040503050406030204" pitchFamily="18" charset="0"/>
                            <a:cs typeface="Sora" pitchFamily="2" charset="0"/>
                          </a:rPr>
                          <m:t>Empr</m:t>
                        </m:r>
                        <m:r>
                          <a:rPr lang="en-US" sz="800" i="0">
                            <a:latin typeface="Cambria Math" panose="02040503050406030204" pitchFamily="18" charset="0"/>
                            <a:cs typeface="Sora" pitchFamily="2" charset="0"/>
                          </a:rPr>
                          <m:t>é</m:t>
                        </m:r>
                        <m:r>
                          <m:rPr>
                            <m:sty m:val="p"/>
                          </m:rPr>
                          <a:rPr lang="en-US" sz="800" i="0">
                            <a:latin typeface="Cambria Math" panose="02040503050406030204" pitchFamily="18" charset="0"/>
                            <a:cs typeface="Sora" pitchFamily="2" charset="0"/>
                          </a:rPr>
                          <m:t>stimos</m:t>
                        </m:r>
                        <m:r>
                          <a:rPr lang="en-US" sz="800" i="0">
                            <a:latin typeface="Cambria Math" panose="02040503050406030204" pitchFamily="18" charset="0"/>
                            <a:cs typeface="Sora" pitchFamily="2" charset="0"/>
                          </a:rPr>
                          <m:t> </m:t>
                        </m:r>
                        <m:r>
                          <m:rPr>
                            <m:sty m:val="p"/>
                          </m:rPr>
                          <a:rPr lang="en-US" sz="800" i="0">
                            <a:latin typeface="Cambria Math" panose="02040503050406030204" pitchFamily="18" charset="0"/>
                            <a:cs typeface="Sora" pitchFamily="2" charset="0"/>
                          </a:rPr>
                          <m:t>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adiantamentos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a</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clientes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totais</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do</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trimestre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anterior</m:t>
                        </m:r>
                      </m:den>
                    </m:f>
                    <m:r>
                      <a:rPr lang="pt-BR" sz="800" i="1">
                        <a:latin typeface="Cambria Math" panose="02040503050406030204" pitchFamily="18" charset="0"/>
                      </a:rPr>
                      <m:t> </m:t>
                    </m:r>
                  </m:oMath>
                </m:oMathPara>
              </a14:m>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Funding:</a:t>
              </a:r>
            </a:p>
            <a:p>
              <a:endParaRPr lang="pt-BR"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ep</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ó</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sitos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à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vista</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dep</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ó</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sitos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prazo</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í</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tulos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emitidos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credores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por</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recursos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liberar</m:t>
                    </m:r>
                  </m:oMath>
                </m:oMathPara>
              </a14:m>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Índice de basiléia:</a:t>
              </a:r>
            </a:p>
            <a:p>
              <a:endParaRPr lang="pt-BR" sz="800" b="1">
                <a:highlight>
                  <a:srgbClr val="FFFF00"/>
                </a:highlight>
                <a:latin typeface="Calibri" panose="020F05020202040302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b="0" i="0">
                            <a:latin typeface="Cambria Math" panose="02040503050406030204" pitchFamily="18" charset="0"/>
                          </a:rPr>
                          <m:t>Patrim</m:t>
                        </m:r>
                        <m:r>
                          <a:rPr lang="pt-BR" sz="800" i="0">
                            <a:latin typeface="Cambria Math" panose="02040503050406030204" pitchFamily="18" charset="0"/>
                          </a:rPr>
                          <m:t>ô</m:t>
                        </m:r>
                        <m:r>
                          <m:rPr>
                            <m:sty m:val="p"/>
                          </m:rPr>
                          <a:rPr lang="pt-BR" sz="800" b="0" i="0">
                            <a:latin typeface="Cambria Math" panose="02040503050406030204" pitchFamily="18" charset="0"/>
                          </a:rPr>
                          <m:t>nio</m:t>
                        </m:r>
                        <m:r>
                          <a:rPr lang="pt-BR" sz="800" b="0" i="0">
                            <a:latin typeface="Cambria Math" panose="02040503050406030204" pitchFamily="18" charset="0"/>
                          </a:rPr>
                          <m:t> </m:t>
                        </m:r>
                        <m:r>
                          <m:rPr>
                            <m:sty m:val="p"/>
                          </m:rPr>
                          <a:rPr lang="pt-BR" sz="800" b="0" i="0">
                            <a:latin typeface="Cambria Math" panose="02040503050406030204" pitchFamily="18" charset="0"/>
                          </a:rPr>
                          <m:t>de</m:t>
                        </m:r>
                        <m:r>
                          <a:rPr lang="pt-BR" sz="800" b="0" i="0">
                            <a:latin typeface="Cambria Math" panose="02040503050406030204" pitchFamily="18" charset="0"/>
                          </a:rPr>
                          <m:t> </m:t>
                        </m:r>
                        <m:r>
                          <m:rPr>
                            <m:sty m:val="p"/>
                          </m:rPr>
                          <a:rPr lang="pt-BR" sz="800" b="0" i="0">
                            <a:latin typeface="Cambria Math" panose="02040503050406030204" pitchFamily="18" charset="0"/>
                          </a:rPr>
                          <m:t>refer</m:t>
                        </m:r>
                        <m:r>
                          <a:rPr lang="pt-BR" sz="800" i="0">
                            <a:latin typeface="Cambria Math" panose="02040503050406030204" pitchFamily="18" charset="0"/>
                          </a:rPr>
                          <m:t>ê</m:t>
                        </m:r>
                        <m:r>
                          <m:rPr>
                            <m:sty m:val="p"/>
                          </m:rPr>
                          <a:rPr lang="pt-BR" sz="800" b="0" i="0">
                            <a:latin typeface="Cambria Math" panose="02040503050406030204" pitchFamily="18" charset="0"/>
                          </a:rPr>
                          <m:t>ncia</m:t>
                        </m:r>
                        <m:r>
                          <a:rPr lang="pt-BR" sz="800" b="0" i="0">
                            <a:latin typeface="Cambria Math" panose="02040503050406030204" pitchFamily="18" charset="0"/>
                          </a:rPr>
                          <m:t> </m:t>
                        </m:r>
                        <m:r>
                          <m:rPr>
                            <m:sty m:val="p"/>
                          </m:rPr>
                          <a:rPr lang="pt-BR" sz="800" b="0" i="0">
                            <a:latin typeface="Cambria Math" panose="02040503050406030204" pitchFamily="18" charset="0"/>
                          </a:rPr>
                          <m:t>n</m:t>
                        </m:r>
                        <m:r>
                          <a:rPr lang="pt-BR" sz="800" i="0">
                            <a:latin typeface="Cambria Math" panose="02040503050406030204" pitchFamily="18" charset="0"/>
                          </a:rPr>
                          <m:t>í</m:t>
                        </m:r>
                        <m:r>
                          <m:rPr>
                            <m:sty m:val="p"/>
                          </m:rPr>
                          <a:rPr lang="pt-BR" sz="800" b="0" i="0">
                            <a:latin typeface="Cambria Math" panose="02040503050406030204" pitchFamily="18" charset="0"/>
                          </a:rPr>
                          <m:t>vel</m:t>
                        </m:r>
                        <m:r>
                          <a:rPr lang="pt-BR" sz="800" b="0" i="0">
                            <a:latin typeface="Cambria Math" panose="02040503050406030204" pitchFamily="18" charset="0"/>
                          </a:rPr>
                          <m:t> </m:t>
                        </m:r>
                        <m:r>
                          <m:rPr>
                            <m:sty m:val="p"/>
                          </m:rPr>
                          <a:rPr lang="pt-BR" sz="800" b="0" i="0">
                            <a:latin typeface="Cambria Math" panose="02040503050406030204" pitchFamily="18" charset="0"/>
                          </a:rPr>
                          <m:t>I</m:t>
                        </m:r>
                      </m:num>
                      <m:den>
                        <m:r>
                          <m:rPr>
                            <m:sty m:val="p"/>
                          </m:rPr>
                          <a:rPr lang="pt-BR" sz="800" b="0" i="0">
                            <a:latin typeface="Cambria Math" panose="02040503050406030204" pitchFamily="18" charset="0"/>
                          </a:rPr>
                          <m:t>Ativos</m:t>
                        </m:r>
                        <m:r>
                          <a:rPr lang="pt-BR" sz="800" b="0" i="0">
                            <a:latin typeface="Cambria Math" panose="02040503050406030204" pitchFamily="18" charset="0"/>
                          </a:rPr>
                          <m:t> </m:t>
                        </m:r>
                        <m:r>
                          <m:rPr>
                            <m:sty m:val="p"/>
                          </m:rPr>
                          <a:rPr lang="pt-BR" sz="800" b="0" i="0">
                            <a:latin typeface="Cambria Math" panose="02040503050406030204" pitchFamily="18" charset="0"/>
                          </a:rPr>
                          <m:t>ponderados</m:t>
                        </m:r>
                        <m:r>
                          <a:rPr lang="pt-BR" sz="800" b="0" i="0">
                            <a:latin typeface="Cambria Math" panose="02040503050406030204" pitchFamily="18" charset="0"/>
                          </a:rPr>
                          <m:t> </m:t>
                        </m:r>
                        <m:r>
                          <m:rPr>
                            <m:sty m:val="p"/>
                          </m:rPr>
                          <a:rPr lang="pt-BR" sz="800" b="0" i="0">
                            <a:latin typeface="Cambria Math" panose="02040503050406030204" pitchFamily="18" charset="0"/>
                          </a:rPr>
                          <m:t>por</m:t>
                        </m:r>
                        <m:r>
                          <a:rPr lang="pt-BR" sz="800" b="0" i="0">
                            <a:latin typeface="Cambria Math" panose="02040503050406030204" pitchFamily="18" charset="0"/>
                          </a:rPr>
                          <m:t> </m:t>
                        </m:r>
                        <m:r>
                          <m:rPr>
                            <m:sty m:val="p"/>
                          </m:rPr>
                          <a:rPr lang="pt-BR" sz="800" b="0" i="0">
                            <a:latin typeface="Cambria Math" panose="02040503050406030204" pitchFamily="18" charset="0"/>
                          </a:rPr>
                          <m:t>risco</m:t>
                        </m:r>
                      </m:den>
                    </m:f>
                  </m:oMath>
                </m:oMathPara>
              </a14:m>
              <a:endParaRPr lang="pt-BR" sz="800">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cobertura:</a:t>
              </a:r>
            </a:p>
            <a:p>
              <a:endParaRPr lang="en-US" sz="8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b="0" i="0">
                            <a:latin typeface="Cambria Math" panose="02040503050406030204" pitchFamily="18" charset="0"/>
                          </a:rPr>
                          <m:t>Provis</m:t>
                        </m:r>
                        <m:r>
                          <a:rPr lang="pt-BR" sz="800" i="0">
                            <a:latin typeface="Cambria Math" panose="02040503050406030204" pitchFamily="18" charset="0"/>
                          </a:rPr>
                          <m:t>ã</m:t>
                        </m:r>
                        <m:r>
                          <m:rPr>
                            <m:sty m:val="p"/>
                          </m:rPr>
                          <a:rPr lang="pt-BR" sz="800" b="0" i="0">
                            <a:latin typeface="Cambria Math" panose="02040503050406030204" pitchFamily="18" charset="0"/>
                          </a:rPr>
                          <m:t>o</m:t>
                        </m:r>
                        <m:r>
                          <a:rPr lang="pt-BR" sz="800" b="0" i="0">
                            <a:latin typeface="Cambria Math" panose="02040503050406030204" pitchFamily="18" charset="0"/>
                          </a:rPr>
                          <m:t> </m:t>
                        </m:r>
                        <m:r>
                          <m:rPr>
                            <m:sty m:val="p"/>
                          </m:rPr>
                          <a:rPr lang="pt-BR" sz="800" b="0" i="0">
                            <a:latin typeface="Cambria Math" panose="02040503050406030204" pitchFamily="18" charset="0"/>
                          </a:rPr>
                          <m:t>de</m:t>
                        </m:r>
                        <m:r>
                          <a:rPr lang="pt-BR" sz="800" b="0" i="0">
                            <a:latin typeface="Cambria Math" panose="02040503050406030204" pitchFamily="18" charset="0"/>
                          </a:rPr>
                          <m:t> </m:t>
                        </m:r>
                        <m:r>
                          <m:rPr>
                            <m:sty m:val="p"/>
                          </m:rPr>
                          <a:rPr lang="pt-BR" sz="800" b="0" i="0">
                            <a:latin typeface="Cambria Math" panose="02040503050406030204" pitchFamily="18" charset="0"/>
                          </a:rPr>
                          <m:t>perdas</m:t>
                        </m:r>
                        <m:r>
                          <a:rPr lang="pt-BR" sz="800" b="0" i="0">
                            <a:latin typeface="Cambria Math" panose="02040503050406030204" pitchFamily="18" charset="0"/>
                          </a:rPr>
                          <m:t> </m:t>
                        </m:r>
                        <m:r>
                          <m:rPr>
                            <m:sty m:val="p"/>
                          </m:rPr>
                          <a:rPr lang="pt-BR" sz="800" b="0" i="0">
                            <a:latin typeface="Cambria Math" panose="02040503050406030204" pitchFamily="18" charset="0"/>
                          </a:rPr>
                          <m:t>esperadas</m:t>
                        </m:r>
                      </m:num>
                      <m:den>
                        <m:r>
                          <m:rPr>
                            <m:sty m:val="p"/>
                          </m:rPr>
                          <a:rPr lang="pt-BR" sz="800" i="0">
                            <a:latin typeface="Cambria Math" panose="02040503050406030204" pitchFamily="18" charset="0"/>
                          </a:rPr>
                          <m:t>NPL</m:t>
                        </m:r>
                        <m:r>
                          <a:rPr lang="pt-BR" sz="800" i="0">
                            <a:latin typeface="Cambria Math" panose="02040503050406030204" pitchFamily="18" charset="0"/>
                          </a:rPr>
                          <m:t>&gt; 90 </m:t>
                        </m:r>
                        <m:r>
                          <m:rPr>
                            <m:sty m:val="p"/>
                          </m:rPr>
                          <a:rPr lang="pt-BR" sz="800" i="0">
                            <a:latin typeface="Cambria Math" panose="02040503050406030204" pitchFamily="18" charset="0"/>
                          </a:rPr>
                          <m:t>dias</m:t>
                        </m:r>
                      </m:den>
                    </m:f>
                    <m:r>
                      <a:rPr lang="pt-BR" sz="800" i="1">
                        <a:latin typeface="Cambria Math" panose="02040503050406030204" pitchFamily="18" charset="0"/>
                      </a:rPr>
                      <m:t> </m:t>
                    </m:r>
                  </m:oMath>
                </m:oMathPara>
              </a14:m>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Funding:</a:t>
              </a:r>
            </a:p>
            <a:p>
              <a:endParaRPr lang="pt-BR"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ep</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ó</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sitos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à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vista</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dep</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ó</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sitos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prazo</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í</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tulos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emitidos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credores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por</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recursos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a</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liberar</m:t>
                    </m:r>
                  </m:oMath>
                </m:oMathPara>
              </a14:m>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Índice de basiléia:</a:t>
              </a:r>
            </a:p>
            <a:p>
              <a:endParaRPr lang="pt-BR" sz="800" b="1">
                <a:highlight>
                  <a:srgbClr val="FFFF00"/>
                </a:highlight>
                <a:latin typeface="Calibri" panose="020F05020202040302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b="0" i="0">
                            <a:latin typeface="Cambria Math" panose="02040503050406030204" pitchFamily="18" charset="0"/>
                          </a:rPr>
                          <m:t>Patrim</m:t>
                        </m:r>
                        <m:r>
                          <a:rPr lang="pt-BR" sz="800" i="0">
                            <a:latin typeface="Cambria Math" panose="02040503050406030204" pitchFamily="18" charset="0"/>
                          </a:rPr>
                          <m:t>ô</m:t>
                        </m:r>
                        <m:r>
                          <m:rPr>
                            <m:sty m:val="p"/>
                          </m:rPr>
                          <a:rPr lang="pt-BR" sz="800" b="0" i="0">
                            <a:latin typeface="Cambria Math" panose="02040503050406030204" pitchFamily="18" charset="0"/>
                          </a:rPr>
                          <m:t>nio</m:t>
                        </m:r>
                        <m:r>
                          <a:rPr lang="pt-BR" sz="800" b="0" i="0">
                            <a:latin typeface="Cambria Math" panose="02040503050406030204" pitchFamily="18" charset="0"/>
                          </a:rPr>
                          <m:t> </m:t>
                        </m:r>
                        <m:r>
                          <m:rPr>
                            <m:sty m:val="p"/>
                          </m:rPr>
                          <a:rPr lang="pt-BR" sz="800" b="0" i="0">
                            <a:latin typeface="Cambria Math" panose="02040503050406030204" pitchFamily="18" charset="0"/>
                          </a:rPr>
                          <m:t>de</m:t>
                        </m:r>
                        <m:r>
                          <a:rPr lang="pt-BR" sz="800" b="0" i="0">
                            <a:latin typeface="Cambria Math" panose="02040503050406030204" pitchFamily="18" charset="0"/>
                          </a:rPr>
                          <m:t> </m:t>
                        </m:r>
                        <m:r>
                          <m:rPr>
                            <m:sty m:val="p"/>
                          </m:rPr>
                          <a:rPr lang="pt-BR" sz="800" b="0" i="0">
                            <a:latin typeface="Cambria Math" panose="02040503050406030204" pitchFamily="18" charset="0"/>
                          </a:rPr>
                          <m:t>refer</m:t>
                        </m:r>
                        <m:r>
                          <a:rPr lang="pt-BR" sz="800" i="0">
                            <a:latin typeface="Cambria Math" panose="02040503050406030204" pitchFamily="18" charset="0"/>
                          </a:rPr>
                          <m:t>ê</m:t>
                        </m:r>
                        <m:r>
                          <m:rPr>
                            <m:sty m:val="p"/>
                          </m:rPr>
                          <a:rPr lang="pt-BR" sz="800" b="0" i="0">
                            <a:latin typeface="Cambria Math" panose="02040503050406030204" pitchFamily="18" charset="0"/>
                          </a:rPr>
                          <m:t>ncia</m:t>
                        </m:r>
                        <m:r>
                          <a:rPr lang="pt-BR" sz="800" b="0" i="0">
                            <a:latin typeface="Cambria Math" panose="02040503050406030204" pitchFamily="18" charset="0"/>
                          </a:rPr>
                          <m:t> </m:t>
                        </m:r>
                        <m:r>
                          <m:rPr>
                            <m:sty m:val="p"/>
                          </m:rPr>
                          <a:rPr lang="pt-BR" sz="800" b="0" i="0">
                            <a:latin typeface="Cambria Math" panose="02040503050406030204" pitchFamily="18" charset="0"/>
                          </a:rPr>
                          <m:t>n</m:t>
                        </m:r>
                        <m:r>
                          <a:rPr lang="pt-BR" sz="800" i="0">
                            <a:latin typeface="Cambria Math" panose="02040503050406030204" pitchFamily="18" charset="0"/>
                          </a:rPr>
                          <m:t>í</m:t>
                        </m:r>
                        <m:r>
                          <m:rPr>
                            <m:sty m:val="p"/>
                          </m:rPr>
                          <a:rPr lang="pt-BR" sz="800" b="0" i="0">
                            <a:latin typeface="Cambria Math" panose="02040503050406030204" pitchFamily="18" charset="0"/>
                          </a:rPr>
                          <m:t>vel</m:t>
                        </m:r>
                        <m:r>
                          <a:rPr lang="pt-BR" sz="800" b="0" i="0">
                            <a:latin typeface="Cambria Math" panose="02040503050406030204" pitchFamily="18" charset="0"/>
                          </a:rPr>
                          <m:t> </m:t>
                        </m:r>
                        <m:r>
                          <m:rPr>
                            <m:sty m:val="p"/>
                          </m:rPr>
                          <a:rPr lang="pt-BR" sz="800" b="0" i="0">
                            <a:latin typeface="Cambria Math" panose="02040503050406030204" pitchFamily="18" charset="0"/>
                          </a:rPr>
                          <m:t>I</m:t>
                        </m:r>
                      </m:num>
                      <m:den>
                        <m:r>
                          <m:rPr>
                            <m:sty m:val="p"/>
                          </m:rPr>
                          <a:rPr lang="pt-BR" sz="800" b="0" i="0">
                            <a:latin typeface="Cambria Math" panose="02040503050406030204" pitchFamily="18" charset="0"/>
                          </a:rPr>
                          <m:t>Ativos</m:t>
                        </m:r>
                        <m:r>
                          <a:rPr lang="pt-BR" sz="800" b="0" i="0">
                            <a:latin typeface="Cambria Math" panose="02040503050406030204" pitchFamily="18" charset="0"/>
                          </a:rPr>
                          <m:t> </m:t>
                        </m:r>
                        <m:r>
                          <m:rPr>
                            <m:sty m:val="p"/>
                          </m:rPr>
                          <a:rPr lang="pt-BR" sz="800" b="0" i="0">
                            <a:latin typeface="Cambria Math" panose="02040503050406030204" pitchFamily="18" charset="0"/>
                          </a:rPr>
                          <m:t>ponderados</m:t>
                        </m:r>
                        <m:r>
                          <a:rPr lang="pt-BR" sz="800" b="0" i="0">
                            <a:latin typeface="Cambria Math" panose="02040503050406030204" pitchFamily="18" charset="0"/>
                          </a:rPr>
                          <m:t> </m:t>
                        </m:r>
                        <m:r>
                          <m:rPr>
                            <m:sty m:val="p"/>
                          </m:rPr>
                          <a:rPr lang="pt-BR" sz="800" b="0" i="0">
                            <a:latin typeface="Cambria Math" panose="02040503050406030204" pitchFamily="18" charset="0"/>
                          </a:rPr>
                          <m:t>por</m:t>
                        </m:r>
                        <m:r>
                          <a:rPr lang="pt-BR" sz="800" b="0" i="0">
                            <a:latin typeface="Cambria Math" panose="02040503050406030204" pitchFamily="18" charset="0"/>
                          </a:rPr>
                          <m:t> </m:t>
                        </m:r>
                        <m:r>
                          <m:rPr>
                            <m:sty m:val="p"/>
                          </m:rPr>
                          <a:rPr lang="pt-BR" sz="800" b="0" i="0">
                            <a:latin typeface="Cambria Math" panose="02040503050406030204" pitchFamily="18" charset="0"/>
                          </a:rPr>
                          <m:t>risco</m:t>
                        </m:r>
                      </m:den>
                    </m:f>
                  </m:oMath>
                </m:oMathPara>
              </a14:m>
              <a:endParaRPr lang="pt-BR" sz="800">
                <a:latin typeface="Calibri" panose="020F05020202040302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xdr:txBody>
        </xdr:sp>
      </mc:Choice>
      <mc:Fallback xmlns="">
        <xdr:sp macro="" textlink="">
          <xdr:nvSpPr>
            <xdr:cNvPr id="49" name="Retângulo 9">
              <a:extLst>
                <a:ext uri="{FF2B5EF4-FFF2-40B4-BE49-F238E27FC236}">
                  <a16:creationId xmlns:a16="http://schemas.microsoft.com/office/drawing/2014/main" id="{D2ED4C4B-0394-2855-8577-585CCB8A4BBD}"/>
                </a:ext>
              </a:extLst>
            </xdr:cNvPr>
            <xdr:cNvSpPr/>
          </xdr:nvSpPr>
          <xdr:spPr>
            <a:xfrm>
              <a:off x="6748469" y="20925937"/>
              <a:ext cx="5772853" cy="5575565"/>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Formação de estágio 3:</a:t>
              </a:r>
            </a:p>
            <a:p>
              <a:endParaRPr lang="en-US" sz="800" b="1">
                <a:latin typeface="Calibri" panose="020F0502020204030204" pitchFamily="34" charset="0"/>
                <a:cs typeface="Calibri" panose="020F0502020204030204" pitchFamily="34" charset="0"/>
              </a:endParaRPr>
            </a:p>
            <a:p>
              <a:pPr/>
              <a:r>
                <a:rPr lang="pt-BR" sz="800" i="0">
                  <a:latin typeface="Cambria Math" panose="02040503050406030204" pitchFamily="18" charset="0"/>
                </a:rPr>
                <a:t>(Saldo de estágio 3 do trimestre atual –Saldo de estágio 3 do trimestre anterior +Migração de write−off no trimestre atual)/(</a:t>
              </a:r>
              <a:r>
                <a:rPr lang="en-US" sz="800" i="0">
                  <a:latin typeface="Cambria Math" panose="02040503050406030204" pitchFamily="18" charset="0"/>
                  <a:cs typeface="Sora" pitchFamily="2" charset="0"/>
                </a:rPr>
                <a:t>Empréstimos e</a:t>
              </a:r>
              <a:r>
                <a:rPr lang="pt-BR" sz="800" i="0">
                  <a:latin typeface="Cambria Math" panose="02040503050406030204" pitchFamily="18" charset="0"/>
                  <a:cs typeface="Sora" pitchFamily="2" charset="0"/>
                </a:rPr>
                <a:t> adiantamentos a clientes</a:t>
              </a:r>
              <a:r>
                <a:rPr lang="pt-BR" sz="800" b="0" i="0">
                  <a:latin typeface="Cambria Math" panose="02040503050406030204" pitchFamily="18" charset="0"/>
                  <a:cs typeface="Sora" pitchFamily="2" charset="0"/>
                </a:rPr>
                <a:t> totais do trimestre anterior)  </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Formação de NPL:</a:t>
              </a:r>
            </a:p>
            <a:p>
              <a:endParaRPr lang="en-US" sz="800" b="1">
                <a:latin typeface="Calibri" panose="020F0502020204030204" pitchFamily="34" charset="0"/>
                <a:cs typeface="Calibri" panose="020F0502020204030204" pitchFamily="34" charset="0"/>
              </a:endParaRPr>
            </a:p>
            <a:p>
              <a:pPr/>
              <a:r>
                <a:rPr lang="pt-BR" sz="800" i="0">
                  <a:latin typeface="Cambria Math" panose="02040503050406030204" pitchFamily="18" charset="0"/>
                </a:rPr>
                <a:t>█(Saldo vencido há mais de 90 dias do trimestre atual –Saldo vencido há mais de 90 dias do</a:t>
              </a:r>
              <a:r>
                <a:rPr lang="pt-BR" sz="800" b="0" i="0">
                  <a:latin typeface="Cambria Math" panose="02040503050406030204" pitchFamily="18" charset="0"/>
                </a:rPr>
                <a:t> </a:t>
              </a:r>
              <a:r>
                <a:rPr lang="pt-BR" sz="800" i="0">
                  <a:latin typeface="Cambria Math" panose="02040503050406030204" pitchFamily="18" charset="0"/>
                </a:rPr>
                <a:t>trimestreanterior +Migração de@</a:t>
              </a:r>
              <a:r>
                <a:rPr lang="pt-BR" sz="800" b="0" i="0">
                  <a:latin typeface="Cambria Math" panose="02040503050406030204" pitchFamily="18" charset="0"/>
                </a:rPr>
                <a:t> </a:t>
              </a:r>
              <a:r>
                <a:rPr lang="pt-BR" sz="800" i="0">
                  <a:latin typeface="Cambria Math" panose="02040503050406030204" pitchFamily="18" charset="0"/>
                </a:rPr>
                <a:t>write−off no trimestre atual"</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a:t>
              </a:r>
              <a:r>
                <a:rPr lang="en-US" sz="800" i="0">
                  <a:latin typeface="Cambria Math" panose="02040503050406030204" pitchFamily="18" charset="0"/>
                  <a:cs typeface="Sora" pitchFamily="2" charset="0"/>
                </a:rPr>
                <a:t>Empréstimos e</a:t>
              </a:r>
              <a:r>
                <a:rPr lang="pt-BR" sz="800" i="0">
                  <a:latin typeface="Cambria Math" panose="02040503050406030204" pitchFamily="18" charset="0"/>
                  <a:cs typeface="Sora" pitchFamily="2" charset="0"/>
                </a:rPr>
                <a:t> adiantamentos a clientes</a:t>
              </a:r>
              <a:r>
                <a:rPr lang="pt-BR" sz="800" b="0" i="0">
                  <a:latin typeface="Cambria Math" panose="02040503050406030204" pitchFamily="18" charset="0"/>
                  <a:cs typeface="Sora" pitchFamily="2" charset="0"/>
                </a:rPr>
                <a:t> totais do trimestre anterior) </a:t>
              </a:r>
              <a:r>
                <a:rPr lang="pt-BR" sz="800" i="0">
                  <a:latin typeface="Cambria Math" panose="02040503050406030204" pitchFamily="18" charset="0"/>
                </a:rPr>
                <a:t> </a:t>
              </a:r>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Funding:</a:t>
              </a:r>
            </a:p>
            <a:p>
              <a:endParaRPr lang="pt-BR" sz="800" b="1">
                <a:latin typeface="Calibri" panose="020F0502020204030204" pitchFamily="34" charset="0"/>
                <a:cs typeface="Calibri" panose="020F0502020204030204" pitchFamily="34" charset="0"/>
              </a:endParaRPr>
            </a:p>
            <a:p>
              <a:pP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D</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ep</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ó</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sitos à vista+dep</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ó</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sitos a prazo+t</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í</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tulos emitidos+credores por recursos a liberar</a:t>
              </a:r>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Índice de basiléia:</a:t>
              </a:r>
            </a:p>
            <a:p>
              <a:endParaRPr lang="pt-BR" sz="800" b="1">
                <a:highlight>
                  <a:srgbClr val="FFFF00"/>
                </a:highlight>
                <a:latin typeface="Calibri" panose="020F0502020204030204" pitchFamily="34" charset="0"/>
                <a:cs typeface="Calibri" panose="020F0502020204030204" pitchFamily="34" charset="0"/>
              </a:endParaRPr>
            </a:p>
            <a:p>
              <a:pPr algn="ctr"/>
              <a:r>
                <a:rPr lang="pt-BR" sz="800" i="0">
                  <a:latin typeface="Cambria Math" panose="02040503050406030204" pitchFamily="18" charset="0"/>
                </a:rPr>
                <a:t>(</a:t>
              </a:r>
              <a:r>
                <a:rPr lang="pt-BR" sz="800" b="0" i="0">
                  <a:latin typeface="Cambria Math" panose="02040503050406030204" pitchFamily="18" charset="0"/>
                </a:rPr>
                <a:t>Patrim</a:t>
              </a:r>
              <a:r>
                <a:rPr lang="pt-BR" sz="800" i="0">
                  <a:latin typeface="Cambria Math" panose="02040503050406030204" pitchFamily="18" charset="0"/>
                </a:rPr>
                <a:t>ô</a:t>
              </a:r>
              <a:r>
                <a:rPr lang="pt-BR" sz="800" b="0" i="0">
                  <a:latin typeface="Cambria Math" panose="02040503050406030204" pitchFamily="18" charset="0"/>
                </a:rPr>
                <a:t>nio de refer</a:t>
              </a:r>
              <a:r>
                <a:rPr lang="pt-BR" sz="800" i="0">
                  <a:latin typeface="Cambria Math" panose="02040503050406030204" pitchFamily="18" charset="0"/>
                </a:rPr>
                <a:t>ê</a:t>
              </a:r>
              <a:r>
                <a:rPr lang="pt-BR" sz="800" b="0" i="0">
                  <a:latin typeface="Cambria Math" panose="02040503050406030204" pitchFamily="18" charset="0"/>
                </a:rPr>
                <a:t>ncia n</a:t>
              </a:r>
              <a:r>
                <a:rPr lang="pt-BR" sz="800" i="0">
                  <a:latin typeface="Cambria Math" panose="02040503050406030204" pitchFamily="18" charset="0"/>
                </a:rPr>
                <a:t>í</a:t>
              </a:r>
              <a:r>
                <a:rPr lang="pt-BR" sz="800" b="0" i="0">
                  <a:latin typeface="Cambria Math" panose="02040503050406030204" pitchFamily="18" charset="0"/>
                </a:rPr>
                <a:t>vel I)/(Ativos ponderados por risco)</a:t>
              </a:r>
              <a:endParaRPr lang="pt-BR" sz="800">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cobertura:</a:t>
              </a:r>
            </a:p>
            <a:p>
              <a:endParaRPr lang="en-US" sz="8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r>
                <a:rPr lang="pt-BR" sz="800" i="0">
                  <a:latin typeface="Cambria Math" panose="02040503050406030204" pitchFamily="18" charset="0"/>
                </a:rPr>
                <a:t>(</a:t>
              </a:r>
              <a:r>
                <a:rPr lang="pt-BR" sz="800" b="0" i="0">
                  <a:latin typeface="Cambria Math" panose="02040503050406030204" pitchFamily="18" charset="0"/>
                </a:rPr>
                <a:t>Provis</a:t>
              </a:r>
              <a:r>
                <a:rPr lang="pt-BR" sz="800" i="0">
                  <a:latin typeface="Cambria Math" panose="02040503050406030204" pitchFamily="18" charset="0"/>
                </a:rPr>
                <a:t>ã</a:t>
              </a:r>
              <a:r>
                <a:rPr lang="pt-BR" sz="800" b="0" i="0">
                  <a:latin typeface="Cambria Math" panose="02040503050406030204" pitchFamily="18" charset="0"/>
                </a:rPr>
                <a:t>o de perdas esperadas)/(</a:t>
              </a:r>
              <a:r>
                <a:rPr lang="pt-BR" sz="800" i="0">
                  <a:latin typeface="Cambria Math" panose="02040503050406030204" pitchFamily="18" charset="0"/>
                </a:rPr>
                <a:t>NPL&gt; 90 dias)  </a:t>
              </a:r>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Funding:</a:t>
              </a:r>
            </a:p>
            <a:p>
              <a:endParaRPr lang="pt-BR" sz="800" b="1">
                <a:latin typeface="Calibri" panose="020F0502020204030204" pitchFamily="34" charset="0"/>
                <a:cs typeface="Calibri" panose="020F0502020204030204" pitchFamily="34" charset="0"/>
              </a:endParaRPr>
            </a:p>
            <a:p>
              <a:pP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D</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ep</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ó</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sitos à vista+dep</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ó</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sitos a prazo+t</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í</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tulos emitidos+credores por recursos a liberar</a:t>
              </a:r>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Índice de basiléia:</a:t>
              </a:r>
            </a:p>
            <a:p>
              <a:endParaRPr lang="pt-BR" sz="800" b="1">
                <a:highlight>
                  <a:srgbClr val="FFFF00"/>
                </a:highlight>
                <a:latin typeface="Calibri" panose="020F0502020204030204" pitchFamily="34" charset="0"/>
                <a:cs typeface="Calibri" panose="020F0502020204030204" pitchFamily="34" charset="0"/>
              </a:endParaRPr>
            </a:p>
            <a:p>
              <a:pPr algn="ctr"/>
              <a:r>
                <a:rPr lang="pt-BR" sz="800" i="0">
                  <a:latin typeface="Cambria Math" panose="02040503050406030204" pitchFamily="18" charset="0"/>
                </a:rPr>
                <a:t>(</a:t>
              </a:r>
              <a:r>
                <a:rPr lang="pt-BR" sz="800" b="0" i="0">
                  <a:latin typeface="Cambria Math" panose="02040503050406030204" pitchFamily="18" charset="0"/>
                </a:rPr>
                <a:t>Patrim</a:t>
              </a:r>
              <a:r>
                <a:rPr lang="pt-BR" sz="800" i="0">
                  <a:latin typeface="Cambria Math" panose="02040503050406030204" pitchFamily="18" charset="0"/>
                </a:rPr>
                <a:t>ô</a:t>
              </a:r>
              <a:r>
                <a:rPr lang="pt-BR" sz="800" b="0" i="0">
                  <a:latin typeface="Cambria Math" panose="02040503050406030204" pitchFamily="18" charset="0"/>
                </a:rPr>
                <a:t>nio de refer</a:t>
              </a:r>
              <a:r>
                <a:rPr lang="pt-BR" sz="800" i="0">
                  <a:latin typeface="Cambria Math" panose="02040503050406030204" pitchFamily="18" charset="0"/>
                </a:rPr>
                <a:t>ê</a:t>
              </a:r>
              <a:r>
                <a:rPr lang="pt-BR" sz="800" b="0" i="0">
                  <a:latin typeface="Cambria Math" panose="02040503050406030204" pitchFamily="18" charset="0"/>
                </a:rPr>
                <a:t>ncia n</a:t>
              </a:r>
              <a:r>
                <a:rPr lang="pt-BR" sz="800" i="0">
                  <a:latin typeface="Cambria Math" panose="02040503050406030204" pitchFamily="18" charset="0"/>
                </a:rPr>
                <a:t>í</a:t>
              </a:r>
              <a:r>
                <a:rPr lang="pt-BR" sz="800" b="0" i="0">
                  <a:latin typeface="Cambria Math" panose="02040503050406030204" pitchFamily="18" charset="0"/>
                </a:rPr>
                <a:t>vel I)/(Ativos ponderados por risco)</a:t>
              </a:r>
              <a:endParaRPr lang="pt-BR" sz="800">
                <a:latin typeface="Calibri" panose="020F05020202040302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xdr:txBody>
        </xdr:sp>
      </mc:Fallback>
    </mc:AlternateContent>
    <xdr:clientData/>
  </xdr:twoCellAnchor>
  <xdr:twoCellAnchor>
    <xdr:from>
      <xdr:col>8</xdr:col>
      <xdr:colOff>135270</xdr:colOff>
      <xdr:row>140</xdr:row>
      <xdr:rowOff>86591</xdr:rowOff>
    </xdr:from>
    <xdr:to>
      <xdr:col>15</xdr:col>
      <xdr:colOff>111552</xdr:colOff>
      <xdr:row>171</xdr:row>
      <xdr:rowOff>33303</xdr:rowOff>
    </xdr:to>
    <mc:AlternateContent xmlns:mc="http://schemas.openxmlformats.org/markup-compatibility/2006" xmlns:a14="http://schemas.microsoft.com/office/drawing/2010/main">
      <mc:Choice Requires="a14">
        <xdr:sp macro="" textlink="">
          <xdr:nvSpPr>
            <xdr:cNvPr id="50" name="Retângulo 9">
              <a:extLst>
                <a:ext uri="{FF2B5EF4-FFF2-40B4-BE49-F238E27FC236}">
                  <a16:creationId xmlns:a16="http://schemas.microsoft.com/office/drawing/2014/main" id="{00000000-0008-0000-1600-000032000000}"/>
                </a:ext>
              </a:extLst>
            </xdr:cNvPr>
            <xdr:cNvSpPr/>
          </xdr:nvSpPr>
          <xdr:spPr>
            <a:xfrm>
              <a:off x="6761357" y="25854707"/>
              <a:ext cx="5774108" cy="565250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cobertura:</a:t>
              </a:r>
            </a:p>
            <a:p>
              <a:endParaRPr lang="en-US" sz="8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b="0" i="0">
                            <a:latin typeface="Cambria Math" panose="02040503050406030204" pitchFamily="18" charset="0"/>
                          </a:rPr>
                          <m:t>Provis</m:t>
                        </m:r>
                        <m:r>
                          <a:rPr lang="pt-BR" sz="800" i="0">
                            <a:latin typeface="Cambria Math" panose="02040503050406030204" pitchFamily="18" charset="0"/>
                          </a:rPr>
                          <m:t>ã</m:t>
                        </m:r>
                        <m:r>
                          <m:rPr>
                            <m:sty m:val="p"/>
                          </m:rPr>
                          <a:rPr lang="pt-BR" sz="800" b="0" i="0">
                            <a:latin typeface="Cambria Math" panose="02040503050406030204" pitchFamily="18" charset="0"/>
                          </a:rPr>
                          <m:t>o</m:t>
                        </m:r>
                        <m:r>
                          <a:rPr lang="pt-BR" sz="800" b="0" i="0">
                            <a:latin typeface="Cambria Math" panose="02040503050406030204" pitchFamily="18" charset="0"/>
                          </a:rPr>
                          <m:t> </m:t>
                        </m:r>
                        <m:r>
                          <m:rPr>
                            <m:sty m:val="p"/>
                          </m:rPr>
                          <a:rPr lang="pt-BR" sz="800" b="0" i="0">
                            <a:latin typeface="Cambria Math" panose="02040503050406030204" pitchFamily="18" charset="0"/>
                          </a:rPr>
                          <m:t>de</m:t>
                        </m:r>
                        <m:r>
                          <a:rPr lang="pt-BR" sz="800" b="0" i="0">
                            <a:latin typeface="Cambria Math" panose="02040503050406030204" pitchFamily="18" charset="0"/>
                          </a:rPr>
                          <m:t> </m:t>
                        </m:r>
                        <m:r>
                          <m:rPr>
                            <m:sty m:val="p"/>
                          </m:rPr>
                          <a:rPr lang="pt-BR" sz="800" b="0" i="0">
                            <a:latin typeface="Cambria Math" panose="02040503050406030204" pitchFamily="18" charset="0"/>
                          </a:rPr>
                          <m:t>perdas</m:t>
                        </m:r>
                        <m:r>
                          <a:rPr lang="pt-BR" sz="800" b="0" i="0">
                            <a:latin typeface="Cambria Math" panose="02040503050406030204" pitchFamily="18" charset="0"/>
                          </a:rPr>
                          <m:t> </m:t>
                        </m:r>
                        <m:r>
                          <m:rPr>
                            <m:sty m:val="p"/>
                          </m:rPr>
                          <a:rPr lang="pt-BR" sz="800" b="0" i="0">
                            <a:latin typeface="Cambria Math" panose="02040503050406030204" pitchFamily="18" charset="0"/>
                          </a:rPr>
                          <m:t>esperadas</m:t>
                        </m:r>
                      </m:num>
                      <m:den>
                        <m:r>
                          <m:rPr>
                            <m:sty m:val="p"/>
                          </m:rPr>
                          <a:rPr lang="pt-BR" sz="800" i="0">
                            <a:latin typeface="Cambria Math" panose="02040503050406030204" pitchFamily="18" charset="0"/>
                          </a:rPr>
                          <m:t>NPL</m:t>
                        </m:r>
                        <m:r>
                          <a:rPr lang="pt-BR" sz="800" i="0">
                            <a:latin typeface="Cambria Math" panose="02040503050406030204" pitchFamily="18" charset="0"/>
                          </a:rPr>
                          <m:t>&gt; 90 </m:t>
                        </m:r>
                        <m:r>
                          <m:rPr>
                            <m:sty m:val="p"/>
                          </m:rPr>
                          <a:rPr lang="pt-BR" sz="800" i="0">
                            <a:latin typeface="Cambria Math" panose="02040503050406030204" pitchFamily="18" charset="0"/>
                          </a:rPr>
                          <m:t>dias</m:t>
                        </m:r>
                      </m:den>
                    </m:f>
                  </m:oMath>
                </m:oMathPara>
              </a14:m>
              <a:endParaRPr lang="en-US" sz="800">
                <a:latin typeface="Calibri" panose="020F0502020204030204" pitchFamily="34" charset="0"/>
                <a:ea typeface="Inter Light BETA" panose="020B04020300000000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eficiência:</a:t>
              </a:r>
            </a:p>
            <a:p>
              <a:pPr algn="ctr"/>
              <a:endParaRPr lang="en-US" sz="800">
                <a:latin typeface="Calibri" panose="020F0502020204030204" pitchFamily="34" charset="0"/>
                <a:ea typeface="Inter" panose="020B05020300000000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eqArr>
                          <m:eqArrPr>
                            <m:ctrlPr>
                              <a:rPr lang="pt-BR" sz="800" i="1">
                                <a:latin typeface="Cambria Math" panose="02040503050406030204" pitchFamily="18" charset="0"/>
                              </a:rPr>
                            </m:ctrlPr>
                          </m:eqArrPr>
                          <m:e>
                            <m:r>
                              <a:rPr lang="pt-BR" sz="800" i="0">
                                <a:latin typeface="Cambria Math" panose="02040503050406030204" pitchFamily="18" charset="0"/>
                              </a:rPr>
                              <m:t> </m:t>
                            </m:r>
                          </m:e>
                          <m:e>
                            <m:r>
                              <m:rPr>
                                <m:sty m:val="p"/>
                              </m:rPr>
                              <a:rPr lang="pt-BR" sz="800" i="0">
                                <a:latin typeface="Cambria Math" panose="02040503050406030204" pitchFamily="18" charset="0"/>
                              </a:rPr>
                              <m:t>Despesa</m:t>
                            </m:r>
                            <m:r>
                              <a:rPr lang="pt-BR" sz="800" i="0">
                                <a:latin typeface="Cambria Math" panose="02040503050406030204" pitchFamily="18" charset="0"/>
                              </a:rPr>
                              <m:t> </m:t>
                            </m:r>
                            <m:r>
                              <m:rPr>
                                <m:sty m:val="p"/>
                              </m:rPr>
                              <a:rPr lang="pt-BR" sz="800" i="0">
                                <a:latin typeface="Cambria Math" panose="02040503050406030204" pitchFamily="18" charset="0"/>
                              </a:rPr>
                              <m:t>de</m:t>
                            </m:r>
                            <m:r>
                              <a:rPr lang="pt-BR" sz="800" i="0">
                                <a:latin typeface="Cambria Math" panose="02040503050406030204" pitchFamily="18" charset="0"/>
                              </a:rPr>
                              <m:t> </m:t>
                            </m:r>
                            <m:r>
                              <m:rPr>
                                <m:sty m:val="p"/>
                              </m:rPr>
                              <a:rPr lang="pt-BR" sz="800" i="0">
                                <a:latin typeface="Cambria Math" panose="02040503050406030204" pitchFamily="18" charset="0"/>
                              </a:rPr>
                              <m:t>pessoal</m:t>
                            </m:r>
                            <m:r>
                              <a:rPr lang="pt-BR" sz="800" i="0">
                                <a:latin typeface="Cambria Math" panose="02040503050406030204" pitchFamily="18" charset="0"/>
                              </a:rPr>
                              <m:t>+</m:t>
                            </m:r>
                            <m:r>
                              <m:rPr>
                                <m:sty m:val="p"/>
                              </m:rPr>
                              <a:rPr lang="pt-BR" sz="800">
                                <a:latin typeface="Cambria Math" panose="02040503050406030204" pitchFamily="18" charset="0"/>
                              </a:rPr>
                              <m:t>Despesas</m:t>
                            </m:r>
                            <m:r>
                              <a:rPr lang="pt-BR" sz="800">
                                <a:latin typeface="Cambria Math" panose="02040503050406030204" pitchFamily="18" charset="0"/>
                              </a:rPr>
                              <m:t> </m:t>
                            </m:r>
                            <m:r>
                              <m:rPr>
                                <m:sty m:val="p"/>
                              </m:rPr>
                              <a:rPr lang="pt-BR" sz="800">
                                <a:latin typeface="Cambria Math" panose="02040503050406030204" pitchFamily="18" charset="0"/>
                              </a:rPr>
                              <m:t>administrativas</m:t>
                            </m:r>
                            <m:r>
                              <a:rPr lang="pt-BR" sz="800" b="0" i="0">
                                <a:latin typeface="Cambria Math" panose="02040503050406030204" pitchFamily="18" charset="0"/>
                              </a:rPr>
                              <m:t>+</m:t>
                            </m:r>
                            <m:r>
                              <m:rPr>
                                <m:sty m:val="p"/>
                              </m:rPr>
                              <a:rPr lang="pt-BR" sz="800" b="0" i="0">
                                <a:latin typeface="Cambria Math" panose="02040503050406030204" pitchFamily="18" charset="0"/>
                              </a:rPr>
                              <m:t>Deprecia</m:t>
                            </m:r>
                            <m:r>
                              <a:rPr lang="pt-BR" sz="800" i="0">
                                <a:latin typeface="Cambria Math" panose="02040503050406030204" pitchFamily="18" charset="0"/>
                              </a:rPr>
                              <m:t>çã</m:t>
                            </m:r>
                            <m:r>
                              <m:rPr>
                                <m:sty m:val="p"/>
                              </m:rPr>
                              <a:rPr lang="pt-BR" sz="800" b="0" i="0">
                                <a:latin typeface="Cambria Math" panose="02040503050406030204" pitchFamily="18" charset="0"/>
                              </a:rPr>
                              <m:t>o</m:t>
                            </m:r>
                            <m:r>
                              <a:rPr lang="pt-BR" sz="800" b="0" i="0">
                                <a:latin typeface="Cambria Math" panose="02040503050406030204" pitchFamily="18" charset="0"/>
                              </a:rPr>
                              <m:t> </m:t>
                            </m:r>
                            <m:r>
                              <m:rPr>
                                <m:sty m:val="p"/>
                              </m:rPr>
                              <a:rPr lang="pt-BR" sz="800" b="0" i="0">
                                <a:latin typeface="Cambria Math" panose="02040503050406030204" pitchFamily="18" charset="0"/>
                              </a:rPr>
                              <m:t>e</m:t>
                            </m:r>
                            <m:r>
                              <a:rPr lang="pt-BR" sz="800" b="0" i="0">
                                <a:latin typeface="Cambria Math" panose="02040503050406030204" pitchFamily="18" charset="0"/>
                              </a:rPr>
                              <m:t> </m:t>
                            </m:r>
                            <m:r>
                              <m:rPr>
                                <m:sty m:val="p"/>
                              </m:rPr>
                              <a:rPr lang="pt-BR" sz="800" b="0" i="0">
                                <a:latin typeface="Cambria Math" panose="02040503050406030204" pitchFamily="18" charset="0"/>
                              </a:rPr>
                              <m:t>amortiza</m:t>
                            </m:r>
                            <m:r>
                              <a:rPr lang="pt-BR" sz="800" i="0">
                                <a:latin typeface="Cambria Math" panose="02040503050406030204" pitchFamily="18" charset="0"/>
                              </a:rPr>
                              <m:t>çã</m:t>
                            </m:r>
                            <m:r>
                              <m:rPr>
                                <m:sty m:val="p"/>
                              </m:rPr>
                              <a:rPr lang="pt-BR" sz="800" b="0" i="0">
                                <a:latin typeface="Cambria Math" panose="02040503050406030204" pitchFamily="18" charset="0"/>
                              </a:rPr>
                              <m:t>o</m:t>
                            </m:r>
                          </m:e>
                        </m:eqArr>
                      </m:num>
                      <m:den>
                        <m:eqArr>
                          <m:eqArrPr>
                            <m:ctrlPr>
                              <a:rPr lang="pt-BR" sz="800" i="1">
                                <a:latin typeface="Cambria Math" panose="02040503050406030204" pitchFamily="18" charset="0"/>
                              </a:rPr>
                            </m:ctrlPr>
                          </m:eqArrPr>
                          <m:e>
                            <m:r>
                              <m:rPr>
                                <m:sty m:val="p"/>
                              </m:rPr>
                              <a:rPr lang="pt-BR" sz="800">
                                <a:latin typeface="Cambria Math" panose="02040503050406030204" pitchFamily="18" charset="0"/>
                              </a:rPr>
                              <m:t>Receita</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juros</m:t>
                            </m:r>
                            <m:r>
                              <a:rPr lang="pt-BR" sz="800">
                                <a:latin typeface="Cambria Math" panose="02040503050406030204" pitchFamily="18" charset="0"/>
                              </a:rPr>
                              <m:t>+</m:t>
                            </m:r>
                            <m:r>
                              <m:rPr>
                                <m:sty m:val="p"/>
                              </m:rPr>
                              <a:rPr lang="pt-BR" sz="800">
                                <a:latin typeface="Cambria Math" panose="02040503050406030204" pitchFamily="18" charset="0"/>
                              </a:rPr>
                              <m:t>Resultado</m:t>
                            </m:r>
                            <m:r>
                              <a:rPr lang="pt-BR" sz="800">
                                <a:latin typeface="Cambria Math" panose="02040503050406030204" pitchFamily="18" charset="0"/>
                              </a:rPr>
                              <m:t> </m:t>
                            </m:r>
                            <m:r>
                              <m:rPr>
                                <m:sty m:val="p"/>
                              </m:rPr>
                              <a:rPr lang="pt-BR" sz="800">
                                <a:latin typeface="Cambria Math" panose="02040503050406030204" pitchFamily="18" charset="0"/>
                              </a:rPr>
                              <m:t>l</m:t>
                            </m:r>
                            <m:r>
                              <a:rPr lang="pt-BR" sz="800">
                                <a:latin typeface="Cambria Math" panose="02040503050406030204" pitchFamily="18" charset="0"/>
                              </a:rPr>
                              <m:t>í</m:t>
                            </m:r>
                            <m:r>
                              <m:rPr>
                                <m:sty m:val="p"/>
                              </m:rPr>
                              <a:rPr lang="pt-BR" sz="800">
                                <a:latin typeface="Cambria Math" panose="02040503050406030204" pitchFamily="18" charset="0"/>
                              </a:rPr>
                              <m:t>quido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servi</m:t>
                            </m:r>
                            <m:r>
                              <a:rPr lang="pt-BR" sz="800">
                                <a:latin typeface="Cambria Math" panose="02040503050406030204" pitchFamily="18" charset="0"/>
                              </a:rPr>
                              <m:t>ç</m:t>
                            </m:r>
                            <m:r>
                              <m:rPr>
                                <m:sty m:val="p"/>
                              </m:rPr>
                              <a:rPr lang="pt-BR" sz="800">
                                <a:latin typeface="Cambria Math" panose="02040503050406030204" pitchFamily="18" charset="0"/>
                              </a:rPr>
                              <m:t>os</m:t>
                            </m:r>
                            <m:r>
                              <a:rPr lang="pt-BR" sz="800">
                                <a:latin typeface="Cambria Math" panose="02040503050406030204" pitchFamily="18" charset="0"/>
                              </a:rPr>
                              <m:t> </m:t>
                            </m:r>
                            <m:r>
                              <m:rPr>
                                <m:sty m:val="p"/>
                              </m:rPr>
                              <a:rPr lang="pt-BR" sz="800">
                                <a:latin typeface="Cambria Math" panose="02040503050406030204" pitchFamily="18" charset="0"/>
                              </a:rPr>
                              <m:t>e</m:t>
                            </m:r>
                            <m:r>
                              <a:rPr lang="pt-BR" sz="800">
                                <a:latin typeface="Cambria Math" panose="02040503050406030204" pitchFamily="18" charset="0"/>
                              </a:rPr>
                              <m:t> </m:t>
                            </m:r>
                            <m:r>
                              <m:rPr>
                                <m:sty m:val="p"/>
                              </m:rPr>
                              <a:rPr lang="pt-BR" sz="800">
                                <a:latin typeface="Cambria Math" panose="02040503050406030204" pitchFamily="18" charset="0"/>
                              </a:rPr>
                              <m:t>comiss</m:t>
                            </m:r>
                            <m:r>
                              <a:rPr lang="pt-BR" sz="800">
                                <a:latin typeface="Cambria Math" panose="02040503050406030204" pitchFamily="18" charset="0"/>
                              </a:rPr>
                              <m:t>õ</m:t>
                            </m:r>
                            <m:r>
                              <m:rPr>
                                <m:sty m:val="p"/>
                              </m:rPr>
                              <a:rPr lang="pt-BR" sz="800">
                                <a:latin typeface="Cambria Math" panose="02040503050406030204" pitchFamily="18" charset="0"/>
                              </a:rPr>
                              <m:t>es</m:t>
                            </m:r>
                            <m:r>
                              <a:rPr lang="pt-BR" sz="800">
                                <a:latin typeface="Cambria Math" panose="02040503050406030204" pitchFamily="18" charset="0"/>
                              </a:rPr>
                              <m:t>+</m:t>
                            </m:r>
                            <m:r>
                              <m:rPr>
                                <m:nor/>
                              </m:rPr>
                              <a:rPr lang="pt-BR" sz="800">
                                <a:latin typeface="Calibri" panose="020F0502020204030204" pitchFamily="34" charset="0"/>
                                <a:cs typeface="Calibri" panose="020F0502020204030204" pitchFamily="34" charset="0"/>
                              </a:rPr>
                              <m:t> </m:t>
                            </m:r>
                            <m:r>
                              <m:rPr>
                                <m:sty m:val="p"/>
                              </m:rPr>
                              <a:rPr lang="en-US" sz="800">
                                <a:latin typeface="Cambria Math" panose="02040503050406030204" pitchFamily="18" charset="0"/>
                                <a:cs typeface="Sora" pitchFamily="2" charset="0"/>
                              </a:rPr>
                              <m:t>Re</m:t>
                            </m:r>
                            <m:r>
                              <m:rPr>
                                <m:sty m:val="p"/>
                              </m:rPr>
                              <a:rPr lang="pt-BR" sz="800">
                                <a:latin typeface="Cambria Math" panose="02040503050406030204" pitchFamily="18" charset="0"/>
                                <a:cs typeface="Sora" pitchFamily="2" charset="0"/>
                              </a:rPr>
                              <m:t>sultado</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t</m:t>
                            </m:r>
                            <m:r>
                              <a:rPr lang="en-US" sz="800">
                                <a:latin typeface="Cambria Math" panose="02040503050406030204" pitchFamily="18" charset="0"/>
                                <a:cs typeface="Sora" pitchFamily="2" charset="0"/>
                              </a:rPr>
                              <m:t>í</m:t>
                            </m:r>
                            <m:r>
                              <m:rPr>
                                <m:sty m:val="p"/>
                              </m:rPr>
                              <a:rPr lang="en-US" sz="800">
                                <a:latin typeface="Cambria Math" panose="02040503050406030204" pitchFamily="18" charset="0"/>
                                <a:cs typeface="Sora" pitchFamily="2" charset="0"/>
                              </a:rPr>
                              <m:t>tulos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e</m:t>
                            </m:r>
                            <m:r>
                              <a:rPr lang="pt-BR" sz="800" b="0" i="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valores</m:t>
                            </m:r>
                            <m:r>
                              <a:rPr lang="pt-BR" sz="800" b="0" i="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mobili</m:t>
                            </m:r>
                            <m:r>
                              <a:rPr lang="en-US" sz="800">
                                <a:latin typeface="Cambria Math" panose="02040503050406030204" pitchFamily="18" charset="0"/>
                                <a:cs typeface="Sora" pitchFamily="2" charset="0"/>
                              </a:rPr>
                              <m:t>á</m:t>
                            </m:r>
                            <m:r>
                              <m:rPr>
                                <m:sty m:val="p"/>
                              </m:rPr>
                              <a:rPr lang="en-US" sz="800">
                                <a:latin typeface="Cambria Math" panose="02040503050406030204" pitchFamily="18" charset="0"/>
                                <a:cs typeface="Sora" pitchFamily="2" charset="0"/>
                              </a:rPr>
                              <m:t>rios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derivativos</m:t>
                            </m:r>
                            <m:r>
                              <a:rPr lang="pt-BR" sz="800">
                                <a:latin typeface="Cambria Math" panose="02040503050406030204" pitchFamily="18" charset="0"/>
                              </a:rPr>
                              <m:t>+ </m:t>
                            </m:r>
                            <m:r>
                              <m:rPr>
                                <m:sty m:val="p"/>
                              </m:rPr>
                              <a:rPr lang="pt-BR" sz="800">
                                <a:latin typeface="Cambria Math" panose="02040503050406030204" pitchFamily="18" charset="0"/>
                              </a:rPr>
                              <m:t>Outras</m:t>
                            </m:r>
                          </m:e>
                          <m:e>
                            <m:r>
                              <m:rPr>
                                <m:sty m:val="p"/>
                              </m:rPr>
                              <a:rPr lang="pt-BR" sz="800">
                                <a:latin typeface="Cambria Math" panose="02040503050406030204" pitchFamily="18" charset="0"/>
                              </a:rPr>
                              <m:t>receitas</m:t>
                            </m:r>
                            <m:r>
                              <a:rPr lang="pt-BR" sz="800">
                                <a:latin typeface="Cambria Math" panose="02040503050406030204" pitchFamily="18" charset="0"/>
                              </a:rPr>
                              <m:t>−</m:t>
                            </m:r>
                            <m:r>
                              <m:rPr>
                                <m:sty m:val="p"/>
                              </m:rPr>
                              <a:rPr lang="pt-BR" sz="800">
                                <a:latin typeface="Cambria Math" panose="02040503050406030204" pitchFamily="18" charset="0"/>
                              </a:rPr>
                              <m:t>Despesas</m:t>
                            </m:r>
                            <m:r>
                              <a:rPr lang="pt-BR" sz="800">
                                <a:latin typeface="Cambria Math" panose="02040503050406030204" pitchFamily="18" charset="0"/>
                              </a:rPr>
                              <m:t> </m:t>
                            </m:r>
                            <m:r>
                              <m:rPr>
                                <m:sty m:val="p"/>
                              </m:rPr>
                              <a:rPr lang="pt-BR" sz="800">
                                <a:latin typeface="Cambria Math" panose="02040503050406030204" pitchFamily="18" charset="0"/>
                              </a:rPr>
                              <m:t>tribut</m:t>
                            </m:r>
                            <m:r>
                              <a:rPr lang="pt-BR" sz="800">
                                <a:latin typeface="Cambria Math" panose="02040503050406030204" pitchFamily="18" charset="0"/>
                              </a:rPr>
                              <m:t>á</m:t>
                            </m:r>
                            <m:r>
                              <m:rPr>
                                <m:sty m:val="p"/>
                              </m:rPr>
                              <a:rPr lang="pt-BR" sz="800">
                                <a:latin typeface="Cambria Math" panose="02040503050406030204" pitchFamily="18" charset="0"/>
                              </a:rPr>
                              <m:t>rias</m:t>
                            </m:r>
                            <m:r>
                              <m:rPr>
                                <m:nor/>
                              </m:rPr>
                              <a:rPr lang="pt-BR" sz="800">
                                <a:latin typeface="Calibri" panose="020F0502020204030204" pitchFamily="34" charset="0"/>
                                <a:cs typeface="Calibri" panose="020F0502020204030204" pitchFamily="34" charset="0"/>
                              </a:rPr>
                              <m:t> </m:t>
                            </m:r>
                          </m:e>
                        </m:eqArr>
                      </m:den>
                    </m:f>
                    <m:r>
                      <a:rPr lang="pt-BR" sz="800" i="1">
                        <a:latin typeface="Cambria Math" panose="02040503050406030204" pitchFamily="18" charset="0"/>
                      </a:rPr>
                      <m:t> </m:t>
                    </m:r>
                  </m:oMath>
                </m:oMathPara>
              </a14:m>
              <a:endParaRPr lang="en-US" sz="800" b="1">
                <a:latin typeface="Calibri" panose="020F0502020204030204" pitchFamily="34" charset="0"/>
                <a:cs typeface="Calibri" panose="020F0502020204030204" pitchFamily="34" charset="0"/>
              </a:endParaRPr>
            </a:p>
            <a:p>
              <a:pPr algn="ct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eficiência administrativo:</a:t>
              </a:r>
            </a:p>
            <a:p>
              <a:pPr algn="ctr"/>
              <a:endParaRPr lang="en-US" sz="800">
                <a:latin typeface="Calibri" panose="020F0502020204030204" pitchFamily="34" charset="0"/>
                <a:ea typeface="Inter" panose="020B05020300000000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a:latin typeface="Cambria Math" panose="02040503050406030204" pitchFamily="18" charset="0"/>
                          </a:rPr>
                          <m:t>Despesas</m:t>
                        </m:r>
                        <m:r>
                          <a:rPr lang="pt-BR" sz="800">
                            <a:latin typeface="Cambria Math" panose="02040503050406030204" pitchFamily="18" charset="0"/>
                          </a:rPr>
                          <m:t> </m:t>
                        </m:r>
                        <m:r>
                          <m:rPr>
                            <m:sty m:val="p"/>
                          </m:rPr>
                          <a:rPr lang="pt-BR" sz="800">
                            <a:latin typeface="Cambria Math" panose="02040503050406030204" pitchFamily="18" charset="0"/>
                          </a:rPr>
                          <m:t>administrativas</m:t>
                        </m:r>
                        <m:r>
                          <a:rPr lang="pt-BR" sz="800">
                            <a:latin typeface="Cambria Math" panose="02040503050406030204" pitchFamily="18" charset="0"/>
                          </a:rPr>
                          <m:t>+</m:t>
                        </m:r>
                        <m:r>
                          <m:rPr>
                            <m:sty m:val="p"/>
                          </m:rPr>
                          <a:rPr lang="pt-BR" sz="800">
                            <a:latin typeface="Cambria Math" panose="02040503050406030204" pitchFamily="18" charset="0"/>
                          </a:rPr>
                          <m:t>Deprecia</m:t>
                        </m:r>
                        <m:r>
                          <a:rPr lang="pt-BR" sz="800">
                            <a:latin typeface="Cambria Math" panose="02040503050406030204" pitchFamily="18" charset="0"/>
                          </a:rPr>
                          <m:t>çã</m:t>
                        </m:r>
                        <m:r>
                          <m:rPr>
                            <m:sty m:val="p"/>
                          </m:rPr>
                          <a:rPr lang="pt-BR" sz="800">
                            <a:latin typeface="Cambria Math" panose="02040503050406030204" pitchFamily="18" charset="0"/>
                          </a:rPr>
                          <m:t>o</m:t>
                        </m:r>
                        <m:r>
                          <a:rPr lang="pt-BR" sz="800">
                            <a:latin typeface="Cambria Math" panose="02040503050406030204" pitchFamily="18" charset="0"/>
                          </a:rPr>
                          <m:t> </m:t>
                        </m:r>
                        <m:r>
                          <m:rPr>
                            <m:sty m:val="p"/>
                          </m:rPr>
                          <a:rPr lang="pt-BR" sz="800">
                            <a:latin typeface="Cambria Math" panose="02040503050406030204" pitchFamily="18" charset="0"/>
                          </a:rPr>
                          <m:t>e</m:t>
                        </m:r>
                        <m:r>
                          <a:rPr lang="pt-BR" sz="800">
                            <a:latin typeface="Cambria Math" panose="02040503050406030204" pitchFamily="18" charset="0"/>
                          </a:rPr>
                          <m:t> </m:t>
                        </m:r>
                        <m:r>
                          <m:rPr>
                            <m:sty m:val="p"/>
                          </m:rPr>
                          <a:rPr lang="pt-BR" sz="800">
                            <a:latin typeface="Cambria Math" panose="02040503050406030204" pitchFamily="18" charset="0"/>
                          </a:rPr>
                          <m:t>amortiza</m:t>
                        </m:r>
                        <m:r>
                          <a:rPr lang="pt-BR" sz="800">
                            <a:latin typeface="Cambria Math" panose="02040503050406030204" pitchFamily="18" charset="0"/>
                          </a:rPr>
                          <m:t>çã</m:t>
                        </m:r>
                        <m:r>
                          <m:rPr>
                            <m:sty m:val="p"/>
                          </m:rPr>
                          <a:rPr lang="pt-BR" sz="800">
                            <a:latin typeface="Cambria Math" panose="02040503050406030204" pitchFamily="18" charset="0"/>
                          </a:rPr>
                          <m:t>o</m:t>
                        </m:r>
                      </m:num>
                      <m:den>
                        <m:eqArr>
                          <m:eqArrPr>
                            <m:ctrlPr>
                              <a:rPr lang="pt-BR" sz="800" i="1">
                                <a:latin typeface="Cambria Math" panose="02040503050406030204" pitchFamily="18" charset="0"/>
                              </a:rPr>
                            </m:ctrlPr>
                          </m:eqArrPr>
                          <m:e>
                            <m:r>
                              <m:rPr>
                                <m:sty m:val="p"/>
                              </m:rPr>
                              <a:rPr lang="pt-BR" sz="800">
                                <a:latin typeface="Cambria Math" panose="02040503050406030204" pitchFamily="18" charset="0"/>
                              </a:rPr>
                              <m:t>Receita</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juros</m:t>
                            </m:r>
                            <m:r>
                              <a:rPr lang="pt-BR" sz="800">
                                <a:latin typeface="Cambria Math" panose="02040503050406030204" pitchFamily="18" charset="0"/>
                              </a:rPr>
                              <m:t>+</m:t>
                            </m:r>
                            <m:r>
                              <m:rPr>
                                <m:sty m:val="p"/>
                              </m:rPr>
                              <a:rPr lang="pt-BR" sz="800">
                                <a:latin typeface="Cambria Math" panose="02040503050406030204" pitchFamily="18" charset="0"/>
                              </a:rPr>
                              <m:t>Resultado</m:t>
                            </m:r>
                            <m:r>
                              <a:rPr lang="pt-BR" sz="800">
                                <a:latin typeface="Cambria Math" panose="02040503050406030204" pitchFamily="18" charset="0"/>
                              </a:rPr>
                              <m:t> </m:t>
                            </m:r>
                            <m:r>
                              <m:rPr>
                                <m:sty m:val="p"/>
                              </m:rPr>
                              <a:rPr lang="pt-BR" sz="800">
                                <a:latin typeface="Cambria Math" panose="02040503050406030204" pitchFamily="18" charset="0"/>
                              </a:rPr>
                              <m:t>l</m:t>
                            </m:r>
                            <m:r>
                              <a:rPr lang="pt-BR" sz="800">
                                <a:latin typeface="Cambria Math" panose="02040503050406030204" pitchFamily="18" charset="0"/>
                              </a:rPr>
                              <m:t>í</m:t>
                            </m:r>
                            <m:r>
                              <m:rPr>
                                <m:sty m:val="p"/>
                              </m:rPr>
                              <a:rPr lang="pt-BR" sz="800">
                                <a:latin typeface="Cambria Math" panose="02040503050406030204" pitchFamily="18" charset="0"/>
                              </a:rPr>
                              <m:t>quido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servi</m:t>
                            </m:r>
                            <m:r>
                              <a:rPr lang="pt-BR" sz="800">
                                <a:latin typeface="Cambria Math" panose="02040503050406030204" pitchFamily="18" charset="0"/>
                              </a:rPr>
                              <m:t>ç</m:t>
                            </m:r>
                            <m:r>
                              <m:rPr>
                                <m:sty m:val="p"/>
                              </m:rPr>
                              <a:rPr lang="pt-BR" sz="800">
                                <a:latin typeface="Cambria Math" panose="02040503050406030204" pitchFamily="18" charset="0"/>
                              </a:rPr>
                              <m:t>os</m:t>
                            </m:r>
                            <m:r>
                              <a:rPr lang="pt-BR" sz="800">
                                <a:latin typeface="Cambria Math" panose="02040503050406030204" pitchFamily="18" charset="0"/>
                              </a:rPr>
                              <m:t> </m:t>
                            </m:r>
                            <m:r>
                              <m:rPr>
                                <m:sty m:val="p"/>
                              </m:rPr>
                              <a:rPr lang="pt-BR" sz="800">
                                <a:latin typeface="Cambria Math" panose="02040503050406030204" pitchFamily="18" charset="0"/>
                              </a:rPr>
                              <m:t>e</m:t>
                            </m:r>
                            <m:r>
                              <a:rPr lang="pt-BR" sz="800">
                                <a:latin typeface="Cambria Math" panose="02040503050406030204" pitchFamily="18" charset="0"/>
                              </a:rPr>
                              <m:t> </m:t>
                            </m:r>
                            <m:r>
                              <m:rPr>
                                <m:sty m:val="p"/>
                              </m:rPr>
                              <a:rPr lang="pt-BR" sz="800">
                                <a:latin typeface="Cambria Math" panose="02040503050406030204" pitchFamily="18" charset="0"/>
                              </a:rPr>
                              <m:t>comiss</m:t>
                            </m:r>
                            <m:r>
                              <a:rPr lang="pt-BR" sz="800">
                                <a:latin typeface="Cambria Math" panose="02040503050406030204" pitchFamily="18" charset="0"/>
                              </a:rPr>
                              <m:t>õ</m:t>
                            </m:r>
                            <m:r>
                              <m:rPr>
                                <m:sty m:val="p"/>
                              </m:rPr>
                              <a:rPr lang="pt-BR" sz="800">
                                <a:latin typeface="Cambria Math" panose="02040503050406030204" pitchFamily="18" charset="0"/>
                              </a:rPr>
                              <m:t>es</m:t>
                            </m:r>
                            <m:r>
                              <a:rPr lang="pt-BR" sz="800">
                                <a:latin typeface="Cambria Math" panose="02040503050406030204" pitchFamily="18" charset="0"/>
                              </a:rPr>
                              <m:t>+</m:t>
                            </m:r>
                            <m:r>
                              <m:rPr>
                                <m:nor/>
                              </m:rPr>
                              <a:rPr lang="pt-BR" sz="800">
                                <a:latin typeface="Calibri" panose="020F0502020204030204" pitchFamily="34" charset="0"/>
                                <a:cs typeface="Calibri" panose="020F0502020204030204" pitchFamily="34" charset="0"/>
                              </a:rPr>
                              <m:t> </m:t>
                            </m:r>
                            <m:r>
                              <m:rPr>
                                <m:sty m:val="p"/>
                              </m:rPr>
                              <a:rPr lang="en-US" sz="800">
                                <a:latin typeface="Cambria Math" panose="02040503050406030204" pitchFamily="18" charset="0"/>
                                <a:cs typeface="Sora" pitchFamily="2" charset="0"/>
                              </a:rPr>
                              <m:t>Re</m:t>
                            </m:r>
                            <m:r>
                              <m:rPr>
                                <m:sty m:val="p"/>
                              </m:rPr>
                              <a:rPr lang="pt-BR" sz="800">
                                <a:latin typeface="Cambria Math" panose="02040503050406030204" pitchFamily="18" charset="0"/>
                                <a:cs typeface="Sora" pitchFamily="2" charset="0"/>
                              </a:rPr>
                              <m:t>sultado</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t</m:t>
                            </m:r>
                            <m:r>
                              <a:rPr lang="en-US" sz="800">
                                <a:latin typeface="Cambria Math" panose="02040503050406030204" pitchFamily="18" charset="0"/>
                                <a:cs typeface="Sora" pitchFamily="2" charset="0"/>
                              </a:rPr>
                              <m:t>í</m:t>
                            </m:r>
                            <m:r>
                              <m:rPr>
                                <m:sty m:val="p"/>
                              </m:rPr>
                              <a:rPr lang="en-US" sz="800">
                                <a:latin typeface="Cambria Math" panose="02040503050406030204" pitchFamily="18" charset="0"/>
                                <a:cs typeface="Sora" pitchFamily="2" charset="0"/>
                              </a:rPr>
                              <m:t>tulos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e</m:t>
                            </m:r>
                            <m:r>
                              <a:rPr lang="pt-BR" sz="800" b="0" i="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valores</m:t>
                            </m:r>
                            <m:r>
                              <a:rPr lang="pt-BR" sz="800" b="0" i="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mobili</m:t>
                            </m:r>
                            <m:r>
                              <a:rPr lang="en-US" sz="800">
                                <a:latin typeface="Cambria Math" panose="02040503050406030204" pitchFamily="18" charset="0"/>
                                <a:cs typeface="Sora" pitchFamily="2" charset="0"/>
                              </a:rPr>
                              <m:t>á</m:t>
                            </m:r>
                            <m:r>
                              <m:rPr>
                                <m:sty m:val="p"/>
                              </m:rPr>
                              <a:rPr lang="en-US" sz="800">
                                <a:latin typeface="Cambria Math" panose="02040503050406030204" pitchFamily="18" charset="0"/>
                                <a:cs typeface="Sora" pitchFamily="2" charset="0"/>
                              </a:rPr>
                              <m:t>rios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derivativos</m:t>
                            </m:r>
                            <m:r>
                              <a:rPr lang="pt-BR" sz="800">
                                <a:latin typeface="Cambria Math" panose="02040503050406030204" pitchFamily="18" charset="0"/>
                              </a:rPr>
                              <m:t>+ </m:t>
                            </m:r>
                            <m:r>
                              <m:rPr>
                                <m:sty m:val="p"/>
                              </m:rPr>
                              <a:rPr lang="pt-BR" sz="800">
                                <a:latin typeface="Cambria Math" panose="02040503050406030204" pitchFamily="18" charset="0"/>
                              </a:rPr>
                              <m:t>Outras</m:t>
                            </m:r>
                          </m:e>
                          <m:e>
                            <m:r>
                              <m:rPr>
                                <m:sty m:val="p"/>
                              </m:rPr>
                              <a:rPr lang="pt-BR" sz="800">
                                <a:latin typeface="Cambria Math" panose="02040503050406030204" pitchFamily="18" charset="0"/>
                              </a:rPr>
                              <m:t>receitas</m:t>
                            </m:r>
                            <m:r>
                              <a:rPr lang="pt-BR" sz="800">
                                <a:latin typeface="Cambria Math" panose="02040503050406030204" pitchFamily="18" charset="0"/>
                              </a:rPr>
                              <m:t>−</m:t>
                            </m:r>
                            <m:r>
                              <m:rPr>
                                <m:sty m:val="p"/>
                              </m:rPr>
                              <a:rPr lang="pt-BR" sz="800">
                                <a:latin typeface="Cambria Math" panose="02040503050406030204" pitchFamily="18" charset="0"/>
                              </a:rPr>
                              <m:t>Despesas</m:t>
                            </m:r>
                            <m:r>
                              <a:rPr lang="pt-BR" sz="800">
                                <a:latin typeface="Cambria Math" panose="02040503050406030204" pitchFamily="18" charset="0"/>
                              </a:rPr>
                              <m:t> </m:t>
                            </m:r>
                            <m:r>
                              <m:rPr>
                                <m:sty m:val="p"/>
                              </m:rPr>
                              <a:rPr lang="pt-BR" sz="800">
                                <a:latin typeface="Cambria Math" panose="02040503050406030204" pitchFamily="18" charset="0"/>
                              </a:rPr>
                              <m:t>tribut</m:t>
                            </m:r>
                            <m:r>
                              <a:rPr lang="pt-BR" sz="800">
                                <a:latin typeface="Cambria Math" panose="02040503050406030204" pitchFamily="18" charset="0"/>
                              </a:rPr>
                              <m:t>á</m:t>
                            </m:r>
                            <m:r>
                              <m:rPr>
                                <m:sty m:val="p"/>
                              </m:rPr>
                              <a:rPr lang="pt-BR" sz="800">
                                <a:latin typeface="Cambria Math" panose="02040503050406030204" pitchFamily="18" charset="0"/>
                              </a:rPr>
                              <m:t>rias</m:t>
                            </m:r>
                            <m:r>
                              <m:rPr>
                                <m:nor/>
                              </m:rPr>
                              <a:rPr lang="pt-BR" sz="800">
                                <a:latin typeface="Calibri" panose="020F0502020204030204" pitchFamily="34" charset="0"/>
                                <a:cs typeface="Calibri" panose="020F0502020204030204" pitchFamily="34" charset="0"/>
                              </a:rPr>
                              <m:t> </m:t>
                            </m:r>
                          </m:e>
                        </m:eqArr>
                      </m:den>
                    </m:f>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eficiência de pessoal:</a:t>
              </a:r>
            </a:p>
            <a:p>
              <a:pPr algn="ctr"/>
              <a:endParaRPr lang="en-US" sz="800">
                <a:latin typeface="Calibri" panose="020F0502020204030204" pitchFamily="34" charset="0"/>
                <a:ea typeface="Inter" panose="020B05020300000000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eqArr>
                          <m:eqArrPr>
                            <m:ctrlPr>
                              <a:rPr lang="pt-BR" sz="800" i="1">
                                <a:latin typeface="Cambria Math" panose="02040503050406030204" pitchFamily="18" charset="0"/>
                              </a:rPr>
                            </m:ctrlPr>
                          </m:eqArrPr>
                          <m:e>
                            <m:r>
                              <a:rPr lang="pt-BR" sz="800" i="0">
                                <a:latin typeface="Cambria Math" panose="02040503050406030204" pitchFamily="18" charset="0"/>
                              </a:rPr>
                              <m:t> </m:t>
                            </m:r>
                          </m:e>
                          <m:e>
                            <m:r>
                              <m:rPr>
                                <m:sty m:val="p"/>
                              </m:rPr>
                              <a:rPr lang="pt-BR" sz="800" i="0">
                                <a:latin typeface="Cambria Math" panose="02040503050406030204" pitchFamily="18" charset="0"/>
                              </a:rPr>
                              <m:t>Despesa</m:t>
                            </m:r>
                            <m:r>
                              <a:rPr lang="pt-BR" sz="800" i="0">
                                <a:latin typeface="Cambria Math" panose="02040503050406030204" pitchFamily="18" charset="0"/>
                              </a:rPr>
                              <m:t> </m:t>
                            </m:r>
                            <m:r>
                              <m:rPr>
                                <m:sty m:val="p"/>
                              </m:rPr>
                              <a:rPr lang="pt-BR" sz="800" i="0">
                                <a:latin typeface="Cambria Math" panose="02040503050406030204" pitchFamily="18" charset="0"/>
                              </a:rPr>
                              <m:t>de</m:t>
                            </m:r>
                            <m:r>
                              <a:rPr lang="pt-BR" sz="800" i="0">
                                <a:latin typeface="Cambria Math" panose="02040503050406030204" pitchFamily="18" charset="0"/>
                              </a:rPr>
                              <m:t> </m:t>
                            </m:r>
                            <m:r>
                              <m:rPr>
                                <m:sty m:val="p"/>
                              </m:rPr>
                              <a:rPr lang="pt-BR" sz="800" i="0">
                                <a:latin typeface="Cambria Math" panose="02040503050406030204" pitchFamily="18" charset="0"/>
                              </a:rPr>
                              <m:t>pessoal</m:t>
                            </m:r>
                          </m:e>
                        </m:eqArr>
                      </m:num>
                      <m:den>
                        <m:eqArr>
                          <m:eqArrPr>
                            <m:ctrlPr>
                              <a:rPr lang="pt-BR" sz="800" i="1">
                                <a:latin typeface="Cambria Math" panose="02040503050406030204" pitchFamily="18" charset="0"/>
                              </a:rPr>
                            </m:ctrlPr>
                          </m:eqArrPr>
                          <m:e>
                            <m:r>
                              <m:rPr>
                                <m:sty m:val="p"/>
                              </m:rPr>
                              <a:rPr lang="pt-BR" sz="800">
                                <a:latin typeface="Cambria Math" panose="02040503050406030204" pitchFamily="18" charset="0"/>
                              </a:rPr>
                              <m:t>Receita</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juros</m:t>
                            </m:r>
                            <m:r>
                              <a:rPr lang="pt-BR" sz="800">
                                <a:latin typeface="Cambria Math" panose="02040503050406030204" pitchFamily="18" charset="0"/>
                              </a:rPr>
                              <m:t>+</m:t>
                            </m:r>
                            <m:r>
                              <m:rPr>
                                <m:sty m:val="p"/>
                              </m:rPr>
                              <a:rPr lang="pt-BR" sz="800">
                                <a:latin typeface="Cambria Math" panose="02040503050406030204" pitchFamily="18" charset="0"/>
                              </a:rPr>
                              <m:t>Resultado</m:t>
                            </m:r>
                            <m:r>
                              <a:rPr lang="pt-BR" sz="800">
                                <a:latin typeface="Cambria Math" panose="02040503050406030204" pitchFamily="18" charset="0"/>
                              </a:rPr>
                              <m:t> </m:t>
                            </m:r>
                            <m:r>
                              <m:rPr>
                                <m:sty m:val="p"/>
                              </m:rPr>
                              <a:rPr lang="pt-BR" sz="800">
                                <a:latin typeface="Cambria Math" panose="02040503050406030204" pitchFamily="18" charset="0"/>
                              </a:rPr>
                              <m:t>l</m:t>
                            </m:r>
                            <m:r>
                              <a:rPr lang="pt-BR" sz="800">
                                <a:latin typeface="Cambria Math" panose="02040503050406030204" pitchFamily="18" charset="0"/>
                              </a:rPr>
                              <m:t>í</m:t>
                            </m:r>
                            <m:r>
                              <m:rPr>
                                <m:sty m:val="p"/>
                              </m:rPr>
                              <a:rPr lang="pt-BR" sz="800">
                                <a:latin typeface="Cambria Math" panose="02040503050406030204" pitchFamily="18" charset="0"/>
                              </a:rPr>
                              <m:t>quido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servi</m:t>
                            </m:r>
                            <m:r>
                              <a:rPr lang="pt-BR" sz="800">
                                <a:latin typeface="Cambria Math" panose="02040503050406030204" pitchFamily="18" charset="0"/>
                              </a:rPr>
                              <m:t>ç</m:t>
                            </m:r>
                            <m:r>
                              <m:rPr>
                                <m:sty m:val="p"/>
                              </m:rPr>
                              <a:rPr lang="pt-BR" sz="800">
                                <a:latin typeface="Cambria Math" panose="02040503050406030204" pitchFamily="18" charset="0"/>
                              </a:rPr>
                              <m:t>os</m:t>
                            </m:r>
                            <m:r>
                              <a:rPr lang="pt-BR" sz="800">
                                <a:latin typeface="Cambria Math" panose="02040503050406030204" pitchFamily="18" charset="0"/>
                              </a:rPr>
                              <m:t> </m:t>
                            </m:r>
                            <m:r>
                              <m:rPr>
                                <m:sty m:val="p"/>
                              </m:rPr>
                              <a:rPr lang="pt-BR" sz="800">
                                <a:latin typeface="Cambria Math" panose="02040503050406030204" pitchFamily="18" charset="0"/>
                              </a:rPr>
                              <m:t>e</m:t>
                            </m:r>
                            <m:r>
                              <a:rPr lang="pt-BR" sz="800">
                                <a:latin typeface="Cambria Math" panose="02040503050406030204" pitchFamily="18" charset="0"/>
                              </a:rPr>
                              <m:t> </m:t>
                            </m:r>
                            <m:r>
                              <m:rPr>
                                <m:sty m:val="p"/>
                              </m:rPr>
                              <a:rPr lang="pt-BR" sz="800">
                                <a:latin typeface="Cambria Math" panose="02040503050406030204" pitchFamily="18" charset="0"/>
                              </a:rPr>
                              <m:t>comiss</m:t>
                            </m:r>
                            <m:r>
                              <a:rPr lang="pt-BR" sz="800">
                                <a:latin typeface="Cambria Math" panose="02040503050406030204" pitchFamily="18" charset="0"/>
                              </a:rPr>
                              <m:t>õ</m:t>
                            </m:r>
                            <m:r>
                              <m:rPr>
                                <m:sty m:val="p"/>
                              </m:rPr>
                              <a:rPr lang="pt-BR" sz="800">
                                <a:latin typeface="Cambria Math" panose="02040503050406030204" pitchFamily="18" charset="0"/>
                              </a:rPr>
                              <m:t>es</m:t>
                            </m:r>
                            <m:r>
                              <a:rPr lang="pt-BR" sz="800">
                                <a:latin typeface="Cambria Math" panose="02040503050406030204" pitchFamily="18" charset="0"/>
                              </a:rPr>
                              <m:t>+</m:t>
                            </m:r>
                            <m:r>
                              <m:rPr>
                                <m:nor/>
                              </m:rPr>
                              <a:rPr lang="pt-BR" sz="800">
                                <a:latin typeface="Calibri" panose="020F0502020204030204" pitchFamily="34" charset="0"/>
                                <a:cs typeface="Calibri" panose="020F0502020204030204" pitchFamily="34" charset="0"/>
                              </a:rPr>
                              <m:t> </m:t>
                            </m:r>
                            <m:r>
                              <m:rPr>
                                <m:sty m:val="p"/>
                              </m:rPr>
                              <a:rPr lang="en-US" sz="800">
                                <a:latin typeface="Cambria Math" panose="02040503050406030204" pitchFamily="18" charset="0"/>
                                <a:cs typeface="Sora" pitchFamily="2" charset="0"/>
                              </a:rPr>
                              <m:t>Re</m:t>
                            </m:r>
                            <m:r>
                              <m:rPr>
                                <m:sty m:val="p"/>
                              </m:rPr>
                              <a:rPr lang="pt-BR" sz="800">
                                <a:latin typeface="Cambria Math" panose="02040503050406030204" pitchFamily="18" charset="0"/>
                                <a:cs typeface="Sora" pitchFamily="2" charset="0"/>
                              </a:rPr>
                              <m:t>sultado</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de</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t</m:t>
                            </m:r>
                            <m:r>
                              <a:rPr lang="en-US" sz="800">
                                <a:latin typeface="Cambria Math" panose="02040503050406030204" pitchFamily="18" charset="0"/>
                                <a:cs typeface="Sora" pitchFamily="2" charset="0"/>
                              </a:rPr>
                              <m:t>í</m:t>
                            </m:r>
                            <m:r>
                              <m:rPr>
                                <m:sty m:val="p"/>
                              </m:rPr>
                              <a:rPr lang="en-US" sz="800">
                                <a:latin typeface="Cambria Math" panose="02040503050406030204" pitchFamily="18" charset="0"/>
                                <a:cs typeface="Sora" pitchFamily="2" charset="0"/>
                              </a:rPr>
                              <m:t>tulos</m:t>
                            </m:r>
                            <m:r>
                              <a:rPr lang="en-US" sz="80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e</m:t>
                            </m:r>
                            <m:r>
                              <a:rPr lang="pt-BR" sz="800" b="0" i="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valores</m:t>
                            </m:r>
                            <m:r>
                              <a:rPr lang="pt-BR" sz="800" b="0" i="0">
                                <a:latin typeface="Cambria Math" panose="02040503050406030204" pitchFamily="18" charset="0"/>
                                <a:cs typeface="Sora" pitchFamily="2" charset="0"/>
                              </a:rPr>
                              <m:t> </m:t>
                            </m:r>
                            <m:r>
                              <m:rPr>
                                <m:sty m:val="p"/>
                              </m:rPr>
                              <a:rPr lang="en-US" sz="800">
                                <a:latin typeface="Cambria Math" panose="02040503050406030204" pitchFamily="18" charset="0"/>
                                <a:cs typeface="Sora" pitchFamily="2" charset="0"/>
                              </a:rPr>
                              <m:t>mobili</m:t>
                            </m:r>
                            <m:r>
                              <a:rPr lang="en-US" sz="800">
                                <a:latin typeface="Cambria Math" panose="02040503050406030204" pitchFamily="18" charset="0"/>
                                <a:cs typeface="Sora" pitchFamily="2" charset="0"/>
                              </a:rPr>
                              <m:t>á</m:t>
                            </m:r>
                            <m:r>
                              <m:rPr>
                                <m:sty m:val="p"/>
                              </m:rPr>
                              <a:rPr lang="en-US" sz="800">
                                <a:latin typeface="Cambria Math" panose="02040503050406030204" pitchFamily="18" charset="0"/>
                                <a:cs typeface="Sora" pitchFamily="2" charset="0"/>
                              </a:rPr>
                              <m:t>rios</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e</m:t>
                            </m:r>
                            <m:r>
                              <a:rPr lang="pt-BR" sz="800">
                                <a:latin typeface="Cambria Math" panose="02040503050406030204" pitchFamily="18" charset="0"/>
                                <a:cs typeface="Sora" pitchFamily="2" charset="0"/>
                              </a:rPr>
                              <m:t> </m:t>
                            </m:r>
                            <m:r>
                              <m:rPr>
                                <m:sty m:val="p"/>
                              </m:rPr>
                              <a:rPr lang="pt-BR" sz="800">
                                <a:latin typeface="Cambria Math" panose="02040503050406030204" pitchFamily="18" charset="0"/>
                                <a:cs typeface="Sora" pitchFamily="2" charset="0"/>
                              </a:rPr>
                              <m:t>derivativos</m:t>
                            </m:r>
                            <m:r>
                              <a:rPr lang="pt-BR" sz="800">
                                <a:latin typeface="Cambria Math" panose="02040503050406030204" pitchFamily="18" charset="0"/>
                              </a:rPr>
                              <m:t>+ </m:t>
                            </m:r>
                            <m:r>
                              <m:rPr>
                                <m:sty m:val="p"/>
                              </m:rPr>
                              <a:rPr lang="pt-BR" sz="800">
                                <a:latin typeface="Cambria Math" panose="02040503050406030204" pitchFamily="18" charset="0"/>
                              </a:rPr>
                              <m:t>Outras</m:t>
                            </m:r>
                          </m:e>
                          <m:e>
                            <m:r>
                              <m:rPr>
                                <m:sty m:val="p"/>
                              </m:rPr>
                              <a:rPr lang="pt-BR" sz="800">
                                <a:latin typeface="Cambria Math" panose="02040503050406030204" pitchFamily="18" charset="0"/>
                              </a:rPr>
                              <m:t>receitas</m:t>
                            </m:r>
                            <m:r>
                              <a:rPr lang="pt-BR" sz="800">
                                <a:latin typeface="Cambria Math" panose="02040503050406030204" pitchFamily="18" charset="0"/>
                              </a:rPr>
                              <m:t>−</m:t>
                            </m:r>
                            <m:r>
                              <m:rPr>
                                <m:sty m:val="p"/>
                              </m:rPr>
                              <a:rPr lang="pt-BR" sz="800">
                                <a:latin typeface="Cambria Math" panose="02040503050406030204" pitchFamily="18" charset="0"/>
                              </a:rPr>
                              <m:t>Despesas</m:t>
                            </m:r>
                            <m:r>
                              <a:rPr lang="pt-BR" sz="800">
                                <a:latin typeface="Cambria Math" panose="02040503050406030204" pitchFamily="18" charset="0"/>
                              </a:rPr>
                              <m:t> </m:t>
                            </m:r>
                            <m:r>
                              <m:rPr>
                                <m:sty m:val="p"/>
                              </m:rPr>
                              <a:rPr lang="pt-BR" sz="800">
                                <a:latin typeface="Cambria Math" panose="02040503050406030204" pitchFamily="18" charset="0"/>
                              </a:rPr>
                              <m:t>tribut</m:t>
                            </m:r>
                            <m:r>
                              <a:rPr lang="pt-BR" sz="800">
                                <a:latin typeface="Cambria Math" panose="02040503050406030204" pitchFamily="18" charset="0"/>
                              </a:rPr>
                              <m:t>á</m:t>
                            </m:r>
                            <m:r>
                              <m:rPr>
                                <m:sty m:val="p"/>
                              </m:rPr>
                              <a:rPr lang="pt-BR" sz="800">
                                <a:latin typeface="Cambria Math" panose="02040503050406030204" pitchFamily="18" charset="0"/>
                              </a:rPr>
                              <m:t>rias</m:t>
                            </m:r>
                            <m:r>
                              <m:rPr>
                                <m:nor/>
                              </m:rPr>
                              <a:rPr lang="pt-BR" sz="800">
                                <a:latin typeface="Calibri" panose="020F0502020204030204" pitchFamily="34" charset="0"/>
                                <a:cs typeface="Calibri" panose="020F0502020204030204" pitchFamily="34" charset="0"/>
                              </a:rPr>
                              <m:t> </m:t>
                            </m:r>
                          </m:e>
                        </m:eqArr>
                      </m:den>
                    </m:f>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Margem bruta por cliente ativo bruta de despesas de juros:</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r>
                      <m:rPr>
                        <m:sty m:val="p"/>
                      </m:rPr>
                      <a:rPr lang="pt-BR" sz="800" b="0" i="0">
                        <a:latin typeface="Cambria Math" panose="02040503050406030204" pitchFamily="18" charset="0"/>
                        <a:ea typeface="Inter" panose="020B0502030000000004" pitchFamily="34" charset="0"/>
                      </a:rPr>
                      <m:t>ARPAC</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Bruto</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Despesas</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Juros</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Custo</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Servir</m:t>
                    </m:r>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Margem bruta por cliente ativo líquida de despesas de juros:</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r>
                      <m:rPr>
                        <m:sty m:val="p"/>
                      </m:rPr>
                      <a:rPr lang="pt-BR" sz="800" b="0" i="0">
                        <a:latin typeface="Cambria Math" panose="02040503050406030204" pitchFamily="18" charset="0"/>
                        <a:ea typeface="Inter" panose="020B0502030000000004" pitchFamily="34" charset="0"/>
                      </a:rPr>
                      <m:t>ARPAC</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L</m:t>
                    </m:r>
                    <m:r>
                      <a:rPr lang="pt-BR" sz="800" i="0">
                        <a:latin typeface="Cambria Math" panose="02040503050406030204" pitchFamily="18" charset="0"/>
                        <a:ea typeface="Inter" panose="020B0502030000000004" pitchFamily="34" charset="0"/>
                      </a:rPr>
                      <m:t>í</m:t>
                    </m:r>
                    <m:r>
                      <m:rPr>
                        <m:sty m:val="p"/>
                      </m:rPr>
                      <a:rPr lang="pt-BR" sz="800" b="0" i="0">
                        <a:latin typeface="Cambria Math" panose="02040503050406030204" pitchFamily="18" charset="0"/>
                        <a:ea typeface="Inter" panose="020B0502030000000004" pitchFamily="34" charset="0"/>
                      </a:rPr>
                      <m:t>quido</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Despesas</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Juros</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Custo</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de</m:t>
                    </m:r>
                    <m:r>
                      <a:rPr lang="pt-BR" sz="800" b="0" i="0">
                        <a:latin typeface="Cambria Math" panose="02040503050406030204" pitchFamily="18" charset="0"/>
                        <a:ea typeface="Inter" panose="020B0502030000000004" pitchFamily="34" charset="0"/>
                      </a:rPr>
                      <m:t> </m:t>
                    </m:r>
                    <m:r>
                      <m:rPr>
                        <m:sty m:val="p"/>
                      </m:rPr>
                      <a:rPr lang="pt-BR" sz="800" b="0" i="0">
                        <a:latin typeface="Cambria Math" panose="02040503050406030204" pitchFamily="18" charset="0"/>
                        <a:ea typeface="Inter" panose="020B0502030000000004" pitchFamily="34" charset="0"/>
                      </a:rPr>
                      <m:t>Servir</m:t>
                    </m:r>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xdr:txBody>
        </xdr:sp>
      </mc:Choice>
      <mc:Fallback xmlns="">
        <xdr:sp macro="" textlink="">
          <xdr:nvSpPr>
            <xdr:cNvPr id="50" name="Retângulo 9">
              <a:extLst>
                <a:ext uri="{FF2B5EF4-FFF2-40B4-BE49-F238E27FC236}">
                  <a16:creationId xmlns:a16="http://schemas.microsoft.com/office/drawing/2014/main" id="{35CA3697-EE6E-6784-3C77-9E55A4DD6727}"/>
                </a:ext>
              </a:extLst>
            </xdr:cNvPr>
            <xdr:cNvSpPr/>
          </xdr:nvSpPr>
          <xdr:spPr>
            <a:xfrm>
              <a:off x="6761357" y="25854707"/>
              <a:ext cx="5774108" cy="565250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cobertura:</a:t>
              </a:r>
            </a:p>
            <a:p>
              <a:endParaRPr lang="en-US" sz="800">
                <a:solidFill>
                  <a:schemeClr val="tx1">
                    <a:lumMod val="85000"/>
                    <a:lumOff val="15000"/>
                  </a:schemeClr>
                </a:solidFill>
                <a:latin typeface="Calibri" panose="020F0502020204030204" pitchFamily="34" charset="0"/>
                <a:ea typeface="Inter Light BETA" panose="020B0402030000000004" pitchFamily="34" charset="0"/>
                <a:cs typeface="Calibri" panose="020F0502020204030204" pitchFamily="34" charset="0"/>
              </a:endParaRPr>
            </a:p>
            <a:p>
              <a:pPr/>
              <a:r>
                <a:rPr lang="pt-BR" sz="800" i="0">
                  <a:latin typeface="Cambria Math" panose="02040503050406030204" pitchFamily="18" charset="0"/>
                </a:rPr>
                <a:t>(</a:t>
              </a:r>
              <a:r>
                <a:rPr lang="pt-BR" sz="800" b="0" i="0">
                  <a:latin typeface="Cambria Math" panose="02040503050406030204" pitchFamily="18" charset="0"/>
                </a:rPr>
                <a:t>Provis</a:t>
              </a:r>
              <a:r>
                <a:rPr lang="pt-BR" sz="800" i="0">
                  <a:latin typeface="Cambria Math" panose="02040503050406030204" pitchFamily="18" charset="0"/>
                </a:rPr>
                <a:t>ã</a:t>
              </a:r>
              <a:r>
                <a:rPr lang="pt-BR" sz="800" b="0" i="0">
                  <a:latin typeface="Cambria Math" panose="02040503050406030204" pitchFamily="18" charset="0"/>
                </a:rPr>
                <a:t>o de perdas esperadas)/(</a:t>
              </a:r>
              <a:r>
                <a:rPr lang="pt-BR" sz="800" i="0">
                  <a:latin typeface="Cambria Math" panose="02040503050406030204" pitchFamily="18" charset="0"/>
                </a:rPr>
                <a:t>NPL&gt; 90 dias)</a:t>
              </a:r>
              <a:endParaRPr lang="en-US" sz="800">
                <a:latin typeface="Calibri" panose="020F0502020204030204" pitchFamily="34" charset="0"/>
                <a:ea typeface="Inter Light BETA" panose="020B04020300000000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a:p>
              <a:endParaRPr lang="en-US" sz="800">
                <a:latin typeface="Calibri" panose="020F0502020204030204" pitchFamily="34" charset="0"/>
                <a:ea typeface="Inter Light BETA" panose="020B04020300000000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eficiência:</a:t>
              </a:r>
            </a:p>
            <a:p>
              <a:pPr algn="ctr"/>
              <a:endParaRPr lang="en-US" sz="800">
                <a:latin typeface="Calibri" panose="020F0502020204030204" pitchFamily="34" charset="0"/>
                <a:ea typeface="Inter" panose="020B0502030000000004" pitchFamily="34" charset="0"/>
                <a:cs typeface="Calibri" panose="020F0502020204030204" pitchFamily="34" charset="0"/>
              </a:endParaRPr>
            </a:p>
            <a:p>
              <a:pPr algn="ctr"/>
              <a:r>
                <a:rPr lang="pt-BR" sz="800" i="0">
                  <a:latin typeface="Cambria Math" panose="02040503050406030204" pitchFamily="18" charset="0"/>
                </a:rPr>
                <a:t>█( @Despesa de pessoal+Despesas administrativas</a:t>
              </a:r>
              <a:r>
                <a:rPr lang="pt-BR" sz="800" b="0" i="0">
                  <a:latin typeface="Cambria Math" panose="02040503050406030204" pitchFamily="18" charset="0"/>
                </a:rPr>
                <a:t>+Deprecia</a:t>
              </a:r>
              <a:r>
                <a:rPr lang="pt-BR" sz="800" i="0">
                  <a:latin typeface="Cambria Math" panose="02040503050406030204" pitchFamily="18" charset="0"/>
                </a:rPr>
                <a:t>çã</a:t>
              </a:r>
              <a:r>
                <a:rPr lang="pt-BR" sz="800" b="0" i="0">
                  <a:latin typeface="Cambria Math" panose="02040503050406030204" pitchFamily="18" charset="0"/>
                </a:rPr>
                <a:t>o e amortiza</a:t>
              </a:r>
              <a:r>
                <a:rPr lang="pt-BR" sz="800" i="0">
                  <a:latin typeface="Cambria Math" panose="02040503050406030204" pitchFamily="18" charset="0"/>
                </a:rPr>
                <a:t>çã</a:t>
              </a:r>
              <a:r>
                <a:rPr lang="pt-BR" sz="800" b="0" i="0">
                  <a:latin typeface="Cambria Math" panose="02040503050406030204" pitchFamily="18" charset="0"/>
                </a:rPr>
                <a:t>o)/█(</a:t>
              </a:r>
              <a:r>
                <a:rPr lang="pt-BR" sz="800" i="0">
                  <a:latin typeface="Cambria Math" panose="02040503050406030204" pitchFamily="18" charset="0"/>
                </a:rPr>
                <a:t>Receita de juros+Resultado líquido de serviços e comissões+"</a:t>
              </a:r>
              <a:r>
                <a:rPr lang="pt-BR" sz="800" i="0">
                  <a:latin typeface="Calibri" panose="020F0502020204030204" pitchFamily="34" charset="0"/>
                  <a:cs typeface="Calibri" panose="020F0502020204030204" pitchFamily="34" charset="0"/>
                </a:rPr>
                <a:t> </a:t>
              </a:r>
              <a:r>
                <a:rPr lang="en-US" sz="800" i="0">
                  <a:latin typeface="Cambria Math" panose="02040503050406030204" pitchFamily="18" charset="0"/>
                  <a:cs typeface="Calibri" panose="020F0502020204030204" pitchFamily="34" charset="0"/>
                </a:rPr>
                <a:t>" </a:t>
              </a:r>
              <a:r>
                <a:rPr lang="en-US" sz="800" i="0">
                  <a:latin typeface="Cambria Math" panose="02040503050406030204" pitchFamily="18" charset="0"/>
                  <a:cs typeface="Sora" pitchFamily="2" charset="0"/>
                </a:rPr>
                <a:t>Re</a:t>
              </a:r>
              <a:r>
                <a:rPr lang="pt-BR" sz="800" i="0">
                  <a:latin typeface="Cambria Math" panose="02040503050406030204" pitchFamily="18" charset="0"/>
                  <a:cs typeface="Sora" pitchFamily="2" charset="0"/>
                </a:rPr>
                <a:t>sultado</a:t>
              </a:r>
              <a:r>
                <a:rPr lang="en-US" sz="800" i="0">
                  <a:latin typeface="Cambria Math" panose="02040503050406030204" pitchFamily="18" charset="0"/>
                  <a:cs typeface="Sora" pitchFamily="2" charset="0"/>
                </a:rPr>
                <a:t> de títulos e</a:t>
              </a:r>
              <a:r>
                <a:rPr lang="pt-BR" sz="800" b="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valores</a:t>
              </a:r>
              <a:r>
                <a:rPr lang="pt-BR" sz="800" b="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mobiliários</a:t>
              </a:r>
              <a:r>
                <a:rPr lang="pt-BR" sz="800" i="0">
                  <a:latin typeface="Cambria Math" panose="02040503050406030204" pitchFamily="18" charset="0"/>
                  <a:cs typeface="Sora" pitchFamily="2" charset="0"/>
                </a:rPr>
                <a:t> e derivativos</a:t>
              </a:r>
              <a:r>
                <a:rPr lang="pt-BR" sz="800" i="0">
                  <a:latin typeface="Cambria Math" panose="02040503050406030204" pitchFamily="18" charset="0"/>
                </a:rPr>
                <a:t>+ Outras@receitas−Despesas tributárias"</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 </a:t>
              </a:r>
              <a:r>
                <a:rPr lang="pt-BR" sz="800" i="0">
                  <a:latin typeface="Cambria Math" panose="02040503050406030204" pitchFamily="18" charset="0"/>
                </a:rPr>
                <a:t> </a:t>
              </a:r>
              <a:endParaRPr lang="en-US" sz="800" b="1">
                <a:latin typeface="Calibri" panose="020F0502020204030204" pitchFamily="34" charset="0"/>
                <a:cs typeface="Calibri" panose="020F0502020204030204" pitchFamily="34" charset="0"/>
              </a:endParaRPr>
            </a:p>
            <a:p>
              <a:pPr algn="ct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eficiência administrativo:</a:t>
              </a:r>
            </a:p>
            <a:p>
              <a:pPr algn="ctr"/>
              <a:endParaRPr lang="en-US" sz="800">
                <a:latin typeface="Calibri" panose="020F0502020204030204" pitchFamily="34" charset="0"/>
                <a:ea typeface="Inter" panose="020B0502030000000004" pitchFamily="34" charset="0"/>
                <a:cs typeface="Calibri" panose="020F0502020204030204" pitchFamily="34" charset="0"/>
              </a:endParaRPr>
            </a:p>
            <a:p>
              <a:pPr algn="ctr"/>
              <a:r>
                <a:rPr lang="pt-BR" sz="800" i="0">
                  <a:latin typeface="Cambria Math" panose="02040503050406030204" pitchFamily="18" charset="0"/>
                </a:rPr>
                <a:t>(Despesas administrativas+Depreciação e amortização)/█(Receita de juros+Resultado líquido de serviços e comissões+"</a:t>
              </a:r>
              <a:r>
                <a:rPr lang="pt-BR" sz="800" i="0">
                  <a:latin typeface="Calibri" panose="020F0502020204030204" pitchFamily="34" charset="0"/>
                  <a:cs typeface="Calibri" panose="020F0502020204030204" pitchFamily="34" charset="0"/>
                </a:rPr>
                <a:t> </a:t>
              </a:r>
              <a:r>
                <a:rPr lang="en-US" sz="800" i="0">
                  <a:latin typeface="Cambria Math" panose="02040503050406030204" pitchFamily="18" charset="0"/>
                  <a:cs typeface="Calibri" panose="020F0502020204030204" pitchFamily="34" charset="0"/>
                </a:rPr>
                <a:t>" </a:t>
              </a:r>
              <a:r>
                <a:rPr lang="en-US" sz="800" i="0">
                  <a:latin typeface="Cambria Math" panose="02040503050406030204" pitchFamily="18" charset="0"/>
                  <a:cs typeface="Sora" pitchFamily="2" charset="0"/>
                </a:rPr>
                <a:t>Re</a:t>
              </a:r>
              <a:r>
                <a:rPr lang="pt-BR" sz="800" i="0">
                  <a:latin typeface="Cambria Math" panose="02040503050406030204" pitchFamily="18" charset="0"/>
                  <a:cs typeface="Sora" pitchFamily="2" charset="0"/>
                </a:rPr>
                <a:t>sultado</a:t>
              </a:r>
              <a:r>
                <a:rPr lang="en-US" sz="800" i="0">
                  <a:latin typeface="Cambria Math" panose="02040503050406030204" pitchFamily="18" charset="0"/>
                  <a:cs typeface="Sora" pitchFamily="2" charset="0"/>
                </a:rPr>
                <a:t> de títulos e</a:t>
              </a:r>
              <a:r>
                <a:rPr lang="pt-BR" sz="800" b="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valores</a:t>
              </a:r>
              <a:r>
                <a:rPr lang="pt-BR" sz="800" b="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mobiliários</a:t>
              </a:r>
              <a:r>
                <a:rPr lang="pt-BR" sz="800" i="0">
                  <a:latin typeface="Cambria Math" panose="02040503050406030204" pitchFamily="18" charset="0"/>
                  <a:cs typeface="Sora" pitchFamily="2" charset="0"/>
                </a:rPr>
                <a:t> e derivativos</a:t>
              </a:r>
              <a:r>
                <a:rPr lang="pt-BR" sz="800" i="0">
                  <a:latin typeface="Cambria Math" panose="02040503050406030204" pitchFamily="18" charset="0"/>
                </a:rPr>
                <a:t>+ Outras@receitas−Despesas tributárias"</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Índice de eficiência de pessoal:</a:t>
              </a:r>
            </a:p>
            <a:p>
              <a:pPr algn="ctr"/>
              <a:endParaRPr lang="en-US" sz="800">
                <a:latin typeface="Calibri" panose="020F0502020204030204" pitchFamily="34" charset="0"/>
                <a:ea typeface="Inter" panose="020B0502030000000004" pitchFamily="34" charset="0"/>
                <a:cs typeface="Calibri" panose="020F0502020204030204" pitchFamily="34" charset="0"/>
              </a:endParaRPr>
            </a:p>
            <a:p>
              <a:pPr algn="ctr"/>
              <a:r>
                <a:rPr lang="pt-BR" sz="800" i="0">
                  <a:latin typeface="Cambria Math" panose="02040503050406030204" pitchFamily="18" charset="0"/>
                </a:rPr>
                <a:t>█( @Despesa de pessoal)/█(Receita de juros+Resultado líquido de serviços e comissões+"</a:t>
              </a:r>
              <a:r>
                <a:rPr lang="pt-BR" sz="800" i="0">
                  <a:latin typeface="Calibri" panose="020F0502020204030204" pitchFamily="34" charset="0"/>
                  <a:cs typeface="Calibri" panose="020F0502020204030204" pitchFamily="34" charset="0"/>
                </a:rPr>
                <a:t> </a:t>
              </a:r>
              <a:r>
                <a:rPr lang="en-US" sz="800" i="0">
                  <a:latin typeface="Cambria Math" panose="02040503050406030204" pitchFamily="18" charset="0"/>
                  <a:cs typeface="Calibri" panose="020F0502020204030204" pitchFamily="34" charset="0"/>
                </a:rPr>
                <a:t>" </a:t>
              </a:r>
              <a:r>
                <a:rPr lang="en-US" sz="800" i="0">
                  <a:latin typeface="Cambria Math" panose="02040503050406030204" pitchFamily="18" charset="0"/>
                  <a:cs typeface="Sora" pitchFamily="2" charset="0"/>
                </a:rPr>
                <a:t>Re</a:t>
              </a:r>
              <a:r>
                <a:rPr lang="pt-BR" sz="800" i="0">
                  <a:latin typeface="Cambria Math" panose="02040503050406030204" pitchFamily="18" charset="0"/>
                  <a:cs typeface="Sora" pitchFamily="2" charset="0"/>
                </a:rPr>
                <a:t>sultado</a:t>
              </a:r>
              <a:r>
                <a:rPr lang="en-US" sz="800" i="0">
                  <a:latin typeface="Cambria Math" panose="02040503050406030204" pitchFamily="18" charset="0"/>
                  <a:cs typeface="Sora" pitchFamily="2" charset="0"/>
                </a:rPr>
                <a:t> de títulos e</a:t>
              </a:r>
              <a:r>
                <a:rPr lang="pt-BR" sz="800" b="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valores</a:t>
              </a:r>
              <a:r>
                <a:rPr lang="pt-BR" sz="800" b="0" i="0">
                  <a:latin typeface="Cambria Math" panose="02040503050406030204" pitchFamily="18" charset="0"/>
                  <a:cs typeface="Sora" pitchFamily="2" charset="0"/>
                </a:rPr>
                <a:t> </a:t>
              </a:r>
              <a:r>
                <a:rPr lang="en-US" sz="800" i="0">
                  <a:latin typeface="Cambria Math" panose="02040503050406030204" pitchFamily="18" charset="0"/>
                  <a:cs typeface="Sora" pitchFamily="2" charset="0"/>
                </a:rPr>
                <a:t>mobiliários</a:t>
              </a:r>
              <a:r>
                <a:rPr lang="pt-BR" sz="800" i="0">
                  <a:latin typeface="Cambria Math" panose="02040503050406030204" pitchFamily="18" charset="0"/>
                  <a:cs typeface="Sora" pitchFamily="2" charset="0"/>
                </a:rPr>
                <a:t> e derivativos</a:t>
              </a:r>
              <a:r>
                <a:rPr lang="pt-BR" sz="800" i="0">
                  <a:latin typeface="Cambria Math" panose="02040503050406030204" pitchFamily="18" charset="0"/>
                </a:rPr>
                <a:t>+ Outras@receitas−Despesas tributárias"</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Margem bruta por cliente ativo bruta de despesas de juros:</a:t>
              </a:r>
            </a:p>
            <a:p>
              <a:endParaRPr lang="en-US" sz="800" b="1">
                <a:latin typeface="Calibri" panose="020F0502020204030204" pitchFamily="34" charset="0"/>
                <a:cs typeface="Calibri" panose="020F0502020204030204" pitchFamily="34" charset="0"/>
              </a:endParaRPr>
            </a:p>
            <a:p>
              <a:pPr/>
              <a:r>
                <a:rPr lang="pt-BR" sz="800" b="0" i="0">
                  <a:latin typeface="Cambria Math" panose="02040503050406030204" pitchFamily="18" charset="0"/>
                  <a:ea typeface="Inter" panose="020B0502030000000004" pitchFamily="34" charset="0"/>
                </a:rPr>
                <a:t>ARPAC Bruto de Despesas de Juros −Custo de Servir</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Margem bruta por cliente ativo líquida de despesas de juros:</a:t>
              </a:r>
            </a:p>
            <a:p>
              <a:endParaRPr lang="en-US" sz="800" b="1">
                <a:latin typeface="Calibri" panose="020F0502020204030204" pitchFamily="34" charset="0"/>
                <a:cs typeface="Calibri" panose="020F0502020204030204" pitchFamily="34" charset="0"/>
              </a:endParaRPr>
            </a:p>
            <a:p>
              <a:pPr/>
              <a:r>
                <a:rPr lang="pt-BR" sz="800" b="0" i="0">
                  <a:latin typeface="Cambria Math" panose="02040503050406030204" pitchFamily="18" charset="0"/>
                  <a:ea typeface="Inter" panose="020B0502030000000004" pitchFamily="34" charset="0"/>
                </a:rPr>
                <a:t>ARPAC L</a:t>
              </a:r>
              <a:r>
                <a:rPr lang="pt-BR" sz="800" i="0">
                  <a:latin typeface="Cambria Math" panose="02040503050406030204" pitchFamily="18" charset="0"/>
                  <a:ea typeface="Inter" panose="020B0502030000000004" pitchFamily="34" charset="0"/>
                </a:rPr>
                <a:t>í</a:t>
              </a:r>
              <a:r>
                <a:rPr lang="pt-BR" sz="800" b="0" i="0">
                  <a:latin typeface="Cambria Math" panose="02040503050406030204" pitchFamily="18" charset="0"/>
                  <a:ea typeface="Inter" panose="020B0502030000000004" pitchFamily="34" charset="0"/>
                </a:rPr>
                <a:t>quido de Despesas de Juros −Custo de Servir</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xdr:txBody>
        </xdr:sp>
      </mc:Fallback>
    </mc:AlternateContent>
    <xdr:clientData/>
  </xdr:twoCellAnchor>
  <xdr:twoCellAnchor>
    <xdr:from>
      <xdr:col>8</xdr:col>
      <xdr:colOff>177800</xdr:colOff>
      <xdr:row>170</xdr:row>
      <xdr:rowOff>76200</xdr:rowOff>
    </xdr:from>
    <xdr:to>
      <xdr:col>15</xdr:col>
      <xdr:colOff>144745</xdr:colOff>
      <xdr:row>199</xdr:row>
      <xdr:rowOff>79918</xdr:rowOff>
    </xdr:to>
    <mc:AlternateContent xmlns:mc="http://schemas.openxmlformats.org/markup-compatibility/2006" xmlns:a14="http://schemas.microsoft.com/office/drawing/2010/main">
      <mc:Choice Requires="a14">
        <xdr:sp macro="" textlink="">
          <xdr:nvSpPr>
            <xdr:cNvPr id="51" name="Retângulo 9">
              <a:extLst>
                <a:ext uri="{FF2B5EF4-FFF2-40B4-BE49-F238E27FC236}">
                  <a16:creationId xmlns:a16="http://schemas.microsoft.com/office/drawing/2014/main" id="{00000000-0008-0000-1600-000033000000}"/>
                </a:ext>
              </a:extLst>
            </xdr:cNvPr>
            <xdr:cNvSpPr/>
          </xdr:nvSpPr>
          <xdr:spPr>
            <a:xfrm>
              <a:off x="6803887" y="31366055"/>
              <a:ext cx="5764771" cy="534139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NIM 1.0 - Baseado na carteira remunerada + recebíveis de cartão de crédito não remunerados</a:t>
              </a:r>
              <a:br>
                <a:rPr lang="en-US" sz="800" b="1">
                  <a:latin typeface="Calibri" panose="020F0502020204030204" pitchFamily="34" charset="0"/>
                  <a:cs typeface="Calibri" panose="020F0502020204030204" pitchFamily="34" charset="0"/>
                </a:rPr>
              </a:br>
              <a:endParaRPr lang="en-US" sz="800" b="1">
                <a:latin typeface="Calibri" panose="020F05020202040302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a:latin typeface="Cambria Math" panose="02040503050406030204" pitchFamily="18" charset="0"/>
                          </a:rPr>
                          <m:t>Resultado</m:t>
                        </m:r>
                        <m:r>
                          <a:rPr lang="pt-BR" sz="800">
                            <a:latin typeface="Cambria Math" panose="02040503050406030204" pitchFamily="18" charset="0"/>
                          </a:rPr>
                          <m:t> </m:t>
                        </m:r>
                        <m:r>
                          <m:rPr>
                            <m:sty m:val="p"/>
                          </m:rPr>
                          <a:rPr lang="pt-BR" sz="800">
                            <a:latin typeface="Cambria Math" panose="02040503050406030204" pitchFamily="18" charset="0"/>
                          </a:rPr>
                          <m:t>l</m:t>
                        </m:r>
                        <m:r>
                          <a:rPr lang="pt-BR" sz="800">
                            <a:latin typeface="Cambria Math" panose="02040503050406030204" pitchFamily="18" charset="0"/>
                          </a:rPr>
                          <m:t>í</m:t>
                        </m:r>
                        <m:r>
                          <m:rPr>
                            <m:sty m:val="p"/>
                          </m:rPr>
                          <a:rPr lang="pt-BR" sz="800">
                            <a:latin typeface="Cambria Math" panose="02040503050406030204" pitchFamily="18" charset="0"/>
                          </a:rPr>
                          <m:t>quido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juros</m:t>
                        </m:r>
                        <m:r>
                          <a:rPr lang="pt-BR" sz="800">
                            <a:latin typeface="Cambria Math" panose="02040503050406030204" pitchFamily="18" charset="0"/>
                          </a:rPr>
                          <m:t> </m:t>
                        </m:r>
                        <m:r>
                          <m:rPr>
                            <m:sty m:val="p"/>
                          </m:rPr>
                          <a:rPr lang="pt-BR" sz="800">
                            <a:latin typeface="Cambria Math" panose="02040503050406030204" pitchFamily="18" charset="0"/>
                          </a:rPr>
                          <m:t>x</m:t>
                        </m:r>
                        <m:r>
                          <a:rPr lang="pt-BR" sz="800">
                            <a:latin typeface="Cambria Math" panose="02040503050406030204" pitchFamily="18" charset="0"/>
                          </a:rPr>
                          <m:t> 4</m:t>
                        </m:r>
                      </m:num>
                      <m:den>
                        <m:eqArr>
                          <m:eqArrPr>
                            <m:ctrlPr>
                              <a:rPr lang="pt-BR" sz="800" i="1">
                                <a:latin typeface="Cambria Math" panose="02040503050406030204" pitchFamily="18" charset="0"/>
                              </a:rPr>
                            </m:ctrlPr>
                          </m:eqArrPr>
                          <m:e>
                            <m:r>
                              <m:rPr>
                                <m:sty m:val="p"/>
                              </m:rPr>
                              <a:rPr lang="pt-BR" sz="800" i="0">
                                <a:latin typeface="Cambria Math" panose="02040503050406030204" pitchFamily="18" charset="0"/>
                              </a:rPr>
                              <m:t>M</m:t>
                            </m:r>
                            <m:r>
                              <a:rPr lang="pt-BR" sz="800" i="0">
                                <a:latin typeface="Cambria Math" panose="02040503050406030204" pitchFamily="18" charset="0"/>
                              </a:rPr>
                              <m:t>é</m:t>
                            </m:r>
                            <m:r>
                              <m:rPr>
                                <m:sty m:val="p"/>
                              </m:rPr>
                              <a:rPr lang="pt-BR" sz="800" i="0">
                                <a:latin typeface="Cambria Math" panose="02040503050406030204" pitchFamily="18" charset="0"/>
                              </a:rPr>
                              <m:t>dia</m:t>
                            </m:r>
                            <m:r>
                              <a:rPr lang="pt-BR" sz="800" i="0">
                                <a:latin typeface="Cambria Math" panose="02040503050406030204" pitchFamily="18" charset="0"/>
                              </a:rPr>
                              <m:t> </m:t>
                            </m:r>
                            <m:r>
                              <m:rPr>
                                <m:sty m:val="p"/>
                              </m:rPr>
                              <a:rPr lang="pt-BR" sz="800" i="0">
                                <a:latin typeface="Cambria Math" panose="02040503050406030204" pitchFamily="18" charset="0"/>
                              </a:rPr>
                              <m:t>da</m:t>
                            </m:r>
                            <m:r>
                              <a:rPr lang="pt-BR" sz="800" i="0">
                                <a:latin typeface="Cambria Math" panose="02040503050406030204" pitchFamily="18" charset="0"/>
                              </a:rPr>
                              <m:t> </m:t>
                            </m:r>
                            <m:r>
                              <m:rPr>
                                <m:sty m:val="p"/>
                              </m:rPr>
                              <a:rPr lang="pt-BR" sz="800" i="0">
                                <a:latin typeface="Cambria Math" panose="02040503050406030204" pitchFamily="18" charset="0"/>
                              </a:rPr>
                              <m:t>carteira</m:t>
                            </m:r>
                            <m:r>
                              <a:rPr lang="pt-BR" sz="800" i="0">
                                <a:latin typeface="Cambria Math" panose="02040503050406030204" pitchFamily="18" charset="0"/>
                              </a:rPr>
                              <m:t> </m:t>
                            </m:r>
                            <m:r>
                              <m:rPr>
                                <m:sty m:val="p"/>
                              </m:rPr>
                              <a:rPr lang="pt-BR" sz="800" i="0">
                                <a:latin typeface="Cambria Math" panose="02040503050406030204" pitchFamily="18" charset="0"/>
                              </a:rPr>
                              <m:t>remunerada</m:t>
                            </m:r>
                            <m:r>
                              <a:rPr lang="pt-BR" sz="800" i="0">
                                <a:latin typeface="Cambria Math" panose="02040503050406030204" pitchFamily="18" charset="0"/>
                              </a:rPr>
                              <m:t> </m:t>
                            </m:r>
                            <m:r>
                              <m:rPr>
                                <m:sty m:val="p"/>
                              </m:rPr>
                              <a:rPr lang="pt-BR" sz="800" i="0">
                                <a:latin typeface="Cambria Math" panose="02040503050406030204" pitchFamily="18" charset="0"/>
                              </a:rPr>
                              <m:t>dos</m:t>
                            </m:r>
                            <m:r>
                              <a:rPr lang="pt-BR" sz="800" i="0">
                                <a:latin typeface="Cambria Math" panose="02040503050406030204" pitchFamily="18" charset="0"/>
                              </a:rPr>
                              <m:t> ú</m:t>
                            </m:r>
                            <m:r>
                              <m:rPr>
                                <m:sty m:val="p"/>
                              </m:rPr>
                              <a:rPr lang="pt-BR" sz="800" i="0">
                                <a:latin typeface="Cambria Math" panose="02040503050406030204" pitchFamily="18" charset="0"/>
                              </a:rPr>
                              <m:t>ltimos</m:t>
                            </m:r>
                            <m:r>
                              <a:rPr lang="pt-BR" sz="800" i="0">
                                <a:latin typeface="Cambria Math" panose="02040503050406030204" pitchFamily="18" charset="0"/>
                              </a:rPr>
                              <m:t> 2 </m:t>
                            </m:r>
                            <m:r>
                              <m:rPr>
                                <m:sty m:val="p"/>
                              </m:rPr>
                              <a:rPr lang="pt-BR" sz="800" i="0">
                                <a:latin typeface="Cambria Math" panose="02040503050406030204" pitchFamily="18" charset="0"/>
                              </a:rPr>
                              <m:t>trimestres</m:t>
                            </m:r>
                            <m:r>
                              <a:rPr lang="pt-BR" sz="800" i="0">
                                <a:latin typeface="Cambria Math" panose="02040503050406030204" pitchFamily="18" charset="0"/>
                              </a:rPr>
                              <m:t> (</m:t>
                            </m:r>
                            <m:r>
                              <m:rPr>
                                <m:sty m:val="p"/>
                              </m:rPr>
                              <a:rPr lang="pt-BR" sz="800" i="0">
                                <a:latin typeface="Cambria Math" panose="02040503050406030204" pitchFamily="18" charset="0"/>
                              </a:rPr>
                              <m:t>Empr</m:t>
                            </m:r>
                            <m:r>
                              <a:rPr lang="pt-BR" sz="800" i="0">
                                <a:latin typeface="Cambria Math" panose="02040503050406030204" pitchFamily="18" charset="0"/>
                              </a:rPr>
                              <m:t>é</m:t>
                            </m:r>
                            <m:r>
                              <m:rPr>
                                <m:sty m:val="p"/>
                              </m:rPr>
                              <a:rPr lang="pt-BR" sz="800" i="0">
                                <a:latin typeface="Cambria Math" panose="02040503050406030204" pitchFamily="18" charset="0"/>
                              </a:rPr>
                              <m:t>stimos</m:t>
                            </m:r>
                            <m:r>
                              <a:rPr lang="pt-BR" sz="800" i="0">
                                <a:latin typeface="Cambria Math" panose="02040503050406030204" pitchFamily="18" charset="0"/>
                              </a:rPr>
                              <m:t> </m:t>
                            </m:r>
                            <m:r>
                              <m:rPr>
                                <m:sty m:val="p"/>
                              </m:rPr>
                              <a:rPr lang="pt-BR" sz="800" i="0">
                                <a:latin typeface="Cambria Math" panose="02040503050406030204" pitchFamily="18" charset="0"/>
                              </a:rPr>
                              <m:t>a</m:t>
                            </m:r>
                            <m:r>
                              <a:rPr lang="pt-BR" sz="800" i="0">
                                <a:latin typeface="Cambria Math" panose="02040503050406030204" pitchFamily="18" charset="0"/>
                              </a:rPr>
                              <m:t> </m:t>
                            </m:r>
                            <m:r>
                              <m:rPr>
                                <m:sty m:val="p"/>
                              </m:rPr>
                              <a:rPr lang="pt-BR" sz="800" i="0">
                                <a:latin typeface="Cambria Math" panose="02040503050406030204" pitchFamily="18" charset="0"/>
                              </a:rPr>
                              <m:t>institui</m:t>
                            </m:r>
                            <m:r>
                              <a:rPr lang="pt-BR" sz="800" i="0">
                                <a:latin typeface="Cambria Math" panose="02040503050406030204" pitchFamily="18" charset="0"/>
                              </a:rPr>
                              <m:t>çõ</m:t>
                            </m:r>
                            <m:r>
                              <m:rPr>
                                <m:sty m:val="p"/>
                              </m:rPr>
                              <a:rPr lang="pt-BR" sz="800" i="0">
                                <a:latin typeface="Cambria Math" panose="02040503050406030204" pitchFamily="18" charset="0"/>
                              </a:rPr>
                              <m:t>es</m:t>
                            </m:r>
                            <m:r>
                              <a:rPr lang="pt-BR" sz="800" i="0">
                                <a:latin typeface="Cambria Math" panose="02040503050406030204" pitchFamily="18" charset="0"/>
                              </a:rPr>
                              <m:t> </m:t>
                            </m:r>
                            <m:r>
                              <m:rPr>
                                <m:sty m:val="p"/>
                              </m:rPr>
                              <a:rPr lang="pt-BR" sz="800" i="0">
                                <a:latin typeface="Cambria Math" panose="02040503050406030204" pitchFamily="18" charset="0"/>
                              </a:rPr>
                              <m:t>financeiras</m:t>
                            </m:r>
                            <m:r>
                              <a:rPr lang="pt-BR" sz="800">
                                <a:latin typeface="Cambria Math" panose="02040503050406030204" pitchFamily="18" charset="0"/>
                              </a:rPr>
                              <m:t>+ </m:t>
                            </m:r>
                            <m:r>
                              <m:rPr>
                                <m:sty m:val="p"/>
                              </m:rPr>
                              <a:rPr lang="pt-BR" sz="800">
                                <a:latin typeface="Cambria Math" panose="02040503050406030204" pitchFamily="18" charset="0"/>
                              </a:rPr>
                              <m:t>Valores</m:t>
                            </m:r>
                            <m:r>
                              <a:rPr lang="pt-BR" sz="800">
                                <a:latin typeface="Cambria Math" panose="02040503050406030204" pitchFamily="18" charset="0"/>
                              </a:rPr>
                              <m:t> </m:t>
                            </m:r>
                            <m:r>
                              <m:rPr>
                                <m:sty m:val="p"/>
                              </m:rPr>
                              <a:rPr lang="pt-BR" sz="800">
                                <a:latin typeface="Cambria Math" panose="02040503050406030204" pitchFamily="18" charset="0"/>
                              </a:rPr>
                              <m:t>Mobili</m:t>
                            </m:r>
                            <m:r>
                              <a:rPr lang="pt-BR" sz="800">
                                <a:latin typeface="Cambria Math" panose="02040503050406030204" pitchFamily="18" charset="0"/>
                              </a:rPr>
                              <m:t>á</m:t>
                            </m:r>
                            <m:r>
                              <m:rPr>
                                <m:sty m:val="p"/>
                              </m:rPr>
                              <a:rPr lang="pt-BR" sz="800">
                                <a:latin typeface="Cambria Math" panose="02040503050406030204" pitchFamily="18" charset="0"/>
                              </a:rPr>
                              <m:t>rios</m:t>
                            </m:r>
                            <m:r>
                              <a:rPr lang="pt-BR" sz="800">
                                <a:latin typeface="Cambria Math" panose="02040503050406030204" pitchFamily="18" charset="0"/>
                              </a:rPr>
                              <m:t> + </m:t>
                            </m:r>
                          </m:e>
                          <m:e>
                            <m:r>
                              <m:rPr>
                                <m:sty m:val="p"/>
                              </m:rPr>
                              <a:rPr lang="pt-BR" sz="800" i="0">
                                <a:latin typeface="Cambria Math" panose="02040503050406030204" pitchFamily="18" charset="0"/>
                              </a:rPr>
                              <m:t>Derivativos</m:t>
                            </m:r>
                            <m:r>
                              <a:rPr lang="pt-BR" sz="800" i="0">
                                <a:latin typeface="Cambria Math" panose="02040503050406030204" pitchFamily="18" charset="0"/>
                              </a:rPr>
                              <m:t> + </m:t>
                            </m:r>
                            <m:r>
                              <m:rPr>
                                <m:sty m:val="p"/>
                              </m:rPr>
                              <a:rPr lang="pt-BR" sz="800" i="0">
                                <a:latin typeface="Cambria Math" panose="02040503050406030204" pitchFamily="18" charset="0"/>
                              </a:rPr>
                              <m:t>Empr</m:t>
                            </m:r>
                            <m:r>
                              <a:rPr lang="pt-BR" sz="800" i="0">
                                <a:latin typeface="Cambria Math" panose="02040503050406030204" pitchFamily="18" charset="0"/>
                              </a:rPr>
                              <m:t>é</m:t>
                            </m:r>
                            <m:r>
                              <m:rPr>
                                <m:sty m:val="p"/>
                              </m:rPr>
                              <a:rPr lang="pt-BR" sz="800" i="0">
                                <a:latin typeface="Cambria Math" panose="02040503050406030204" pitchFamily="18" charset="0"/>
                              </a:rPr>
                              <m:t>stimos</m:t>
                            </m:r>
                            <m:r>
                              <a:rPr lang="pt-BR" sz="800" i="0">
                                <a:latin typeface="Cambria Math" panose="02040503050406030204" pitchFamily="18" charset="0"/>
                              </a:rPr>
                              <m:t> </m:t>
                            </m:r>
                            <m:r>
                              <m:rPr>
                                <m:sty m:val="p"/>
                              </m:rPr>
                              <a:rPr lang="pt-BR" sz="800" i="0">
                                <a:latin typeface="Cambria Math" panose="02040503050406030204" pitchFamily="18" charset="0"/>
                              </a:rPr>
                              <m:t>e</m:t>
                            </m:r>
                            <m:r>
                              <a:rPr lang="pt-BR" sz="800" i="0">
                                <a:latin typeface="Cambria Math" panose="02040503050406030204" pitchFamily="18" charset="0"/>
                              </a:rPr>
                              <m:t> </m:t>
                            </m:r>
                            <m:r>
                              <m:rPr>
                                <m:sty m:val="p"/>
                              </m:rPr>
                              <a:rPr lang="pt-BR" sz="800" i="0">
                                <a:latin typeface="Cambria Math" panose="02040503050406030204" pitchFamily="18" charset="0"/>
                              </a:rPr>
                              <m:t>adiantamentos</m:t>
                            </m:r>
                            <m:r>
                              <a:rPr lang="pt-BR" sz="800" i="0">
                                <a:latin typeface="Cambria Math" panose="02040503050406030204" pitchFamily="18" charset="0"/>
                              </a:rPr>
                              <m:t> </m:t>
                            </m:r>
                            <m:r>
                              <m:rPr>
                                <m:sty m:val="p"/>
                              </m:rPr>
                              <a:rPr lang="pt-BR" sz="800" i="0">
                                <a:latin typeface="Cambria Math" panose="02040503050406030204" pitchFamily="18" charset="0"/>
                              </a:rPr>
                              <m:t>a</m:t>
                            </m:r>
                            <m:r>
                              <a:rPr lang="pt-BR" sz="800" i="0">
                                <a:latin typeface="Cambria Math" panose="02040503050406030204" pitchFamily="18" charset="0"/>
                              </a:rPr>
                              <m:t> </m:t>
                            </m:r>
                            <m:r>
                              <m:rPr>
                                <m:sty m:val="p"/>
                              </m:rPr>
                              <a:rPr lang="pt-BR" sz="800" i="0">
                                <a:latin typeface="Cambria Math" panose="02040503050406030204" pitchFamily="18" charset="0"/>
                              </a:rPr>
                              <m:t>clientes</m:t>
                            </m:r>
                            <m:r>
                              <a:rPr lang="pt-BR" sz="800" b="0" i="0">
                                <a:latin typeface="Cambria Math" panose="02040503050406030204" pitchFamily="18" charset="0"/>
                              </a:rPr>
                              <m:t>)</m:t>
                            </m:r>
                          </m:e>
                        </m:eqArr>
                      </m:den>
                    </m:f>
                    <m:r>
                      <a:rPr lang="pt-BR" sz="800" i="0">
                        <a:latin typeface="Cambria Math" panose="02040503050406030204" pitchFamily="18" charset="0"/>
                      </a:rPr>
                      <m:t> </m:t>
                    </m:r>
                  </m:oMath>
                </m:oMathPara>
              </a14:m>
              <a:endParaRPr lang="en-US" sz="800" b="1">
                <a:latin typeface="Calibri" panose="020F0502020204030204" pitchFamily="34" charset="0"/>
                <a:cs typeface="Calibri" panose="020F0502020204030204" pitchFamily="34" charset="0"/>
              </a:endParaRPr>
            </a:p>
            <a:p>
              <a:pPr algn="ct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NIM 2.0 - Baseado na carteira remunerada</a:t>
              </a:r>
              <a:br>
                <a:rPr lang="en-US" sz="800" b="1">
                  <a:latin typeface="Calibri" panose="020F0502020204030204" pitchFamily="34" charset="0"/>
                  <a:cs typeface="Calibri" panose="020F0502020204030204" pitchFamily="34" charset="0"/>
                </a:rPr>
              </a:br>
              <a:endParaRPr lang="en-US" sz="800" b="1">
                <a:latin typeface="Calibri" panose="020F05020202040302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a:latin typeface="Cambria Math" panose="02040503050406030204" pitchFamily="18" charset="0"/>
                          </a:rPr>
                          <m:t>Resultado</m:t>
                        </m:r>
                        <m:r>
                          <a:rPr lang="pt-BR" sz="800">
                            <a:latin typeface="Cambria Math" panose="02040503050406030204" pitchFamily="18" charset="0"/>
                          </a:rPr>
                          <m:t> </m:t>
                        </m:r>
                        <m:r>
                          <m:rPr>
                            <m:sty m:val="p"/>
                          </m:rPr>
                          <a:rPr lang="pt-BR" sz="800">
                            <a:latin typeface="Cambria Math" panose="02040503050406030204" pitchFamily="18" charset="0"/>
                          </a:rPr>
                          <m:t>l</m:t>
                        </m:r>
                        <m:r>
                          <a:rPr lang="pt-BR" sz="800">
                            <a:latin typeface="Cambria Math" panose="02040503050406030204" pitchFamily="18" charset="0"/>
                          </a:rPr>
                          <m:t>í</m:t>
                        </m:r>
                        <m:r>
                          <m:rPr>
                            <m:sty m:val="p"/>
                          </m:rPr>
                          <a:rPr lang="pt-BR" sz="800">
                            <a:latin typeface="Cambria Math" panose="02040503050406030204" pitchFamily="18" charset="0"/>
                          </a:rPr>
                          <m:t>quido</m:t>
                        </m:r>
                        <m:r>
                          <a:rPr lang="pt-BR" sz="800">
                            <a:latin typeface="Cambria Math" panose="02040503050406030204" pitchFamily="18" charset="0"/>
                          </a:rPr>
                          <m:t> </m:t>
                        </m:r>
                        <m:r>
                          <m:rPr>
                            <m:sty m:val="p"/>
                          </m:rPr>
                          <a:rPr lang="pt-BR" sz="800">
                            <a:latin typeface="Cambria Math" panose="02040503050406030204" pitchFamily="18" charset="0"/>
                          </a:rPr>
                          <m:t>de</m:t>
                        </m:r>
                        <m:r>
                          <a:rPr lang="pt-BR" sz="800">
                            <a:latin typeface="Cambria Math" panose="02040503050406030204" pitchFamily="18" charset="0"/>
                          </a:rPr>
                          <m:t> </m:t>
                        </m:r>
                        <m:r>
                          <m:rPr>
                            <m:sty m:val="p"/>
                          </m:rPr>
                          <a:rPr lang="pt-BR" sz="800">
                            <a:latin typeface="Cambria Math" panose="02040503050406030204" pitchFamily="18" charset="0"/>
                          </a:rPr>
                          <m:t>juros</m:t>
                        </m:r>
                        <m:r>
                          <a:rPr lang="pt-BR" sz="800">
                            <a:latin typeface="Cambria Math" panose="02040503050406030204" pitchFamily="18" charset="0"/>
                          </a:rPr>
                          <m:t> </m:t>
                        </m:r>
                        <m:r>
                          <m:rPr>
                            <m:sty m:val="p"/>
                          </m:rPr>
                          <a:rPr lang="pt-BR" sz="800">
                            <a:latin typeface="Cambria Math" panose="02040503050406030204" pitchFamily="18" charset="0"/>
                          </a:rPr>
                          <m:t>x</m:t>
                        </m:r>
                        <m:r>
                          <a:rPr lang="pt-BR" sz="800">
                            <a:latin typeface="Cambria Math" panose="02040503050406030204" pitchFamily="18" charset="0"/>
                          </a:rPr>
                          <m:t> 4</m:t>
                        </m:r>
                      </m:num>
                      <m:den>
                        <m:eqArr>
                          <m:eqArrPr>
                            <m:ctrlPr>
                              <a:rPr lang="en-US" sz="800" i="1">
                                <a:latin typeface="Cambria Math" panose="02040503050406030204" pitchFamily="18" charset="0"/>
                              </a:rPr>
                            </m:ctrlPr>
                          </m:eqArrPr>
                          <m:e>
                            <m:r>
                              <m:rPr>
                                <m:nor/>
                              </m:rPr>
                              <a:rPr lang="en-US" sz="800">
                                <a:latin typeface="Calibri" panose="020F0502020204030204" pitchFamily="34" charset="0"/>
                                <a:cs typeface="Calibri" panose="020F0502020204030204" pitchFamily="34" charset="0"/>
                              </a:rPr>
                              <m:t>M</m:t>
                            </m:r>
                            <m:r>
                              <m:rPr>
                                <m:nor/>
                              </m:rPr>
                              <a:rPr lang="en-US" sz="800">
                                <a:latin typeface="Calibri" panose="020F0502020204030204" pitchFamily="34" charset="0"/>
                                <a:cs typeface="Calibri" panose="020F0502020204030204" pitchFamily="34" charset="0"/>
                              </a:rPr>
                              <m:t>é</m:t>
                            </m:r>
                            <m:r>
                              <m:rPr>
                                <m:nor/>
                              </m:rPr>
                              <a:rPr lang="en-US" sz="800">
                                <a:latin typeface="Calibri" panose="020F0502020204030204" pitchFamily="34" charset="0"/>
                                <a:cs typeface="Calibri" panose="020F0502020204030204" pitchFamily="34" charset="0"/>
                              </a:rPr>
                              <m:t>dia</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da</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carteira</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remunerada</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dos</m:t>
                            </m:r>
                            <m:r>
                              <m:rPr>
                                <m:nor/>
                              </m:rPr>
                              <a:rPr lang="en-US" sz="800">
                                <a:latin typeface="Calibri" panose="020F0502020204030204" pitchFamily="34" charset="0"/>
                                <a:cs typeface="Calibri" panose="020F0502020204030204" pitchFamily="34" charset="0"/>
                              </a:rPr>
                              <m:t> ú</m:t>
                            </m:r>
                            <m:r>
                              <m:rPr>
                                <m:nor/>
                              </m:rPr>
                              <a:rPr lang="en-US" sz="800">
                                <a:latin typeface="Calibri" panose="020F0502020204030204" pitchFamily="34" charset="0"/>
                                <a:cs typeface="Calibri" panose="020F0502020204030204" pitchFamily="34" charset="0"/>
                              </a:rPr>
                              <m:t>ltimos</m:t>
                            </m:r>
                            <m:r>
                              <m:rPr>
                                <m:nor/>
                              </m:rPr>
                              <a:rPr lang="en-US" sz="800">
                                <a:latin typeface="Calibri" panose="020F0502020204030204" pitchFamily="34" charset="0"/>
                                <a:cs typeface="Calibri" panose="020F0502020204030204" pitchFamily="34" charset="0"/>
                              </a:rPr>
                              <m:t> 2 </m:t>
                            </m:r>
                            <m:r>
                              <m:rPr>
                                <m:nor/>
                              </m:rPr>
                              <a:rPr lang="en-US" sz="800">
                                <a:latin typeface="Calibri" panose="020F0502020204030204" pitchFamily="34" charset="0"/>
                                <a:cs typeface="Calibri" panose="020F0502020204030204" pitchFamily="34" charset="0"/>
                              </a:rPr>
                              <m:t>trimestres</m:t>
                            </m:r>
                            <m:r>
                              <m:rPr>
                                <m:nor/>
                              </m:rPr>
                              <a:rPr lang="en-US" sz="800">
                                <a:latin typeface="Calibri" panose="020F0502020204030204" pitchFamily="34" charset="0"/>
                                <a:cs typeface="Calibri" panose="020F0502020204030204" pitchFamily="34" charset="0"/>
                              </a:rPr>
                              <m:t> – </m:t>
                            </m:r>
                            <m:r>
                              <m:rPr>
                                <m:nor/>
                              </m:rPr>
                              <a:rPr lang="en-US" sz="800">
                                <a:latin typeface="Calibri" panose="020F0502020204030204" pitchFamily="34" charset="0"/>
                                <a:cs typeface="Calibri" panose="020F0502020204030204" pitchFamily="34" charset="0"/>
                              </a:rPr>
                              <m:t>Receb</m:t>
                            </m:r>
                            <m:r>
                              <m:rPr>
                                <m:nor/>
                              </m:rPr>
                              <a:rPr lang="en-US" sz="800">
                                <a:latin typeface="Calibri" panose="020F0502020204030204" pitchFamily="34" charset="0"/>
                                <a:cs typeface="Calibri" panose="020F0502020204030204" pitchFamily="34" charset="0"/>
                              </a:rPr>
                              <m:t>í</m:t>
                            </m:r>
                            <m:r>
                              <m:rPr>
                                <m:nor/>
                              </m:rPr>
                              <a:rPr lang="en-US" sz="800">
                                <a:latin typeface="Calibri" panose="020F0502020204030204" pitchFamily="34" charset="0"/>
                                <a:cs typeface="Calibri" panose="020F0502020204030204" pitchFamily="34" charset="0"/>
                              </a:rPr>
                              <m:t>veis</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cart</m:t>
                            </m:r>
                            <m:r>
                              <m:rPr>
                                <m:nor/>
                              </m:rPr>
                              <a:rPr lang="en-US" sz="800">
                                <a:latin typeface="Calibri" panose="020F0502020204030204" pitchFamily="34" charset="0"/>
                                <a:cs typeface="Calibri" panose="020F0502020204030204" pitchFamily="34" charset="0"/>
                              </a:rPr>
                              <m:t>ã</m:t>
                            </m:r>
                            <m:r>
                              <m:rPr>
                                <m:nor/>
                              </m:rPr>
                              <a:rPr lang="en-US" sz="800">
                                <a:latin typeface="Calibri" panose="020F0502020204030204" pitchFamily="34" charset="0"/>
                                <a:cs typeface="Calibri" panose="020F0502020204030204" pitchFamily="34" charset="0"/>
                              </a:rPr>
                              <m:t>ode</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cr</m:t>
                            </m:r>
                            <m:r>
                              <m:rPr>
                                <m:nor/>
                              </m:rPr>
                              <a:rPr lang="en-US" sz="800">
                                <a:latin typeface="Calibri" panose="020F0502020204030204" pitchFamily="34" charset="0"/>
                                <a:cs typeface="Calibri" panose="020F0502020204030204" pitchFamily="34" charset="0"/>
                              </a:rPr>
                              <m:t>é</m:t>
                            </m:r>
                            <m:r>
                              <m:rPr>
                                <m:nor/>
                              </m:rPr>
                              <a:rPr lang="en-US" sz="800">
                                <a:latin typeface="Calibri" panose="020F0502020204030204" pitchFamily="34" charset="0"/>
                                <a:cs typeface="Calibri" panose="020F0502020204030204" pitchFamily="34" charset="0"/>
                              </a:rPr>
                              <m:t>dito</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n</m:t>
                            </m:r>
                            <m:r>
                              <m:rPr>
                                <m:nor/>
                              </m:rPr>
                              <a:rPr lang="en-US" sz="800">
                                <a:latin typeface="Calibri" panose="020F0502020204030204" pitchFamily="34" charset="0"/>
                                <a:cs typeface="Calibri" panose="020F0502020204030204" pitchFamily="34" charset="0"/>
                              </a:rPr>
                              <m:t>ã</m:t>
                            </m:r>
                            <m:r>
                              <m:rPr>
                                <m:nor/>
                              </m:rPr>
                              <a:rPr lang="en-US" sz="800">
                                <a:latin typeface="Calibri" panose="020F0502020204030204" pitchFamily="34" charset="0"/>
                                <a:cs typeface="Calibri" panose="020F0502020204030204" pitchFamily="34" charset="0"/>
                              </a:rPr>
                              <m:t>o</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remunerados</m:t>
                            </m:r>
                            <m:r>
                              <m:rPr>
                                <m:nor/>
                              </m:rPr>
                              <a:rPr lang="pt-BR" sz="800">
                                <a:latin typeface="Calibri" panose="020F0502020204030204" pitchFamily="34" charset="0"/>
                                <a:cs typeface="Calibri" panose="020F0502020204030204" pitchFamily="34" charset="0"/>
                              </a:rPr>
                              <m:t> </m:t>
                            </m:r>
                          </m:e>
                          <m:e>
                            <m:r>
                              <m:rPr>
                                <m:nor/>
                              </m:rPr>
                              <a:rPr lang="en-US" sz="800">
                                <a:latin typeface="Calibri" panose="020F0502020204030204" pitchFamily="34" charset="0"/>
                                <a:cs typeface="Calibri" panose="020F0502020204030204" pitchFamily="34" charset="0"/>
                              </a:rPr>
                              <m:t>(</m:t>
                            </m:r>
                            <m:r>
                              <m:rPr>
                                <m:nor/>
                              </m:rPr>
                              <a:rPr lang="en-US" sz="800">
                                <a:latin typeface="Calibri" panose="020F0502020204030204" pitchFamily="34" charset="0"/>
                                <a:cs typeface="Calibri" panose="020F0502020204030204" pitchFamily="34" charset="0"/>
                              </a:rPr>
                              <m:t>Empr</m:t>
                            </m:r>
                            <m:r>
                              <m:rPr>
                                <m:nor/>
                              </m:rPr>
                              <a:rPr lang="en-US" sz="800">
                                <a:latin typeface="Calibri" panose="020F0502020204030204" pitchFamily="34" charset="0"/>
                                <a:cs typeface="Calibri" panose="020F0502020204030204" pitchFamily="34" charset="0"/>
                              </a:rPr>
                              <m:t>é</m:t>
                            </m:r>
                            <m:r>
                              <m:rPr>
                                <m:nor/>
                              </m:rPr>
                              <a:rPr lang="en-US" sz="800">
                                <a:latin typeface="Calibri" panose="020F0502020204030204" pitchFamily="34" charset="0"/>
                                <a:cs typeface="Calibri" panose="020F0502020204030204" pitchFamily="34" charset="0"/>
                              </a:rPr>
                              <m:t>stimos</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a</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institui</m:t>
                            </m:r>
                            <m:r>
                              <m:rPr>
                                <m:nor/>
                              </m:rPr>
                              <a:rPr lang="en-US" sz="800">
                                <a:latin typeface="Calibri" panose="020F0502020204030204" pitchFamily="34" charset="0"/>
                                <a:cs typeface="Calibri" panose="020F0502020204030204" pitchFamily="34" charset="0"/>
                              </a:rPr>
                              <m:t>çõ</m:t>
                            </m:r>
                            <m:r>
                              <m:rPr>
                                <m:nor/>
                              </m:rPr>
                              <a:rPr lang="en-US" sz="800">
                                <a:latin typeface="Calibri" panose="020F0502020204030204" pitchFamily="34" charset="0"/>
                                <a:cs typeface="Calibri" panose="020F0502020204030204" pitchFamily="34" charset="0"/>
                              </a:rPr>
                              <m:t>esfinanceiras</m:t>
                            </m:r>
                            <m:r>
                              <m:rPr>
                                <m:nor/>
                              </m:rPr>
                              <a:rPr lang="pt-BR"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Valores</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Mobili</m:t>
                            </m:r>
                            <m:r>
                              <m:rPr>
                                <m:nor/>
                              </m:rPr>
                              <a:rPr lang="en-US" sz="800">
                                <a:latin typeface="Calibri" panose="020F0502020204030204" pitchFamily="34" charset="0"/>
                                <a:cs typeface="Calibri" panose="020F0502020204030204" pitchFamily="34" charset="0"/>
                              </a:rPr>
                              <m:t>á</m:t>
                            </m:r>
                            <m:r>
                              <m:rPr>
                                <m:nor/>
                              </m:rPr>
                              <a:rPr lang="en-US" sz="800">
                                <a:latin typeface="Calibri" panose="020F0502020204030204" pitchFamily="34" charset="0"/>
                                <a:cs typeface="Calibri" panose="020F0502020204030204" pitchFamily="34" charset="0"/>
                              </a:rPr>
                              <m:t>rios</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Derivativos</m:t>
                            </m:r>
                            <m:r>
                              <m:rPr>
                                <m:nor/>
                              </m:rPr>
                              <a:rPr lang="en-US" sz="800">
                                <a:latin typeface="Calibri" panose="020F0502020204030204" pitchFamily="34" charset="0"/>
                                <a:cs typeface="Calibri" panose="020F0502020204030204" pitchFamily="34" charset="0"/>
                              </a:rPr>
                              <m:t> + </m:t>
                            </m:r>
                            <m:r>
                              <m:rPr>
                                <m:nor/>
                              </m:rPr>
                              <a:rPr lang="en-US" sz="800">
                                <a:latin typeface="Calibri" panose="020F0502020204030204" pitchFamily="34" charset="0"/>
                                <a:cs typeface="Calibri" panose="020F0502020204030204" pitchFamily="34" charset="0"/>
                              </a:rPr>
                              <m:t>Empr</m:t>
                            </m:r>
                            <m:r>
                              <m:rPr>
                                <m:nor/>
                              </m:rPr>
                              <a:rPr lang="en-US" sz="800">
                                <a:latin typeface="Calibri" panose="020F0502020204030204" pitchFamily="34" charset="0"/>
                                <a:cs typeface="Calibri" panose="020F0502020204030204" pitchFamily="34" charset="0"/>
                              </a:rPr>
                              <m:t>é</m:t>
                            </m:r>
                            <m:r>
                              <m:rPr>
                                <m:nor/>
                              </m:rPr>
                              <a:rPr lang="en-US" sz="800">
                                <a:latin typeface="Calibri" panose="020F0502020204030204" pitchFamily="34" charset="0"/>
                                <a:cs typeface="Calibri" panose="020F0502020204030204" pitchFamily="34" charset="0"/>
                              </a:rPr>
                              <m:t>stimos</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e</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adiantamentos</m:t>
                            </m:r>
                            <m:r>
                              <m:rPr>
                                <m:nor/>
                              </m:rPr>
                              <a:rPr lang="en-US" sz="800">
                                <a:latin typeface="Calibri" panose="020F0502020204030204" pitchFamily="34" charset="0"/>
                                <a:cs typeface="Calibri" panose="020F0502020204030204" pitchFamily="34" charset="0"/>
                              </a:rPr>
                              <m:t> </m:t>
                            </m:r>
                          </m:e>
                          <m:e>
                            <m:r>
                              <m:rPr>
                                <m:nor/>
                              </m:rPr>
                              <a:rPr lang="en-US" sz="800">
                                <a:latin typeface="Calibri" panose="020F0502020204030204" pitchFamily="34" charset="0"/>
                                <a:cs typeface="Calibri" panose="020F0502020204030204" pitchFamily="34" charset="0"/>
                              </a:rPr>
                              <m:t>a</m:t>
                            </m:r>
                            <m:r>
                              <a:rPr lang="pt-BR" sz="800">
                                <a:latin typeface="Cambria Math" panose="02040503050406030204" pitchFamily="18" charset="0"/>
                              </a:rPr>
                              <m:t> </m:t>
                            </m:r>
                            <m:r>
                              <m:rPr>
                                <m:sty m:val="p"/>
                              </m:rPr>
                              <a:rPr lang="pt-BR" sz="800">
                                <a:latin typeface="Cambria Math" panose="02040503050406030204" pitchFamily="18" charset="0"/>
                              </a:rPr>
                              <m:t>clientes</m:t>
                            </m:r>
                            <m:r>
                              <m:rPr>
                                <m:nor/>
                              </m:rPr>
                              <a:rPr lang="pt-BR"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 </m:t>
                            </m:r>
                            <m:r>
                              <m:rPr>
                                <m:nor/>
                              </m:rPr>
                              <a:rPr lang="pt-BR" sz="800">
                                <a:latin typeface="Calibri" panose="020F0502020204030204" pitchFamily="34" charset="0"/>
                                <a:cs typeface="Calibri" panose="020F0502020204030204" pitchFamily="34" charset="0"/>
                              </a:rPr>
                              <m:t>C</m:t>
                            </m:r>
                            <m:r>
                              <m:rPr>
                                <m:nor/>
                              </m:rPr>
                              <a:rPr lang="en-US" sz="800">
                                <a:latin typeface="Calibri" panose="020F0502020204030204" pitchFamily="34" charset="0"/>
                                <a:cs typeface="Calibri" panose="020F0502020204030204" pitchFamily="34" charset="0"/>
                              </a:rPr>
                              <m:t>arteira</m:t>
                            </m:r>
                            <m:r>
                              <m:rPr>
                                <m:nor/>
                              </m:rPr>
                              <a:rPr lang="en-US" sz="800">
                                <a:latin typeface="Calibri" panose="020F0502020204030204" pitchFamily="34" charset="0"/>
                                <a:cs typeface="Calibri" panose="020F0502020204030204" pitchFamily="34" charset="0"/>
                              </a:rPr>
                              <m:t> à </m:t>
                            </m:r>
                            <m:r>
                              <m:rPr>
                                <m:nor/>
                              </m:rPr>
                              <a:rPr lang="en-US" sz="800">
                                <a:latin typeface="Calibri" panose="020F0502020204030204" pitchFamily="34" charset="0"/>
                                <a:cs typeface="Calibri" panose="020F0502020204030204" pitchFamily="34" charset="0"/>
                              </a:rPr>
                              <m:t>vista</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de</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cart</m:t>
                            </m:r>
                            <m:r>
                              <m:rPr>
                                <m:nor/>
                              </m:rPr>
                              <a:rPr lang="en-US" sz="800">
                                <a:latin typeface="Calibri" panose="020F0502020204030204" pitchFamily="34" charset="0"/>
                                <a:cs typeface="Calibri" panose="020F0502020204030204" pitchFamily="34" charset="0"/>
                              </a:rPr>
                              <m:t>ã</m:t>
                            </m:r>
                            <m:r>
                              <m:rPr>
                                <m:nor/>
                              </m:rPr>
                              <a:rPr lang="en-US" sz="800">
                                <a:latin typeface="Calibri" panose="020F0502020204030204" pitchFamily="34" charset="0"/>
                                <a:cs typeface="Calibri" panose="020F0502020204030204" pitchFamily="34" charset="0"/>
                              </a:rPr>
                              <m:t>o</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de</m:t>
                            </m:r>
                            <m:r>
                              <m:rPr>
                                <m:nor/>
                              </m:rPr>
                              <a:rPr lang="en-US" sz="800">
                                <a:latin typeface="Calibri" panose="020F0502020204030204" pitchFamily="34" charset="0"/>
                                <a:cs typeface="Calibri" panose="020F0502020204030204" pitchFamily="34" charset="0"/>
                              </a:rPr>
                              <m:t> </m:t>
                            </m:r>
                            <m:r>
                              <m:rPr>
                                <m:nor/>
                              </m:rPr>
                              <a:rPr lang="en-US" sz="800">
                                <a:latin typeface="Calibri" panose="020F0502020204030204" pitchFamily="34" charset="0"/>
                                <a:cs typeface="Calibri" panose="020F0502020204030204" pitchFamily="34" charset="0"/>
                              </a:rPr>
                              <m:t>cr</m:t>
                            </m:r>
                            <m:r>
                              <m:rPr>
                                <m:nor/>
                              </m:rPr>
                              <a:rPr lang="en-US" sz="800">
                                <a:latin typeface="Calibri" panose="020F0502020204030204" pitchFamily="34" charset="0"/>
                                <a:cs typeface="Calibri" panose="020F0502020204030204" pitchFamily="34" charset="0"/>
                              </a:rPr>
                              <m:t>é</m:t>
                            </m:r>
                            <m:r>
                              <m:rPr>
                                <m:nor/>
                              </m:rPr>
                              <a:rPr lang="en-US" sz="800">
                                <a:latin typeface="Calibri" panose="020F0502020204030204" pitchFamily="34" charset="0"/>
                                <a:cs typeface="Calibri" panose="020F0502020204030204" pitchFamily="34" charset="0"/>
                              </a:rPr>
                              <m:t>dito</m:t>
                            </m:r>
                            <m:r>
                              <a:rPr lang="pt-BR" sz="800">
                                <a:latin typeface="Cambria Math" panose="02040503050406030204" pitchFamily="18" charset="0"/>
                              </a:rPr>
                              <m:t>)</m:t>
                            </m:r>
                            <m:r>
                              <m:rPr>
                                <m:nor/>
                              </m:rPr>
                              <a:rPr lang="pt-BR" sz="800">
                                <a:latin typeface="Calibri" panose="020F0502020204030204" pitchFamily="34" charset="0"/>
                                <a:cs typeface="Calibri" panose="020F0502020204030204" pitchFamily="34" charset="0"/>
                              </a:rPr>
                              <m:t> </m:t>
                            </m:r>
                          </m:e>
                        </m:eqArr>
                      </m:den>
                    </m:f>
                  </m:oMath>
                </m:oMathPara>
              </a14:m>
              <a:endParaRPr lang="en-US" sz="800">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NPL 15 a 90 dias:</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i="0">
                            <a:latin typeface="Cambria Math" panose="02040503050406030204" pitchFamily="18" charset="0"/>
                          </a:rPr>
                          <m:t>Saldo</m:t>
                        </m:r>
                        <m:r>
                          <a:rPr lang="pt-BR" sz="800" i="0">
                            <a:latin typeface="Cambria Math" panose="02040503050406030204" pitchFamily="18" charset="0"/>
                          </a:rPr>
                          <m:t> </m:t>
                        </m:r>
                        <m:r>
                          <m:rPr>
                            <m:sty m:val="p"/>
                          </m:rPr>
                          <a:rPr lang="pt-BR" sz="800" i="0">
                            <a:latin typeface="Cambria Math" panose="02040503050406030204" pitchFamily="18" charset="0"/>
                          </a:rPr>
                          <m:t>vencido</m:t>
                        </m:r>
                        <m:r>
                          <a:rPr lang="pt-BR" sz="800" i="0">
                            <a:latin typeface="Cambria Math" panose="02040503050406030204" pitchFamily="18" charset="0"/>
                          </a:rPr>
                          <m:t> </m:t>
                        </m:r>
                        <m:r>
                          <m:rPr>
                            <m:sty m:val="p"/>
                          </m:rPr>
                          <a:rPr lang="pt-BR" sz="800" b="0" i="0">
                            <a:latin typeface="Cambria Math" panose="02040503050406030204" pitchFamily="18" charset="0"/>
                          </a:rPr>
                          <m:t>entre</m:t>
                        </m:r>
                        <m:r>
                          <a:rPr lang="pt-BR" sz="800" b="0" i="0">
                            <a:latin typeface="Cambria Math" panose="02040503050406030204" pitchFamily="18" charset="0"/>
                          </a:rPr>
                          <m:t> 15 </m:t>
                        </m:r>
                        <m:r>
                          <m:rPr>
                            <m:sty m:val="p"/>
                          </m:rPr>
                          <a:rPr lang="pt-BR" sz="800" b="0" i="0">
                            <a:latin typeface="Cambria Math" panose="02040503050406030204" pitchFamily="18" charset="0"/>
                          </a:rPr>
                          <m:t>e</m:t>
                        </m:r>
                        <m:r>
                          <a:rPr lang="pt-BR" sz="800" b="0" i="0">
                            <a:latin typeface="Cambria Math" panose="02040503050406030204" pitchFamily="18" charset="0"/>
                          </a:rPr>
                          <m:t> 90 </m:t>
                        </m:r>
                        <m:r>
                          <m:rPr>
                            <m:sty m:val="p"/>
                          </m:rPr>
                          <a:rPr lang="pt-BR" sz="800" i="0">
                            <a:latin typeface="Cambria Math" panose="02040503050406030204" pitchFamily="18" charset="0"/>
                          </a:rPr>
                          <m:t>dias</m:t>
                        </m:r>
                      </m:num>
                      <m:den>
                        <m:r>
                          <m:rPr>
                            <m:sty m:val="p"/>
                          </m:rPr>
                          <a:rPr lang="pt-BR" sz="800" i="0">
                            <a:latin typeface="Cambria Math" panose="02040503050406030204" pitchFamily="18" charset="0"/>
                          </a:rPr>
                          <m:t>Empr</m:t>
                        </m:r>
                        <m:r>
                          <a:rPr lang="pt-BR" sz="800" i="0">
                            <a:latin typeface="Cambria Math" panose="02040503050406030204" pitchFamily="18" charset="0"/>
                          </a:rPr>
                          <m:t>é</m:t>
                        </m:r>
                        <m:r>
                          <m:rPr>
                            <m:sty m:val="p"/>
                          </m:rPr>
                          <a:rPr lang="pt-BR" sz="800" i="0">
                            <a:latin typeface="Cambria Math" panose="02040503050406030204" pitchFamily="18" charset="0"/>
                          </a:rPr>
                          <m:t>stimos</m:t>
                        </m:r>
                        <m:r>
                          <a:rPr lang="pt-BR" sz="800" i="0">
                            <a:latin typeface="Cambria Math" panose="02040503050406030204" pitchFamily="18" charset="0"/>
                          </a:rPr>
                          <m:t> </m:t>
                        </m:r>
                        <m:r>
                          <m:rPr>
                            <m:sty m:val="p"/>
                          </m:rPr>
                          <a:rPr lang="pt-BR" sz="800" i="0">
                            <a:latin typeface="Cambria Math" panose="02040503050406030204" pitchFamily="18" charset="0"/>
                          </a:rPr>
                          <m:t>e</m:t>
                        </m:r>
                        <m:r>
                          <a:rPr lang="pt-BR" sz="800" i="0">
                            <a:latin typeface="Cambria Math" panose="02040503050406030204" pitchFamily="18" charset="0"/>
                          </a:rPr>
                          <m:t> </m:t>
                        </m:r>
                        <m:r>
                          <m:rPr>
                            <m:sty m:val="p"/>
                          </m:rPr>
                          <a:rPr lang="pt-BR" sz="800" i="0">
                            <a:latin typeface="Cambria Math" panose="02040503050406030204" pitchFamily="18" charset="0"/>
                          </a:rPr>
                          <m:t>adiantamento</m:t>
                        </m:r>
                        <m:r>
                          <a:rPr lang="pt-BR" sz="800" i="0">
                            <a:latin typeface="Cambria Math" panose="02040503050406030204" pitchFamily="18" charset="0"/>
                          </a:rPr>
                          <m:t> </m:t>
                        </m:r>
                        <m:r>
                          <m:rPr>
                            <m:sty m:val="p"/>
                          </m:rPr>
                          <a:rPr lang="pt-BR" sz="800" i="0">
                            <a:latin typeface="Cambria Math" panose="02040503050406030204" pitchFamily="18" charset="0"/>
                          </a:rPr>
                          <m:t>a</m:t>
                        </m:r>
                        <m:r>
                          <a:rPr lang="pt-BR" sz="800" i="0">
                            <a:latin typeface="Cambria Math" panose="02040503050406030204" pitchFamily="18" charset="0"/>
                          </a:rPr>
                          <m:t> </m:t>
                        </m:r>
                        <m:r>
                          <m:rPr>
                            <m:sty m:val="p"/>
                          </m:rPr>
                          <a:rPr lang="pt-BR" sz="800" i="0">
                            <a:latin typeface="Cambria Math" panose="02040503050406030204" pitchFamily="18" charset="0"/>
                          </a:rPr>
                          <m:t>clientes</m:t>
                        </m:r>
                        <m:r>
                          <a:rPr lang="pt-BR" sz="800" i="0">
                            <a:latin typeface="Cambria Math" panose="02040503050406030204" pitchFamily="18" charset="0"/>
                          </a:rPr>
                          <m:t>+</m:t>
                        </m:r>
                        <m:r>
                          <m:rPr>
                            <m:sty m:val="p"/>
                          </m:rPr>
                          <a:rPr lang="pt-BR" sz="800" i="0">
                            <a:latin typeface="Cambria Math" panose="02040503050406030204" pitchFamily="18" charset="0"/>
                          </a:rPr>
                          <m:t>Receb</m:t>
                        </m:r>
                        <m:r>
                          <a:rPr lang="pt-BR" sz="800" i="0">
                            <a:latin typeface="Cambria Math" panose="02040503050406030204" pitchFamily="18" charset="0"/>
                          </a:rPr>
                          <m:t>í</m:t>
                        </m:r>
                        <m:r>
                          <m:rPr>
                            <m:sty m:val="p"/>
                          </m:rPr>
                          <a:rPr lang="pt-BR" sz="800" i="0">
                            <a:latin typeface="Cambria Math" panose="02040503050406030204" pitchFamily="18" charset="0"/>
                          </a:rPr>
                          <m:t>veis</m:t>
                        </m:r>
                        <m:r>
                          <a:rPr lang="pt-BR" sz="800" i="0">
                            <a:latin typeface="Cambria Math" panose="02040503050406030204" pitchFamily="18" charset="0"/>
                          </a:rPr>
                          <m:t> </m:t>
                        </m:r>
                        <m:r>
                          <m:rPr>
                            <m:sty m:val="p"/>
                          </m:rPr>
                          <a:rPr lang="pt-BR" sz="800" i="0">
                            <a:latin typeface="Cambria Math" panose="02040503050406030204" pitchFamily="18" charset="0"/>
                          </a:rPr>
                          <m:t>de</m:t>
                        </m:r>
                        <m:r>
                          <a:rPr lang="pt-BR" sz="800" i="0">
                            <a:latin typeface="Cambria Math" panose="02040503050406030204" pitchFamily="18" charset="0"/>
                          </a:rPr>
                          <m:t> </m:t>
                        </m:r>
                        <m:r>
                          <m:rPr>
                            <m:sty m:val="p"/>
                          </m:rPr>
                          <a:rPr lang="pt-BR" sz="800" i="0">
                            <a:latin typeface="Cambria Math" panose="02040503050406030204" pitchFamily="18" charset="0"/>
                          </a:rPr>
                          <m:t>Cart</m:t>
                        </m:r>
                        <m:r>
                          <a:rPr lang="pt-BR" sz="800" i="0">
                            <a:latin typeface="Cambria Math" panose="02040503050406030204" pitchFamily="18" charset="0"/>
                          </a:rPr>
                          <m:t>ã</m:t>
                        </m:r>
                        <m:r>
                          <m:rPr>
                            <m:sty m:val="p"/>
                          </m:rPr>
                          <a:rPr lang="pt-BR" sz="800" i="0">
                            <a:latin typeface="Cambria Math" panose="02040503050406030204" pitchFamily="18" charset="0"/>
                          </a:rPr>
                          <m:t>o</m:t>
                        </m:r>
                        <m:r>
                          <a:rPr lang="pt-BR" sz="800" i="0">
                            <a:latin typeface="Cambria Math" panose="02040503050406030204" pitchFamily="18" charset="0"/>
                          </a:rPr>
                          <m:t> </m:t>
                        </m:r>
                        <m:r>
                          <m:rPr>
                            <m:sty m:val="p"/>
                          </m:rPr>
                          <a:rPr lang="pt-BR" sz="800" i="0">
                            <a:latin typeface="Cambria Math" panose="02040503050406030204" pitchFamily="18" charset="0"/>
                          </a:rPr>
                          <m:t>de</m:t>
                        </m:r>
                        <m:r>
                          <a:rPr lang="pt-BR" sz="800" i="0">
                            <a:latin typeface="Cambria Math" panose="02040503050406030204" pitchFamily="18" charset="0"/>
                          </a:rPr>
                          <m:t> </m:t>
                        </m:r>
                        <m:r>
                          <m:rPr>
                            <m:sty m:val="p"/>
                          </m:rPr>
                          <a:rPr lang="pt-BR" sz="800" i="0">
                            <a:latin typeface="Cambria Math" panose="02040503050406030204" pitchFamily="18" charset="0"/>
                          </a:rPr>
                          <m:t>Cr</m:t>
                        </m:r>
                        <m:r>
                          <a:rPr lang="pt-BR" sz="800" i="0">
                            <a:latin typeface="Cambria Math" panose="02040503050406030204" pitchFamily="18" charset="0"/>
                          </a:rPr>
                          <m:t>é</m:t>
                        </m:r>
                        <m:r>
                          <m:rPr>
                            <m:sty m:val="p"/>
                          </m:rPr>
                          <a:rPr lang="pt-BR" sz="800" i="0">
                            <a:latin typeface="Cambria Math" panose="02040503050406030204" pitchFamily="18" charset="0"/>
                          </a:rPr>
                          <m:t>dito</m:t>
                        </m:r>
                      </m:den>
                    </m:f>
                    <m:r>
                      <a:rPr lang="pt-BR" sz="800" b="0" i="1">
                        <a:latin typeface="Cambria Math" panose="02040503050406030204" pitchFamily="18" charset="0"/>
                      </a:rPr>
                      <m:t> </m:t>
                    </m:r>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NPL &gt; 90 dias:</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m:rPr>
                            <m:sty m:val="p"/>
                          </m:rPr>
                          <a:rPr lang="pt-BR" sz="800" i="0">
                            <a:latin typeface="Cambria Math" panose="02040503050406030204" pitchFamily="18" charset="0"/>
                          </a:rPr>
                          <m:t>S</m:t>
                        </m:r>
                        <m:r>
                          <m:rPr>
                            <m:sty m:val="p"/>
                          </m:rPr>
                          <a:rPr lang="pt-BR" sz="800" b="0" i="0">
                            <a:latin typeface="Cambria Math" panose="02040503050406030204" pitchFamily="18" charset="0"/>
                          </a:rPr>
                          <m:t>aldo</m:t>
                        </m:r>
                        <m:r>
                          <a:rPr lang="pt-BR" sz="800" b="0" i="0">
                            <a:latin typeface="Cambria Math" panose="02040503050406030204" pitchFamily="18" charset="0"/>
                          </a:rPr>
                          <m:t> </m:t>
                        </m:r>
                        <m:r>
                          <m:rPr>
                            <m:sty m:val="p"/>
                          </m:rPr>
                          <a:rPr lang="pt-BR" sz="800" b="0" i="0">
                            <a:latin typeface="Cambria Math" panose="02040503050406030204" pitchFamily="18" charset="0"/>
                          </a:rPr>
                          <m:t>vencido</m:t>
                        </m:r>
                        <m:r>
                          <a:rPr lang="pt-BR" sz="800" b="0" i="0">
                            <a:latin typeface="Cambria Math" panose="02040503050406030204" pitchFamily="18" charset="0"/>
                          </a:rPr>
                          <m:t> </m:t>
                        </m:r>
                        <m:r>
                          <m:rPr>
                            <m:sty m:val="p"/>
                          </m:rPr>
                          <a:rPr lang="pt-BR" sz="800" b="0" i="0">
                            <a:latin typeface="Cambria Math" panose="02040503050406030204" pitchFamily="18" charset="0"/>
                          </a:rPr>
                          <m:t>a</m:t>
                        </m:r>
                        <m:r>
                          <a:rPr lang="pt-BR" sz="800" b="0" i="0">
                            <a:latin typeface="Cambria Math" panose="02040503050406030204" pitchFamily="18" charset="0"/>
                          </a:rPr>
                          <m:t> </m:t>
                        </m:r>
                        <m:r>
                          <m:rPr>
                            <m:sty m:val="p"/>
                          </m:rPr>
                          <a:rPr lang="pt-BR" sz="800" b="0" i="0">
                            <a:latin typeface="Cambria Math" panose="02040503050406030204" pitchFamily="18" charset="0"/>
                          </a:rPr>
                          <m:t>mais</m:t>
                        </m:r>
                        <m:r>
                          <a:rPr lang="pt-BR" sz="800" b="0" i="0">
                            <a:latin typeface="Cambria Math" panose="02040503050406030204" pitchFamily="18" charset="0"/>
                          </a:rPr>
                          <m:t> </m:t>
                        </m:r>
                        <m:r>
                          <m:rPr>
                            <m:sty m:val="p"/>
                          </m:rPr>
                          <a:rPr lang="pt-BR" sz="800" b="0" i="0">
                            <a:latin typeface="Cambria Math" panose="02040503050406030204" pitchFamily="18" charset="0"/>
                          </a:rPr>
                          <m:t>de</m:t>
                        </m:r>
                        <m:r>
                          <a:rPr lang="pt-BR" sz="800" b="0" i="0">
                            <a:latin typeface="Cambria Math" panose="02040503050406030204" pitchFamily="18" charset="0"/>
                          </a:rPr>
                          <m:t> 90 </m:t>
                        </m:r>
                        <m:r>
                          <m:rPr>
                            <m:sty m:val="p"/>
                          </m:rPr>
                          <a:rPr lang="pt-BR" sz="800" b="0" i="0">
                            <a:latin typeface="Cambria Math" panose="02040503050406030204" pitchFamily="18" charset="0"/>
                          </a:rPr>
                          <m:t>dias</m:t>
                        </m:r>
                      </m:num>
                      <m:den>
                        <m:r>
                          <m:rPr>
                            <m:sty m:val="p"/>
                          </m:rPr>
                          <a:rPr lang="pt-BR" sz="800" i="0">
                            <a:latin typeface="Cambria Math" panose="02040503050406030204" pitchFamily="18" charset="0"/>
                          </a:rPr>
                          <m:t>Empr</m:t>
                        </m:r>
                        <m:r>
                          <a:rPr lang="pt-BR" sz="800" i="0">
                            <a:latin typeface="Cambria Math" panose="02040503050406030204" pitchFamily="18" charset="0"/>
                          </a:rPr>
                          <m:t>é</m:t>
                        </m:r>
                        <m:r>
                          <m:rPr>
                            <m:sty m:val="p"/>
                          </m:rPr>
                          <a:rPr lang="pt-BR" sz="800" i="0">
                            <a:latin typeface="Cambria Math" panose="02040503050406030204" pitchFamily="18" charset="0"/>
                          </a:rPr>
                          <m:t>stimos</m:t>
                        </m:r>
                        <m:r>
                          <a:rPr lang="pt-BR" sz="800" i="0">
                            <a:latin typeface="Cambria Math" panose="02040503050406030204" pitchFamily="18" charset="0"/>
                          </a:rPr>
                          <m:t> </m:t>
                        </m:r>
                        <m:r>
                          <m:rPr>
                            <m:sty m:val="p"/>
                          </m:rPr>
                          <a:rPr lang="pt-BR" sz="800" i="0">
                            <a:latin typeface="Cambria Math" panose="02040503050406030204" pitchFamily="18" charset="0"/>
                          </a:rPr>
                          <m:t>e</m:t>
                        </m:r>
                        <m:r>
                          <a:rPr lang="pt-BR" sz="800" i="0">
                            <a:latin typeface="Cambria Math" panose="02040503050406030204" pitchFamily="18" charset="0"/>
                          </a:rPr>
                          <m:t> </m:t>
                        </m:r>
                        <m:r>
                          <m:rPr>
                            <m:sty m:val="p"/>
                          </m:rPr>
                          <a:rPr lang="pt-BR" sz="800" i="0">
                            <a:latin typeface="Cambria Math" panose="02040503050406030204" pitchFamily="18" charset="0"/>
                          </a:rPr>
                          <m:t>adiantamento</m:t>
                        </m:r>
                        <m:r>
                          <a:rPr lang="pt-BR" sz="800" i="0">
                            <a:latin typeface="Cambria Math" panose="02040503050406030204" pitchFamily="18" charset="0"/>
                          </a:rPr>
                          <m:t> </m:t>
                        </m:r>
                        <m:r>
                          <m:rPr>
                            <m:sty m:val="p"/>
                          </m:rPr>
                          <a:rPr lang="pt-BR" sz="800" i="0">
                            <a:latin typeface="Cambria Math" panose="02040503050406030204" pitchFamily="18" charset="0"/>
                          </a:rPr>
                          <m:t>a</m:t>
                        </m:r>
                        <m:r>
                          <a:rPr lang="pt-BR" sz="800" i="0">
                            <a:latin typeface="Cambria Math" panose="02040503050406030204" pitchFamily="18" charset="0"/>
                          </a:rPr>
                          <m:t> </m:t>
                        </m:r>
                        <m:r>
                          <m:rPr>
                            <m:sty m:val="p"/>
                          </m:rPr>
                          <a:rPr lang="pt-BR" sz="800" i="0">
                            <a:latin typeface="Cambria Math" panose="02040503050406030204" pitchFamily="18" charset="0"/>
                          </a:rPr>
                          <m:t>clientes</m:t>
                        </m:r>
                        <m:r>
                          <a:rPr lang="pt-BR" sz="800" i="0">
                            <a:latin typeface="Cambria Math" panose="02040503050406030204" pitchFamily="18" charset="0"/>
                          </a:rPr>
                          <m:t>+</m:t>
                        </m:r>
                        <m:r>
                          <m:rPr>
                            <m:sty m:val="p"/>
                          </m:rPr>
                          <a:rPr lang="pt-BR" sz="800" i="0">
                            <a:latin typeface="Cambria Math" panose="02040503050406030204" pitchFamily="18" charset="0"/>
                          </a:rPr>
                          <m:t>Receb</m:t>
                        </m:r>
                        <m:r>
                          <a:rPr lang="pt-BR" sz="800" i="0">
                            <a:latin typeface="Cambria Math" panose="02040503050406030204" pitchFamily="18" charset="0"/>
                          </a:rPr>
                          <m:t>í</m:t>
                        </m:r>
                        <m:r>
                          <m:rPr>
                            <m:sty m:val="p"/>
                          </m:rPr>
                          <a:rPr lang="pt-BR" sz="800" i="0">
                            <a:latin typeface="Cambria Math" panose="02040503050406030204" pitchFamily="18" charset="0"/>
                          </a:rPr>
                          <m:t>veis</m:t>
                        </m:r>
                        <m:r>
                          <a:rPr lang="pt-BR" sz="800" i="0">
                            <a:latin typeface="Cambria Math" panose="02040503050406030204" pitchFamily="18" charset="0"/>
                          </a:rPr>
                          <m:t> </m:t>
                        </m:r>
                        <m:r>
                          <m:rPr>
                            <m:sty m:val="p"/>
                          </m:rPr>
                          <a:rPr lang="pt-BR" sz="800" i="0">
                            <a:latin typeface="Cambria Math" panose="02040503050406030204" pitchFamily="18" charset="0"/>
                          </a:rPr>
                          <m:t>de</m:t>
                        </m:r>
                        <m:r>
                          <a:rPr lang="pt-BR" sz="800" i="0">
                            <a:latin typeface="Cambria Math" panose="02040503050406030204" pitchFamily="18" charset="0"/>
                          </a:rPr>
                          <m:t> </m:t>
                        </m:r>
                        <m:r>
                          <m:rPr>
                            <m:sty m:val="p"/>
                          </m:rPr>
                          <a:rPr lang="pt-BR" sz="800" i="0">
                            <a:latin typeface="Cambria Math" panose="02040503050406030204" pitchFamily="18" charset="0"/>
                          </a:rPr>
                          <m:t>Cart</m:t>
                        </m:r>
                        <m:r>
                          <a:rPr lang="pt-BR" sz="800" i="0">
                            <a:latin typeface="Cambria Math" panose="02040503050406030204" pitchFamily="18" charset="0"/>
                          </a:rPr>
                          <m:t>ã</m:t>
                        </m:r>
                        <m:r>
                          <m:rPr>
                            <m:sty m:val="p"/>
                          </m:rPr>
                          <a:rPr lang="pt-BR" sz="800" i="0">
                            <a:latin typeface="Cambria Math" panose="02040503050406030204" pitchFamily="18" charset="0"/>
                          </a:rPr>
                          <m:t>o</m:t>
                        </m:r>
                        <m:r>
                          <a:rPr lang="pt-BR" sz="800" i="0">
                            <a:latin typeface="Cambria Math" panose="02040503050406030204" pitchFamily="18" charset="0"/>
                          </a:rPr>
                          <m:t> </m:t>
                        </m:r>
                        <m:r>
                          <m:rPr>
                            <m:sty m:val="p"/>
                          </m:rPr>
                          <a:rPr lang="pt-BR" sz="800" i="0">
                            <a:latin typeface="Cambria Math" panose="02040503050406030204" pitchFamily="18" charset="0"/>
                          </a:rPr>
                          <m:t>de</m:t>
                        </m:r>
                        <m:r>
                          <a:rPr lang="pt-BR" sz="800" i="0">
                            <a:latin typeface="Cambria Math" panose="02040503050406030204" pitchFamily="18" charset="0"/>
                          </a:rPr>
                          <m:t> </m:t>
                        </m:r>
                        <m:r>
                          <m:rPr>
                            <m:sty m:val="p"/>
                          </m:rPr>
                          <a:rPr lang="pt-BR" sz="800" i="0">
                            <a:latin typeface="Cambria Math" panose="02040503050406030204" pitchFamily="18" charset="0"/>
                          </a:rPr>
                          <m:t>Cr</m:t>
                        </m:r>
                        <m:r>
                          <a:rPr lang="pt-BR" sz="800" i="0">
                            <a:latin typeface="Cambria Math" panose="02040503050406030204" pitchFamily="18" charset="0"/>
                          </a:rPr>
                          <m:t>é</m:t>
                        </m:r>
                        <m:r>
                          <m:rPr>
                            <m:sty m:val="p"/>
                          </m:rPr>
                          <a:rPr lang="pt-BR" sz="800" i="0">
                            <a:latin typeface="Cambria Math" panose="02040503050406030204" pitchFamily="18" charset="0"/>
                          </a:rPr>
                          <m:t>dito</m:t>
                        </m:r>
                      </m:den>
                    </m:f>
                  </m:oMath>
                </m:oMathPara>
              </a14:m>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bruta total:</a:t>
              </a:r>
            </a:p>
            <a:p>
              <a:endParaRPr lang="pt-BR" sz="800">
                <a:solidFill>
                  <a:schemeClr val="tx1">
                    <a:lumMod val="85000"/>
                    <a:lumOff val="15000"/>
                  </a:schemeClr>
                </a:solidFill>
                <a:latin typeface="Calibri" panose="020F0502020204030204" pitchFamily="34" charset="0"/>
                <a:ea typeface="Inter" panose="020B0502030000000004" pitchFamily="34" charset="0"/>
                <a:cs typeface="Calibri" panose="020F0502020204030204" pitchFamily="34" charset="0"/>
              </a:endParaRPr>
            </a:p>
            <a:p>
              <a:pPr/>
              <a14:m>
                <m:oMathPara xmlns:m="http://schemas.openxmlformats.org/officeDocument/2006/math">
                  <m:oMathParaPr>
                    <m:jc m:val="center"/>
                  </m:oMathParaPr>
                  <m:oMath xmlns:m="http://schemas.openxmlformats.org/officeDocument/2006/math">
                    <m:r>
                      <m:rPr>
                        <m:sty m:val="p"/>
                      </m:rPr>
                      <a:rPr lang="pt-BR" sz="800" b="0" i="0">
                        <a:latin typeface="Cambria Math" panose="02040503050406030204" pitchFamily="18" charset="0"/>
                        <a:cs typeface="Sora" pitchFamily="2" charset="0"/>
                      </a:rPr>
                      <m:t>Receita</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de</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juros</m:t>
                    </m:r>
                    <m:r>
                      <a:rPr lang="pt-BR" sz="800" i="0">
                        <a:latin typeface="Cambria Math" panose="02040503050406030204" pitchFamily="18" charset="0"/>
                        <a:cs typeface="Sora" pitchFamily="2" charset="0"/>
                      </a:rPr>
                      <m:t>+ </m:t>
                    </m:r>
                    <m:d>
                      <m:dPr>
                        <m:ctrlPr>
                          <a:rPr lang="pt-BR" sz="800" i="1">
                            <a:latin typeface="Cambria Math" panose="02040503050406030204" pitchFamily="18" charset="0"/>
                            <a:cs typeface="Sora" pitchFamily="2" charset="0"/>
                          </a:rPr>
                        </m:ctrlPr>
                      </m:dPr>
                      <m:e>
                        <m:r>
                          <m:rPr>
                            <m:sty m:val="p"/>
                          </m:rPr>
                          <a:rPr lang="pt-BR" sz="800" i="0">
                            <a:latin typeface="Cambria Math" panose="02040503050406030204" pitchFamily="18" charset="0"/>
                            <a:cs typeface="Sora" pitchFamily="2" charset="0"/>
                          </a:rPr>
                          <m:t>Receitas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servi</m:t>
                        </m:r>
                        <m:r>
                          <a:rPr lang="pt-BR" sz="800" i="0">
                            <a:latin typeface="Cambria Math" panose="02040503050406030204" pitchFamily="18" charset="0"/>
                            <a:cs typeface="Sora" pitchFamily="2" charset="0"/>
                          </a:rPr>
                          <m:t>ç</m:t>
                        </m:r>
                        <m:r>
                          <m:rPr>
                            <m:sty m:val="p"/>
                          </m:rPr>
                          <a:rPr lang="pt-BR" sz="800" i="0">
                            <a:latin typeface="Cambria Math" panose="02040503050406030204" pitchFamily="18" charset="0"/>
                            <a:cs typeface="Sora" pitchFamily="2" charset="0"/>
                          </a:rPr>
                          <m:t>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comiss</m:t>
                        </m:r>
                        <m:r>
                          <a:rPr lang="pt-BR" sz="800" i="0">
                            <a:latin typeface="Cambria Math" panose="02040503050406030204" pitchFamily="18" charset="0"/>
                            <a:cs typeface="Sora" pitchFamily="2" charset="0"/>
                          </a:rPr>
                          <m:t>õ</m:t>
                        </m:r>
                        <m:r>
                          <m:rPr>
                            <m:sty m:val="p"/>
                          </m:rPr>
                          <a:rPr lang="pt-BR" sz="800" i="0">
                            <a:latin typeface="Cambria Math" panose="02040503050406030204" pitchFamily="18" charset="0"/>
                            <a:cs typeface="Sora" pitchFamily="2" charset="0"/>
                          </a:rPr>
                          <m:t>es</m:t>
                        </m:r>
                        <m:r>
                          <a:rPr lang="pt-BR" sz="800" i="0">
                            <a:latin typeface="Cambria Math" panose="02040503050406030204" pitchFamily="18" charset="0"/>
                            <a:cs typeface="Sora" pitchFamily="2" charset="0"/>
                          </a:rPr>
                          <m:t> – </m:t>
                        </m:r>
                        <m:r>
                          <m:rPr>
                            <m:sty m:val="p"/>
                          </m:rPr>
                          <a:rPr lang="pt-BR" sz="800" i="0">
                            <a:latin typeface="Cambria Math" panose="02040503050406030204" pitchFamily="18" charset="0"/>
                            <a:cs typeface="Sora" pitchFamily="2" charset="0"/>
                          </a:rPr>
                          <m:t>despesas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com</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cashback</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Inter</m:t>
                        </m:r>
                        <m:r>
                          <a:rPr lang="pt-BR" sz="800" b="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rewards</m:t>
                        </m:r>
                      </m:e>
                    </m:d>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Resultado</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t</m:t>
                    </m:r>
                    <m:r>
                      <a:rPr lang="pt-BR" sz="800" i="0">
                        <a:latin typeface="Cambria Math" panose="02040503050406030204" pitchFamily="18" charset="0"/>
                        <a:cs typeface="Sora" pitchFamily="2" charset="0"/>
                      </a:rPr>
                      <m:t>í</m:t>
                    </m:r>
                    <m:r>
                      <m:rPr>
                        <m:sty m:val="p"/>
                      </m:rPr>
                      <a:rPr lang="pt-BR" sz="800" i="0">
                        <a:latin typeface="Cambria Math" panose="02040503050406030204" pitchFamily="18" charset="0"/>
                        <a:cs typeface="Sora" pitchFamily="2" charset="0"/>
                      </a:rPr>
                      <m:t>tulos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e</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valores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mobili</m:t>
                    </m:r>
                    <m:r>
                      <a:rPr lang="pt-BR" sz="800" i="0">
                        <a:latin typeface="Cambria Math" panose="02040503050406030204" pitchFamily="18" charset="0"/>
                        <a:cs typeface="Sora" pitchFamily="2" charset="0"/>
                      </a:rPr>
                      <m:t>á</m:t>
                    </m:r>
                    <m:r>
                      <m:rPr>
                        <m:sty m:val="p"/>
                      </m:rPr>
                      <a:rPr lang="pt-BR" sz="800" i="0">
                        <a:latin typeface="Cambria Math" panose="02040503050406030204" pitchFamily="18" charset="0"/>
                        <a:cs typeface="Sora" pitchFamily="2" charset="0"/>
                      </a:rPr>
                      <m:t>rios</m:t>
                    </m:r>
                    <m:r>
                      <a:rPr lang="pt-BR" sz="800" i="0">
                        <a:latin typeface="Cambria Math" panose="02040503050406030204" pitchFamily="18" charset="0"/>
                        <a:cs typeface="Sora" pitchFamily="2" charset="0"/>
                      </a:rPr>
                      <m:t> </m:t>
                    </m:r>
                    <m:r>
                      <m:rPr>
                        <m:sty m:val="p"/>
                      </m:rPr>
                      <a:rPr lang="pt-BR" sz="800" b="0" i="0">
                        <a:latin typeface="Cambria Math" panose="02040503050406030204" pitchFamily="18" charset="0"/>
                        <a:cs typeface="Sora" pitchFamily="2" charset="0"/>
                      </a:rPr>
                      <m:t>e</m:t>
                    </m:r>
                    <m:r>
                      <a:rPr lang="pt-BR" sz="800" b="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derivativos</m:t>
                    </m:r>
                    <m:r>
                      <a:rPr lang="pt-BR" sz="800" i="0">
                        <a:latin typeface="Cambria Math" panose="02040503050406030204" pitchFamily="18" charset="0"/>
                        <a:cs typeface="Sora" pitchFamily="2" charset="0"/>
                      </a:rPr>
                      <m:t> + </m:t>
                    </m:r>
                    <m:r>
                      <m:rPr>
                        <m:sty m:val="p"/>
                      </m:rPr>
                      <a:rPr lang="pt-BR" sz="800" i="0">
                        <a:latin typeface="Cambria Math" panose="02040503050406030204" pitchFamily="18" charset="0"/>
                        <a:cs typeface="Sora" pitchFamily="2" charset="0"/>
                      </a:rPr>
                      <m:t>Outras</m:t>
                    </m:r>
                    <m:r>
                      <a:rPr lang="pt-BR" sz="800" i="0">
                        <a:latin typeface="Cambria Math" panose="02040503050406030204" pitchFamily="18" charset="0"/>
                        <a:cs typeface="Sora" pitchFamily="2" charset="0"/>
                      </a:rPr>
                      <m:t> </m:t>
                    </m:r>
                    <m:r>
                      <m:rPr>
                        <m:sty m:val="p"/>
                      </m:rPr>
                      <a:rPr lang="pt-BR" sz="800" i="0">
                        <a:latin typeface="Cambria Math" panose="02040503050406030204" pitchFamily="18" charset="0"/>
                        <a:cs typeface="Sora" pitchFamily="2" charset="0"/>
                      </a:rPr>
                      <m:t>receitas</m:t>
                    </m:r>
                  </m:oMath>
                </m:oMathPara>
              </a14:m>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de floating:</a:t>
              </a:r>
            </a:p>
            <a:p>
              <a:r>
                <a:rPr lang="pt-BR" sz="800">
                  <a:latin typeface="Calibri" panose="020F0502020204030204" pitchFamily="34" charset="0"/>
                  <a:ea typeface="Inter" panose="020B0502030000000004" pitchFamily="34" charset="0"/>
                  <a:cs typeface="Calibri" panose="020F0502020204030204" pitchFamily="34" charset="0"/>
                </a:rPr>
                <a:t>A receita de floating é um cálculo gerencial e se dá pela multiplicação do saldo de depósitos à vista (líquido de compulsório) por 100% da taxa CDI.</a:t>
              </a:r>
            </a:p>
            <a:p>
              <a:endParaRPr lang="pt-BR" sz="800" b="1">
                <a:latin typeface="Calibri" panose="020F0502020204030204" pitchFamily="34" charset="0"/>
                <a:ea typeface="Inter" panose="020B05020300000000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xdr:txBody>
        </xdr:sp>
      </mc:Choice>
      <mc:Fallback xmlns="">
        <xdr:sp macro="" textlink="">
          <xdr:nvSpPr>
            <xdr:cNvPr id="51" name="Retângulo 9">
              <a:extLst>
                <a:ext uri="{FF2B5EF4-FFF2-40B4-BE49-F238E27FC236}">
                  <a16:creationId xmlns:a16="http://schemas.microsoft.com/office/drawing/2014/main" id="{A0707A7C-D8EB-26A2-0525-185CDA121C9A}"/>
                </a:ext>
              </a:extLst>
            </xdr:cNvPr>
            <xdr:cNvSpPr/>
          </xdr:nvSpPr>
          <xdr:spPr>
            <a:xfrm>
              <a:off x="6803887" y="31366055"/>
              <a:ext cx="5764771" cy="5341399"/>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NIM 1.0 - Baseado na carteira remunerada + recebíveis de cartão de crédito não remunerados</a:t>
              </a:r>
              <a:br>
                <a:rPr lang="en-US" sz="800" b="1">
                  <a:latin typeface="Calibri" panose="020F0502020204030204" pitchFamily="34" charset="0"/>
                  <a:cs typeface="Calibri" panose="020F0502020204030204" pitchFamily="34" charset="0"/>
                </a:rPr>
              </a:br>
              <a:endParaRPr lang="en-US" sz="800" b="1">
                <a:latin typeface="Calibri" panose="020F0502020204030204" pitchFamily="34" charset="0"/>
                <a:cs typeface="Calibri" panose="020F0502020204030204" pitchFamily="34" charset="0"/>
              </a:endParaRPr>
            </a:p>
            <a:p>
              <a:pPr algn="ctr"/>
              <a:r>
                <a:rPr lang="pt-BR" sz="800" i="0">
                  <a:latin typeface="Cambria Math" panose="02040503050406030204" pitchFamily="18" charset="0"/>
                </a:rPr>
                <a:t>(Resultado líquido de juros x 4)/█(Média da carteira remunerada dos últimos 2 trimestres (Empréstimos a instituições financeiras+ Valores Mobiliários + @Derivativos + Empréstimos e adiantamentos a clientes</a:t>
              </a:r>
              <a:r>
                <a:rPr lang="pt-BR" sz="800" b="0" i="0">
                  <a:latin typeface="Cambria Math" panose="02040503050406030204" pitchFamily="18" charset="0"/>
                </a:rPr>
                <a:t>)) </a:t>
              </a:r>
              <a:r>
                <a:rPr lang="pt-BR" sz="800" i="0">
                  <a:latin typeface="Cambria Math" panose="02040503050406030204" pitchFamily="18" charset="0"/>
                </a:rPr>
                <a:t> </a:t>
              </a:r>
              <a:endParaRPr lang="en-US" sz="800" b="1">
                <a:latin typeface="Calibri" panose="020F0502020204030204" pitchFamily="34" charset="0"/>
                <a:cs typeface="Calibri" panose="020F0502020204030204" pitchFamily="34" charset="0"/>
              </a:endParaRPr>
            </a:p>
            <a:p>
              <a:pPr algn="ct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NIM 2.0 - Baseado na carteira remunerada</a:t>
              </a:r>
              <a:br>
                <a:rPr lang="en-US" sz="800" b="1">
                  <a:latin typeface="Calibri" panose="020F0502020204030204" pitchFamily="34" charset="0"/>
                  <a:cs typeface="Calibri" panose="020F0502020204030204" pitchFamily="34" charset="0"/>
                </a:rPr>
              </a:br>
              <a:endParaRPr lang="en-US" sz="800" b="1">
                <a:latin typeface="Calibri" panose="020F0502020204030204" pitchFamily="34" charset="0"/>
                <a:cs typeface="Calibri" panose="020F0502020204030204" pitchFamily="34" charset="0"/>
              </a:endParaRPr>
            </a:p>
            <a:p>
              <a:pPr algn="ctr"/>
              <a:r>
                <a:rPr lang="pt-BR" sz="800" i="0">
                  <a:latin typeface="Cambria Math" panose="02040503050406030204" pitchFamily="18" charset="0"/>
                </a:rPr>
                <a:t>(Resultado líquido de juros x 4)/</a:t>
              </a:r>
              <a:r>
                <a:rPr lang="en-US" sz="800" i="0">
                  <a:latin typeface="Cambria Math" panose="02040503050406030204" pitchFamily="18" charset="0"/>
                </a:rPr>
                <a:t>█("</a:t>
              </a:r>
              <a:r>
                <a:rPr lang="en-US" sz="800" i="0">
                  <a:latin typeface="Calibri" panose="020F0502020204030204" pitchFamily="34" charset="0"/>
                  <a:cs typeface="Calibri" panose="020F0502020204030204" pitchFamily="34" charset="0"/>
                </a:rPr>
                <a:t>Média da carteira remunerada dos últimos 2 trimestres – Recebíveis cartãode crédito não remunerados</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a:t>
              </a:r>
              <a:r>
                <a:rPr lang="en-US" sz="800" i="0">
                  <a:latin typeface="Cambria Math" panose="02040503050406030204" pitchFamily="18" charset="0"/>
                  <a:cs typeface="Calibri" panose="020F0502020204030204" pitchFamily="34" charset="0"/>
                </a:rPr>
                <a:t>"</a:t>
              </a:r>
              <a:r>
                <a:rPr lang="en-US" sz="800" i="0">
                  <a:latin typeface="Calibri" panose="020F0502020204030204" pitchFamily="34" charset="0"/>
                  <a:cs typeface="Calibri" panose="020F0502020204030204" pitchFamily="34" charset="0"/>
                </a:rPr>
                <a:t>(Empréstimos a instituiçõesfinanceiras</a:t>
              </a:r>
              <a:r>
                <a:rPr lang="pt-BR" sz="800" i="0">
                  <a:latin typeface="Calibri" panose="020F0502020204030204" pitchFamily="34" charset="0"/>
                  <a:cs typeface="Calibri" panose="020F0502020204030204" pitchFamily="34" charset="0"/>
                </a:rPr>
                <a:t> </a:t>
              </a:r>
              <a:r>
                <a:rPr lang="en-US" sz="800" i="0">
                  <a:latin typeface="Calibri" panose="020F0502020204030204" pitchFamily="34" charset="0"/>
                  <a:cs typeface="Calibri" panose="020F0502020204030204" pitchFamily="34" charset="0"/>
                </a:rPr>
                <a:t>+ Valores Mobiliários+ Derivativos + Empréstimos e adiantamentos </a:t>
              </a:r>
              <a:r>
                <a:rPr lang="en-US" sz="800" i="0">
                  <a:latin typeface="Cambria Math" panose="02040503050406030204" pitchFamily="18" charset="0"/>
                  <a:cs typeface="Calibri" panose="020F0502020204030204" pitchFamily="34" charset="0"/>
                </a:rPr>
                <a:t>" @"</a:t>
              </a:r>
              <a:r>
                <a:rPr lang="en-US" sz="800" i="0">
                  <a:latin typeface="Calibri" panose="020F0502020204030204" pitchFamily="34" charset="0"/>
                  <a:cs typeface="Calibri" panose="020F0502020204030204" pitchFamily="34" charset="0"/>
                </a:rPr>
                <a:t>a</a:t>
              </a:r>
              <a:r>
                <a:rPr lang="pt-BR" sz="800" i="0">
                  <a:latin typeface="Cambria Math" panose="02040503050406030204" pitchFamily="18" charset="0"/>
                  <a:cs typeface="Calibri" panose="020F0502020204030204" pitchFamily="34" charset="0"/>
                </a:rPr>
                <a:t>" </a:t>
              </a:r>
              <a:r>
                <a:rPr lang="pt-BR" sz="800" i="0">
                  <a:latin typeface="Cambria Math" panose="02040503050406030204" pitchFamily="18" charset="0"/>
                </a:rPr>
                <a:t> clientes"</a:t>
              </a:r>
              <a:r>
                <a:rPr lang="pt-BR" sz="800" i="0">
                  <a:latin typeface="Calibri" panose="020F0502020204030204" pitchFamily="34" charset="0"/>
                  <a:cs typeface="Calibri" panose="020F0502020204030204" pitchFamily="34" charset="0"/>
                </a:rPr>
                <a:t> </a:t>
              </a:r>
              <a:r>
                <a:rPr lang="en-US" sz="800" i="0">
                  <a:latin typeface="Calibri" panose="020F0502020204030204" pitchFamily="34" charset="0"/>
                  <a:cs typeface="Calibri" panose="020F0502020204030204" pitchFamily="34" charset="0"/>
                </a:rPr>
                <a:t>– </a:t>
              </a:r>
              <a:r>
                <a:rPr lang="pt-BR" sz="800" i="0">
                  <a:latin typeface="Calibri" panose="020F0502020204030204" pitchFamily="34" charset="0"/>
                  <a:cs typeface="Calibri" panose="020F0502020204030204" pitchFamily="34" charset="0"/>
                </a:rPr>
                <a:t>C</a:t>
              </a:r>
              <a:r>
                <a:rPr lang="en-US" sz="800" i="0">
                  <a:latin typeface="Calibri" panose="020F0502020204030204" pitchFamily="34" charset="0"/>
                  <a:cs typeface="Calibri" panose="020F0502020204030204" pitchFamily="34" charset="0"/>
                </a:rPr>
                <a:t>arteira à vista de cartão de crédito</a:t>
              </a:r>
              <a:r>
                <a:rPr lang="pt-BR" sz="800" i="0">
                  <a:latin typeface="Cambria Math" panose="02040503050406030204" pitchFamily="18" charset="0"/>
                  <a:cs typeface="Calibri" panose="020F0502020204030204" pitchFamily="34" charset="0"/>
                </a:rPr>
                <a:t>" </a:t>
              </a:r>
              <a:r>
                <a:rPr lang="pt-BR" sz="800" i="0">
                  <a:latin typeface="Cambria Math" panose="02040503050406030204" pitchFamily="18" charset="0"/>
                </a:rPr>
                <a:t>)"</a:t>
              </a:r>
              <a:r>
                <a:rPr lang="pt-BR" sz="800" i="0">
                  <a:latin typeface="Calibri" panose="020F0502020204030204" pitchFamily="34" charset="0"/>
                  <a:cs typeface="Calibri" panose="020F0502020204030204" pitchFamily="34" charset="0"/>
                </a:rPr>
                <a:t> </a:t>
              </a:r>
              <a:r>
                <a:rPr lang="pt-BR" sz="800" i="0">
                  <a:latin typeface="Cambria Math" panose="02040503050406030204" pitchFamily="18" charset="0"/>
                  <a:cs typeface="Calibri" panose="020F0502020204030204" pitchFamily="34" charset="0"/>
                </a:rPr>
                <a:t>" )</a:t>
              </a:r>
              <a:endParaRPr lang="en-US" sz="800">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NPL 15 a 90 dias:</a:t>
              </a:r>
            </a:p>
            <a:p>
              <a:endParaRPr lang="en-US" sz="800" b="1">
                <a:latin typeface="Calibri" panose="020F0502020204030204" pitchFamily="34" charset="0"/>
                <a:cs typeface="Calibri" panose="020F0502020204030204" pitchFamily="34" charset="0"/>
              </a:endParaRPr>
            </a:p>
            <a:p>
              <a:pPr/>
              <a:r>
                <a:rPr lang="pt-BR" sz="800" i="0">
                  <a:latin typeface="Cambria Math" panose="02040503050406030204" pitchFamily="18" charset="0"/>
                </a:rPr>
                <a:t>(Saldo vencido </a:t>
              </a:r>
              <a:r>
                <a:rPr lang="pt-BR" sz="800" b="0" i="0">
                  <a:latin typeface="Cambria Math" panose="02040503050406030204" pitchFamily="18" charset="0"/>
                </a:rPr>
                <a:t>entre 15 e 90 </a:t>
              </a:r>
              <a:r>
                <a:rPr lang="pt-BR" sz="800" i="0">
                  <a:latin typeface="Cambria Math" panose="02040503050406030204" pitchFamily="18" charset="0"/>
                </a:rPr>
                <a:t>dias)/(Empréstimos e adiantamento a clientes+Recebíveis de Cartão de Crédito)</a:t>
              </a:r>
              <a:r>
                <a:rPr lang="pt-BR" sz="800" b="0" i="0">
                  <a:latin typeface="Cambria Math" panose="02040503050406030204" pitchFamily="18" charset="0"/>
                </a:rPr>
                <a:t>  </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NPL &gt; 90 dias:</a:t>
              </a:r>
            </a:p>
            <a:p>
              <a:endParaRPr lang="en-US" sz="800" b="1">
                <a:latin typeface="Calibri" panose="020F0502020204030204" pitchFamily="34" charset="0"/>
                <a:cs typeface="Calibri" panose="020F0502020204030204" pitchFamily="34" charset="0"/>
              </a:endParaRPr>
            </a:p>
            <a:p>
              <a:pPr/>
              <a:r>
                <a:rPr lang="pt-BR" sz="800" i="0">
                  <a:latin typeface="Cambria Math" panose="02040503050406030204" pitchFamily="18" charset="0"/>
                </a:rPr>
                <a:t>(S</a:t>
              </a:r>
              <a:r>
                <a:rPr lang="pt-BR" sz="800" b="0" i="0">
                  <a:latin typeface="Cambria Math" panose="02040503050406030204" pitchFamily="18" charset="0"/>
                </a:rPr>
                <a:t>aldo vencido a mais de 90 dias)/(</a:t>
              </a:r>
              <a:r>
                <a:rPr lang="pt-BR" sz="800" i="0">
                  <a:latin typeface="Cambria Math" panose="02040503050406030204" pitchFamily="18" charset="0"/>
                </a:rPr>
                <a:t>Empréstimos e adiantamento a clientes+Recebíveis de Cartão de Crédito)</a:t>
              </a:r>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bruta total:</a:t>
              </a:r>
            </a:p>
            <a:p>
              <a:endParaRPr lang="pt-BR" sz="800">
                <a:solidFill>
                  <a:schemeClr val="tx1">
                    <a:lumMod val="85000"/>
                    <a:lumOff val="15000"/>
                  </a:schemeClr>
                </a:solidFill>
                <a:latin typeface="Calibri" panose="020F0502020204030204" pitchFamily="34" charset="0"/>
                <a:ea typeface="Inter" panose="020B0502030000000004" pitchFamily="34" charset="0"/>
                <a:cs typeface="Calibri" panose="020F0502020204030204" pitchFamily="34" charset="0"/>
              </a:endParaRPr>
            </a:p>
            <a:p>
              <a:pPr/>
              <a:r>
                <a:rPr lang="pt-BR" sz="800" b="0" i="0">
                  <a:latin typeface="Cambria Math" panose="02040503050406030204" pitchFamily="18" charset="0"/>
                  <a:cs typeface="Sora" pitchFamily="2" charset="0"/>
                </a:rPr>
                <a:t>Receita de juros</a:t>
              </a:r>
              <a:r>
                <a:rPr lang="pt-BR" sz="800" i="0">
                  <a:latin typeface="Cambria Math" panose="02040503050406030204" pitchFamily="18" charset="0"/>
                  <a:cs typeface="Sora" pitchFamily="2" charset="0"/>
                </a:rPr>
                <a:t>+ (Receitas de serviços e comissões – despesas com cashback</a:t>
              </a:r>
              <a:r>
                <a:rPr lang="pt-BR" sz="800" b="0" i="0">
                  <a:latin typeface="Cambria Math" panose="02040503050406030204" pitchFamily="18" charset="0"/>
                  <a:cs typeface="Sora" pitchFamily="2" charset="0"/>
                </a:rPr>
                <a:t> −Inter rewards)</a:t>
              </a:r>
              <a:r>
                <a:rPr lang="pt-BR" sz="800" i="0">
                  <a:latin typeface="Cambria Math" panose="02040503050406030204" pitchFamily="18" charset="0"/>
                  <a:cs typeface="Sora" pitchFamily="2" charset="0"/>
                </a:rPr>
                <a:t>+ Resultado de títulos e valores mobiliários </a:t>
              </a:r>
              <a:r>
                <a:rPr lang="pt-BR" sz="800" b="0" i="0">
                  <a:latin typeface="Cambria Math" panose="02040503050406030204" pitchFamily="18" charset="0"/>
                  <a:cs typeface="Sora" pitchFamily="2" charset="0"/>
                </a:rPr>
                <a:t>e </a:t>
              </a:r>
              <a:r>
                <a:rPr lang="pt-BR" sz="800" i="0">
                  <a:latin typeface="Cambria Math" panose="02040503050406030204" pitchFamily="18" charset="0"/>
                  <a:cs typeface="Sora" pitchFamily="2" charset="0"/>
                </a:rPr>
                <a:t>derivativos + Outras receitas</a:t>
              </a:r>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de floating:</a:t>
              </a:r>
            </a:p>
            <a:p>
              <a:r>
                <a:rPr lang="pt-BR" sz="800">
                  <a:latin typeface="Calibri" panose="020F0502020204030204" pitchFamily="34" charset="0"/>
                  <a:ea typeface="Inter" panose="020B0502030000000004" pitchFamily="34" charset="0"/>
                  <a:cs typeface="Calibri" panose="020F0502020204030204" pitchFamily="34" charset="0"/>
                </a:rPr>
                <a:t>A receita de floating é um cálculo gerencial e se dá pela multiplicação do saldo de depósitos à vista (líquido de compulsório) por 100% da taxa CDI.</a:t>
              </a:r>
            </a:p>
            <a:p>
              <a:endParaRPr lang="pt-BR" sz="800" b="1">
                <a:latin typeface="Calibri" panose="020F0502020204030204" pitchFamily="34" charset="0"/>
                <a:ea typeface="Inter" panose="020B05020300000000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xdr:txBody>
        </xdr:sp>
      </mc:Fallback>
    </mc:AlternateContent>
    <xdr:clientData/>
  </xdr:twoCellAnchor>
  <xdr:twoCellAnchor>
    <xdr:from>
      <xdr:col>8</xdr:col>
      <xdr:colOff>218784</xdr:colOff>
      <xdr:row>200</xdr:row>
      <xdr:rowOff>0</xdr:rowOff>
    </xdr:from>
    <xdr:to>
      <xdr:col>15</xdr:col>
      <xdr:colOff>186984</xdr:colOff>
      <xdr:row>227</xdr:row>
      <xdr:rowOff>15069</xdr:rowOff>
    </xdr:to>
    <mc:AlternateContent xmlns:mc="http://schemas.openxmlformats.org/markup-compatibility/2006" xmlns:a14="http://schemas.microsoft.com/office/drawing/2010/main">
      <mc:Choice Requires="a14">
        <xdr:sp macro="" textlink="">
          <xdr:nvSpPr>
            <xdr:cNvPr id="52" name="Retângulo 9">
              <a:extLst>
                <a:ext uri="{FF2B5EF4-FFF2-40B4-BE49-F238E27FC236}">
                  <a16:creationId xmlns:a16="http://schemas.microsoft.com/office/drawing/2014/main" id="{00000000-0008-0000-1600-000034000000}"/>
                </a:ext>
              </a:extLst>
            </xdr:cNvPr>
            <xdr:cNvSpPr/>
          </xdr:nvSpPr>
          <xdr:spPr>
            <a:xfrm>
              <a:off x="6844871" y="36811594"/>
              <a:ext cx="5766026" cy="4984634"/>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Receita de serviços de cartão:</a:t>
              </a:r>
            </a:p>
            <a:p>
              <a:pPr algn="just"/>
              <a:r>
                <a:rPr lang="en-US" sz="800">
                  <a:latin typeface="Calibri" panose="020F0502020204030204" pitchFamily="34" charset="0"/>
                  <a:ea typeface="Inter" panose="020B0502030000000004" pitchFamily="34" charset="0"/>
                  <a:cs typeface="Calibri" panose="020F0502020204030204" pitchFamily="34" charset="0"/>
                </a:rPr>
                <a:t>É parte das linhas “Receita de serviços e comissões” e “Outras receitas” da Demonstração de Resultado IFRS. </a:t>
              </a:r>
            </a:p>
            <a:p>
              <a:pPr algn="just"/>
              <a:endParaRPr lang="en-US" sz="800" b="1">
                <a:latin typeface="Calibri" panose="020F0502020204030204" pitchFamily="34" charset="0"/>
                <a:ea typeface="Inter" panose="020B05020300000000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líquida:</a:t>
              </a:r>
            </a:p>
            <a:p>
              <a:endParaRPr lang="pt-BR" sz="800">
                <a:solidFill>
                  <a:schemeClr val="tx1">
                    <a:lumMod val="85000"/>
                    <a:lumOff val="15000"/>
                  </a:schemeClr>
                </a:solidFill>
                <a:highlight>
                  <a:srgbClr val="FFFF00"/>
                </a:highlight>
                <a:latin typeface="Calibri" panose="020F0502020204030204" pitchFamily="34" charset="0"/>
                <a:ea typeface="Inter" panose="020B0502030000000004" pitchFamily="34" charset="0"/>
                <a:cs typeface="Calibri" panose="020F0502020204030204" pitchFamily="34" charset="0"/>
              </a:endParaRPr>
            </a:p>
            <a:p>
              <a:pPr algn="ctr"/>
              <a14:m>
                <m:oMathPara xmlns:m="http://schemas.openxmlformats.org/officeDocument/2006/math">
                  <m:oMathParaPr>
                    <m:jc m:val="centerGroup"/>
                  </m:oMathParaPr>
                  <m:oMath xmlns:m="http://schemas.openxmlformats.org/officeDocument/2006/math">
                    <m:r>
                      <m:rPr>
                        <m:sty m:val="p"/>
                      </m:rP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sultado</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l</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í</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quido</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juros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Resultado</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l</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í</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quido</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servi</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ç</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comiss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õ</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es</m:t>
                    </m:r>
                    <m: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Outras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receitas</m:t>
                    </m:r>
                  </m:oMath>
                </m:oMathPara>
              </a14:m>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líquida de serviços:</a:t>
              </a:r>
            </a:p>
            <a:p>
              <a:endParaRPr lang="pt-BR" sz="800">
                <a:solidFill>
                  <a:schemeClr val="tx1">
                    <a:lumMod val="85000"/>
                    <a:lumOff val="15000"/>
                  </a:schemeClr>
                </a:solidFill>
                <a:highlight>
                  <a:srgbClr val="FFFF00"/>
                </a:highlight>
                <a:latin typeface="Calibri" panose="020F0502020204030204" pitchFamily="34" charset="0"/>
                <a:ea typeface="Inter" panose="020B05020300000000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Receitas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servi</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ç</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comiss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õ</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Outras</m:t>
                    </m:r>
                    <m: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receitas</m:t>
                    </m:r>
                  </m:oMath>
                </m:oMathPara>
              </a14:m>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pt-BR" sz="800">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líquida de juros:</a:t>
              </a:r>
            </a:p>
            <a:p>
              <a:endParaRPr lang="pt-BR" sz="800">
                <a:solidFill>
                  <a:schemeClr val="tx1">
                    <a:lumMod val="85000"/>
                    <a:lumOff val="15000"/>
                  </a:schemeClr>
                </a:solidFill>
                <a:highlight>
                  <a:srgbClr val="FFFF00"/>
                </a:highlight>
                <a:latin typeface="Calibri" panose="020F0502020204030204" pitchFamily="34" charset="0"/>
                <a:ea typeface="Inter" panose="020B0502030000000004" pitchFamily="34" charset="0"/>
                <a:cs typeface="Calibri" panose="020F0502020204030204" pitchFamily="34" charset="0"/>
              </a:endParaRPr>
            </a:p>
            <a:p>
              <a:pPr algn="ctr"/>
              <a14:m>
                <m:oMath xmlns:m="http://schemas.openxmlformats.org/officeDocument/2006/math">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Receita</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juros</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Despesas</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juros</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Resultado</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de</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í</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tulos</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e</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Valores</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 </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Mobili</m:t>
                  </m:r>
                  <m: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á</m:t>
                  </m:r>
                  <m:r>
                    <m:rPr>
                      <m:sty m:val="p"/>
                    </m:rPr>
                    <a:rPr lang="pt-BR" sz="80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m:t>rios</m:t>
                  </m:r>
                </m:oMath>
              </a14:m>
              <a:r>
                <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rPr>
                <a:t> e Derivativos</a:t>
              </a: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Retorno sobre patrimônio líquido médio (ROE): </a:t>
              </a:r>
            </a:p>
            <a:p>
              <a:endParaRPr lang="en-US" sz="800" b="1">
                <a:latin typeface="Calibri" panose="020F0502020204030204" pitchFamily="34" charset="0"/>
                <a:cs typeface="Calibri" panose="020F0502020204030204" pitchFamily="34" charset="0"/>
              </a:endParaRPr>
            </a:p>
            <a:p>
              <a:pPr/>
              <a14:m>
                <m:oMathPara xmlns:m="http://schemas.openxmlformats.org/officeDocument/2006/math">
                  <m:oMathParaPr>
                    <m:jc m:val="centerGroup"/>
                  </m:oMathParaPr>
                  <m:oMath xmlns:m="http://schemas.openxmlformats.org/officeDocument/2006/math">
                    <m:f>
                      <m:fPr>
                        <m:ctrlPr>
                          <a:rPr lang="pt-BR" sz="800" i="1">
                            <a:latin typeface="Cambria Math" panose="02040503050406030204" pitchFamily="18" charset="0"/>
                          </a:rPr>
                        </m:ctrlPr>
                      </m:fPr>
                      <m:num>
                        <m:r>
                          <a:rPr lang="pt-BR" sz="800" i="0">
                            <a:latin typeface="Cambria Math" panose="02040503050406030204" pitchFamily="18" charset="0"/>
                          </a:rPr>
                          <m:t>(</m:t>
                        </m:r>
                        <m:r>
                          <m:rPr>
                            <m:sty m:val="p"/>
                          </m:rPr>
                          <a:rPr lang="pt-BR" sz="800" i="0">
                            <a:latin typeface="Cambria Math" panose="02040503050406030204" pitchFamily="18" charset="0"/>
                          </a:rPr>
                          <m:t>Lucro</m:t>
                        </m:r>
                        <m:r>
                          <a:rPr lang="pt-BR" sz="800" i="0">
                            <a:latin typeface="Cambria Math" panose="02040503050406030204" pitchFamily="18" charset="0"/>
                          </a:rPr>
                          <m:t> /</m:t>
                        </m:r>
                        <m:d>
                          <m:dPr>
                            <m:ctrlPr>
                              <a:rPr lang="pt-BR" sz="800" i="1">
                                <a:latin typeface="Cambria Math" panose="02040503050406030204" pitchFamily="18" charset="0"/>
                              </a:rPr>
                            </m:ctrlPr>
                          </m:dPr>
                          <m:e>
                            <m:r>
                              <m:rPr>
                                <m:sty m:val="p"/>
                              </m:rPr>
                              <a:rPr lang="pt-BR" sz="800" i="0">
                                <a:latin typeface="Cambria Math" panose="02040503050406030204" pitchFamily="18" charset="0"/>
                              </a:rPr>
                              <m:t>perda</m:t>
                            </m:r>
                          </m:e>
                        </m:d>
                        <m:r>
                          <a:rPr lang="pt-BR" sz="800" i="0">
                            <a:latin typeface="Cambria Math" panose="02040503050406030204" pitchFamily="18" charset="0"/>
                          </a:rPr>
                          <m:t> </m:t>
                        </m:r>
                        <m:r>
                          <m:rPr>
                            <m:sty m:val="p"/>
                          </m:rPr>
                          <a:rPr lang="pt-BR" sz="800" i="0">
                            <a:latin typeface="Cambria Math" panose="02040503050406030204" pitchFamily="18" charset="0"/>
                          </a:rPr>
                          <m:t>para</m:t>
                        </m:r>
                        <m:r>
                          <a:rPr lang="pt-BR" sz="800" i="0">
                            <a:latin typeface="Cambria Math" panose="02040503050406030204" pitchFamily="18" charset="0"/>
                          </a:rPr>
                          <m:t> </m:t>
                        </m:r>
                        <m:r>
                          <m:rPr>
                            <m:sty m:val="p"/>
                          </m:rPr>
                          <a:rPr lang="pt-BR" sz="800" i="0">
                            <a:latin typeface="Cambria Math" panose="02040503050406030204" pitchFamily="18" charset="0"/>
                          </a:rPr>
                          <m:t>o</m:t>
                        </m:r>
                        <m:r>
                          <a:rPr lang="pt-BR" sz="800" i="0">
                            <a:latin typeface="Cambria Math" panose="02040503050406030204" pitchFamily="18" charset="0"/>
                          </a:rPr>
                          <m:t> </m:t>
                        </m:r>
                        <m:r>
                          <m:rPr>
                            <m:sty m:val="p"/>
                          </m:rPr>
                          <a:rPr lang="pt-BR" sz="800" i="0">
                            <a:latin typeface="Cambria Math" panose="02040503050406030204" pitchFamily="18" charset="0"/>
                          </a:rPr>
                          <m:t>ano</m:t>
                        </m:r>
                        <m:r>
                          <a:rPr lang="pt-BR" sz="800" i="0">
                            <a:latin typeface="Cambria Math" panose="02040503050406030204" pitchFamily="18" charset="0"/>
                          </a:rPr>
                          <m:t>) × 4</m:t>
                        </m:r>
                      </m:num>
                      <m:den>
                        <m:r>
                          <m:rPr>
                            <m:sty m:val="p"/>
                          </m:rPr>
                          <a:rPr lang="pt-BR" sz="800" i="0">
                            <a:latin typeface="Cambria Math" panose="02040503050406030204" pitchFamily="18" charset="0"/>
                          </a:rPr>
                          <m:t>M</m:t>
                        </m:r>
                        <m:r>
                          <a:rPr lang="pt-BR" sz="800" i="0">
                            <a:latin typeface="Cambria Math" panose="02040503050406030204" pitchFamily="18" charset="0"/>
                          </a:rPr>
                          <m:t>é</m:t>
                        </m:r>
                        <m:r>
                          <m:rPr>
                            <m:sty m:val="p"/>
                          </m:rPr>
                          <a:rPr lang="pt-BR" sz="800" i="0">
                            <a:latin typeface="Cambria Math" panose="02040503050406030204" pitchFamily="18" charset="0"/>
                          </a:rPr>
                          <m:t>dia</m:t>
                        </m:r>
                        <m:r>
                          <a:rPr lang="pt-BR" sz="800" i="0">
                            <a:latin typeface="Cambria Math" panose="02040503050406030204" pitchFamily="18" charset="0"/>
                          </a:rPr>
                          <m:t> </m:t>
                        </m:r>
                        <m:r>
                          <m:rPr>
                            <m:sty m:val="p"/>
                          </m:rPr>
                          <a:rPr lang="pt-BR" sz="800" i="0">
                            <a:latin typeface="Cambria Math" panose="02040503050406030204" pitchFamily="18" charset="0"/>
                          </a:rPr>
                          <m:t>do</m:t>
                        </m:r>
                        <m:r>
                          <a:rPr lang="pt-BR" sz="800" i="0">
                            <a:latin typeface="Cambria Math" panose="02040503050406030204" pitchFamily="18" charset="0"/>
                          </a:rPr>
                          <m:t> </m:t>
                        </m:r>
                        <m:r>
                          <m:rPr>
                            <m:sty m:val="p"/>
                          </m:rPr>
                          <a:rPr lang="pt-BR" sz="800" i="0">
                            <a:latin typeface="Cambria Math" panose="02040503050406030204" pitchFamily="18" charset="0"/>
                          </a:rPr>
                          <m:t>patrim</m:t>
                        </m:r>
                        <m:r>
                          <a:rPr lang="pt-BR" sz="800" i="0">
                            <a:latin typeface="Cambria Math" panose="02040503050406030204" pitchFamily="18" charset="0"/>
                          </a:rPr>
                          <m:t>ô</m:t>
                        </m:r>
                        <m:r>
                          <m:rPr>
                            <m:sty m:val="p"/>
                          </m:rPr>
                          <a:rPr lang="pt-BR" sz="800" i="0">
                            <a:latin typeface="Cambria Math" panose="02040503050406030204" pitchFamily="18" charset="0"/>
                          </a:rPr>
                          <m:t>nio</m:t>
                        </m:r>
                        <m:r>
                          <a:rPr lang="pt-BR" sz="800" i="0">
                            <a:latin typeface="Cambria Math" panose="02040503050406030204" pitchFamily="18" charset="0"/>
                          </a:rPr>
                          <m:t> </m:t>
                        </m:r>
                        <m:r>
                          <m:rPr>
                            <m:sty m:val="p"/>
                          </m:rPr>
                          <a:rPr lang="pt-BR" sz="800" i="0">
                            <a:latin typeface="Cambria Math" panose="02040503050406030204" pitchFamily="18" charset="0"/>
                          </a:rPr>
                          <m:t>l</m:t>
                        </m:r>
                        <m:r>
                          <a:rPr lang="pt-BR" sz="800" i="0">
                            <a:latin typeface="Cambria Math" panose="02040503050406030204" pitchFamily="18" charset="0"/>
                          </a:rPr>
                          <m:t>í</m:t>
                        </m:r>
                        <m:r>
                          <m:rPr>
                            <m:sty m:val="p"/>
                          </m:rPr>
                          <a:rPr lang="pt-BR" sz="800" i="0">
                            <a:latin typeface="Cambria Math" panose="02040503050406030204" pitchFamily="18" charset="0"/>
                          </a:rPr>
                          <m:t>quido</m:t>
                        </m:r>
                        <m:r>
                          <a:rPr lang="pt-BR" sz="800" i="0">
                            <a:latin typeface="Cambria Math" panose="02040503050406030204" pitchFamily="18" charset="0"/>
                          </a:rPr>
                          <m:t> </m:t>
                        </m:r>
                        <m:r>
                          <m:rPr>
                            <m:sty m:val="p"/>
                          </m:rPr>
                          <a:rPr lang="pt-BR" sz="800" i="0">
                            <a:latin typeface="Cambria Math" panose="02040503050406030204" pitchFamily="18" charset="0"/>
                          </a:rPr>
                          <m:t>dos</m:t>
                        </m:r>
                        <m:r>
                          <a:rPr lang="pt-BR" sz="800" i="0">
                            <a:latin typeface="Cambria Math" panose="02040503050406030204" pitchFamily="18" charset="0"/>
                          </a:rPr>
                          <m:t> ú</m:t>
                        </m:r>
                        <m:r>
                          <m:rPr>
                            <m:sty m:val="p"/>
                          </m:rPr>
                          <a:rPr lang="pt-BR" sz="800" i="0">
                            <a:latin typeface="Cambria Math" panose="02040503050406030204" pitchFamily="18" charset="0"/>
                          </a:rPr>
                          <m:t>ltimos</m:t>
                        </m:r>
                        <m:r>
                          <a:rPr lang="pt-BR" sz="800" i="0">
                            <a:latin typeface="Cambria Math" panose="02040503050406030204" pitchFamily="18" charset="0"/>
                          </a:rPr>
                          <m:t> 2 </m:t>
                        </m:r>
                        <m:r>
                          <m:rPr>
                            <m:sty m:val="p"/>
                          </m:rPr>
                          <a:rPr lang="pt-BR" sz="800" i="0">
                            <a:latin typeface="Cambria Math" panose="02040503050406030204" pitchFamily="18" charset="0"/>
                          </a:rPr>
                          <m:t>trimestres</m:t>
                        </m:r>
                        <m:r>
                          <a:rPr lang="pt-BR" sz="800" i="0">
                            <a:latin typeface="Cambria Math" panose="02040503050406030204" pitchFamily="18" charset="0"/>
                          </a:rPr>
                          <m:t> </m:t>
                        </m:r>
                      </m:den>
                    </m:f>
                  </m:oMath>
                </m:oMathPara>
              </a14:m>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ea typeface="Cambria Math" panose="02040503050406030204" pitchFamily="18" charset="0"/>
                  <a:cs typeface="Calibri" panose="020F0502020204030204" pitchFamily="34" charset="0"/>
                </a:rPr>
                <a:t>SG&amp;A:</a:t>
              </a:r>
            </a:p>
            <a:p>
              <a:endParaRPr lang="en-US" sz="800" b="1" i="0">
                <a:latin typeface="Calibri" panose="020F0502020204030204" pitchFamily="34" charset="0"/>
                <a:ea typeface="Cambria Math" panose="02040503050406030204" pitchFamily="18" charset="0"/>
                <a:cs typeface="Calibri" panose="020F0502020204030204" pitchFamily="34" charset="0"/>
              </a:endParaRPr>
            </a:p>
            <a:p>
              <a:pPr algn="ctr"/>
              <a14:m>
                <m:oMath xmlns:m="http://schemas.openxmlformats.org/officeDocument/2006/math">
                  <m:r>
                    <m:rPr>
                      <m:sty m:val="p"/>
                    </m:rPr>
                    <a:rPr lang="pt-BR" sz="800" b="0" i="0">
                      <a:latin typeface="Cambria Math" panose="02040503050406030204" pitchFamily="18" charset="0"/>
                      <a:ea typeface="Cambria Math" panose="02040503050406030204" pitchFamily="18" charset="0"/>
                      <a:cs typeface="Sora" pitchFamily="2" charset="0"/>
                    </a:rPr>
                    <m:t>Despesas</m:t>
                  </m:r>
                  <m:r>
                    <a:rPr lang="pt-BR" sz="800" b="0" i="0">
                      <a:latin typeface="Cambria Math" panose="02040503050406030204" pitchFamily="18" charset="0"/>
                      <a:ea typeface="Cambria Math" panose="02040503050406030204" pitchFamily="18" charset="0"/>
                      <a:cs typeface="Sora" pitchFamily="2" charset="0"/>
                    </a:rPr>
                    <m:t> </m:t>
                  </m:r>
                  <m:r>
                    <m:rPr>
                      <m:sty m:val="p"/>
                    </m:rPr>
                    <a:rPr lang="pt-BR" sz="800" b="0" i="0">
                      <a:latin typeface="Cambria Math" panose="02040503050406030204" pitchFamily="18" charset="0"/>
                      <a:ea typeface="Cambria Math" panose="02040503050406030204" pitchFamily="18" charset="0"/>
                      <a:cs typeface="Sora" pitchFamily="2" charset="0"/>
                    </a:rPr>
                    <m:t>Administrativas</m:t>
                  </m:r>
                  <m:r>
                    <a:rPr lang="pt-BR" sz="800" b="0" i="0">
                      <a:latin typeface="Cambria Math" panose="02040503050406030204" pitchFamily="18" charset="0"/>
                      <a:ea typeface="Cambria Math" panose="02040503050406030204" pitchFamily="18" charset="0"/>
                      <a:cs typeface="Sora" pitchFamily="2" charset="0"/>
                    </a:rPr>
                    <m:t> </m:t>
                  </m:r>
                </m:oMath>
              </a14:m>
              <a:r>
                <a:rPr lang="en-US" sz="800">
                  <a:latin typeface="Calibri" panose="020F0502020204030204" pitchFamily="34" charset="0"/>
                  <a:ea typeface="Cambria Math" panose="02040503050406030204" pitchFamily="18" charset="0"/>
                  <a:cs typeface="Calibri" panose="020F0502020204030204" pitchFamily="34" charset="0"/>
                </a:rPr>
                <a:t>+ Despesa de Pessoal + Depreciação e Amortização</a:t>
              </a: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Taxas anualizadas:</a:t>
              </a:r>
            </a:p>
            <a:p>
              <a:pPr algn="just"/>
              <a:r>
                <a:rPr lang="en-US" sz="800">
                  <a:latin typeface="Calibri" panose="020F0502020204030204" pitchFamily="34" charset="0"/>
                  <a:ea typeface="Inter" panose="020B0502030000000004" pitchFamily="34" charset="0"/>
                  <a:cs typeface="Calibri" panose="020F0502020204030204" pitchFamily="34" charset="0"/>
                </a:rPr>
                <a:t>Taxa anual calculada multiplicando a taxa de juros trimestral por 4, dividida pela média da carteira dos últimos dois trimestres. Taxa de juros consolidada inclui imobiliário, consignado + FGTS, PMEs, cartão de crédito excluindo recebíveis de cartão de crédito não remunerados, e antecipação de recebíveis de cartão de crédito.</a:t>
              </a:r>
            </a:p>
          </xdr:txBody>
        </xdr:sp>
      </mc:Choice>
      <mc:Fallback xmlns="">
        <xdr:sp macro="" textlink="">
          <xdr:nvSpPr>
            <xdr:cNvPr id="52" name="Retângulo 9">
              <a:extLst>
                <a:ext uri="{FF2B5EF4-FFF2-40B4-BE49-F238E27FC236}">
                  <a16:creationId xmlns:a16="http://schemas.microsoft.com/office/drawing/2014/main" id="{3E89D0AB-9666-E04D-4A66-644C70C6A489}"/>
                </a:ext>
              </a:extLst>
            </xdr:cNvPr>
            <xdr:cNvSpPr/>
          </xdr:nvSpPr>
          <xdr:spPr>
            <a:xfrm>
              <a:off x="6844871" y="36811594"/>
              <a:ext cx="5766026" cy="4984634"/>
            </a:xfrm>
            <a:prstGeom prst="rect">
              <a:avLst/>
            </a:prstGeom>
          </xdr:spPr>
          <xdr:txBody>
            <a:bodyPr wrap="square" numCol="1">
              <a:spAutoFit/>
            </a:bodyPr>
            <a:lstStyle>
              <a:defPPr>
                <a:defRPr lang="en-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b="1">
                  <a:latin typeface="Calibri" panose="020F0502020204030204" pitchFamily="34" charset="0"/>
                  <a:cs typeface="Calibri" panose="020F0502020204030204" pitchFamily="34" charset="0"/>
                </a:rPr>
                <a:t>Receita de serviços de cartão:</a:t>
              </a:r>
            </a:p>
            <a:p>
              <a:pPr algn="just"/>
              <a:r>
                <a:rPr lang="en-US" sz="800">
                  <a:latin typeface="Calibri" panose="020F0502020204030204" pitchFamily="34" charset="0"/>
                  <a:ea typeface="Inter" panose="020B0502030000000004" pitchFamily="34" charset="0"/>
                  <a:cs typeface="Calibri" panose="020F0502020204030204" pitchFamily="34" charset="0"/>
                </a:rPr>
                <a:t>É parte das linhas “Receita de serviços e comissões” e “Outras receitas” da Demonstração de Resultado IFRS. </a:t>
              </a:r>
            </a:p>
            <a:p>
              <a:pPr algn="just"/>
              <a:endParaRPr lang="en-US" sz="800" b="1">
                <a:latin typeface="Calibri" panose="020F0502020204030204" pitchFamily="34" charset="0"/>
                <a:ea typeface="Inter" panose="020B05020300000000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líquida:</a:t>
              </a:r>
            </a:p>
            <a:p>
              <a:endParaRPr lang="pt-BR" sz="800">
                <a:solidFill>
                  <a:schemeClr val="tx1">
                    <a:lumMod val="85000"/>
                    <a:lumOff val="15000"/>
                  </a:schemeClr>
                </a:solidFill>
                <a:highlight>
                  <a:srgbClr val="FFFF00"/>
                </a:highlight>
                <a:latin typeface="Calibri" panose="020F0502020204030204" pitchFamily="34" charset="0"/>
                <a:ea typeface="Inter" panose="020B0502030000000004" pitchFamily="34" charset="0"/>
                <a:cs typeface="Calibri" panose="020F0502020204030204" pitchFamily="34" charset="0"/>
              </a:endParaRPr>
            </a:p>
            <a:p>
              <a:pPr algn="ct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Re</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sultado líquido de juros + Resultado líquido de serviços e comissões</a:t>
              </a:r>
              <a:r>
                <a:rPr lang="pt-BR" sz="800" b="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 </a:t>
              </a: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 Outras receitas</a:t>
              </a:r>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líquida de serviços:</a:t>
              </a:r>
            </a:p>
            <a:p>
              <a:endParaRPr lang="pt-BR" sz="800">
                <a:solidFill>
                  <a:schemeClr val="tx1">
                    <a:lumMod val="85000"/>
                    <a:lumOff val="15000"/>
                  </a:schemeClr>
                </a:solidFill>
                <a:highlight>
                  <a:srgbClr val="FFFF00"/>
                </a:highlight>
                <a:latin typeface="Calibri" panose="020F0502020204030204" pitchFamily="34" charset="0"/>
                <a:ea typeface="Inter" panose="020B0502030000000004" pitchFamily="34" charset="0"/>
                <a:cs typeface="Calibri" panose="020F0502020204030204" pitchFamily="34" charset="0"/>
              </a:endParaRPr>
            </a:p>
            <a:p>
              <a:pP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Receitas de serviços e comissões + Outras receitas</a:t>
              </a:r>
              <a:endPar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endParaRPr>
            </a:p>
            <a:p>
              <a:endParaRPr lang="pt-BR" sz="800">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r>
                <a:rPr lang="pt-BR" sz="800" b="1">
                  <a:latin typeface="Calibri" panose="020F0502020204030204" pitchFamily="34" charset="0"/>
                  <a:cs typeface="Calibri" panose="020F0502020204030204" pitchFamily="34" charset="0"/>
                </a:rPr>
                <a:t>Receita líquida de juros:</a:t>
              </a:r>
            </a:p>
            <a:p>
              <a:endParaRPr lang="pt-BR" sz="800">
                <a:solidFill>
                  <a:schemeClr val="tx1">
                    <a:lumMod val="85000"/>
                    <a:lumOff val="15000"/>
                  </a:schemeClr>
                </a:solidFill>
                <a:highlight>
                  <a:srgbClr val="FFFF00"/>
                </a:highlight>
                <a:latin typeface="Calibri" panose="020F0502020204030204" pitchFamily="34" charset="0"/>
                <a:ea typeface="Inter" panose="020B0502030000000004" pitchFamily="34" charset="0"/>
                <a:cs typeface="Calibri" panose="020F0502020204030204" pitchFamily="34" charset="0"/>
              </a:endParaRPr>
            </a:p>
            <a:p>
              <a:pPr algn="ctr"/>
              <a:r>
                <a:rPr lang="pt-BR" sz="800" i="0">
                  <a:solidFill>
                    <a:schemeClr val="tx1">
                      <a:lumMod val="85000"/>
                      <a:lumOff val="15000"/>
                    </a:schemeClr>
                  </a:solidFill>
                  <a:latin typeface="Cambria Math" panose="02040503050406030204" pitchFamily="18" charset="0"/>
                  <a:ea typeface="Cambria Math" panose="02040503050406030204" pitchFamily="18" charset="0"/>
                  <a:cs typeface="Sora" pitchFamily="2" charset="0"/>
                </a:rPr>
                <a:t>Receita de juros+Despesas de juros+Resultado de Títulos e Valores Mobiliários</a:t>
              </a:r>
              <a:r>
                <a:rPr lang="pt-BR" sz="800">
                  <a:solidFill>
                    <a:schemeClr val="tx1">
                      <a:lumMod val="85000"/>
                      <a:lumOff val="15000"/>
                    </a:schemeClr>
                  </a:solidFill>
                  <a:latin typeface="Calibri" panose="020F0502020204030204" pitchFamily="34" charset="0"/>
                  <a:ea typeface="Cambria Math" panose="02040503050406030204" pitchFamily="18" charset="0"/>
                  <a:cs typeface="Calibri" panose="020F0502020204030204" pitchFamily="34" charset="0"/>
                </a:rPr>
                <a:t> e Derivativos</a:t>
              </a: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Retorno sobre patrimônio líquido médio (ROE): </a:t>
              </a:r>
            </a:p>
            <a:p>
              <a:endParaRPr lang="en-US" sz="800" b="1">
                <a:latin typeface="Calibri" panose="020F0502020204030204" pitchFamily="34" charset="0"/>
                <a:cs typeface="Calibri" panose="020F0502020204030204" pitchFamily="34" charset="0"/>
              </a:endParaRPr>
            </a:p>
            <a:p>
              <a:pPr/>
              <a:r>
                <a:rPr lang="pt-BR" sz="800" i="0">
                  <a:latin typeface="Cambria Math" panose="02040503050406030204" pitchFamily="18" charset="0"/>
                </a:rPr>
                <a:t>((Lucro /(perda)  para o ano) × 4)/(Média do patrimônio líquido dos últimos 2 trimestres )</a:t>
              </a:r>
              <a:endParaRPr lang="en-US" sz="800" b="1">
                <a:latin typeface="Calibri" panose="020F0502020204030204" pitchFamily="34" charset="0"/>
                <a:cs typeface="Calibri" panose="020F0502020204030204" pitchFamily="34" charset="0"/>
              </a:endParaRPr>
            </a:p>
            <a:p>
              <a:endParaRPr lang="pt-BR"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ea typeface="Cambria Math" panose="02040503050406030204" pitchFamily="18" charset="0"/>
                  <a:cs typeface="Calibri" panose="020F0502020204030204" pitchFamily="34" charset="0"/>
                </a:rPr>
                <a:t>SG&amp;A:</a:t>
              </a:r>
            </a:p>
            <a:p>
              <a:endParaRPr lang="en-US" sz="800" b="1" i="0">
                <a:latin typeface="Calibri" panose="020F0502020204030204" pitchFamily="34" charset="0"/>
                <a:ea typeface="Cambria Math" panose="02040503050406030204" pitchFamily="18" charset="0"/>
                <a:cs typeface="Calibri" panose="020F0502020204030204" pitchFamily="34" charset="0"/>
              </a:endParaRPr>
            </a:p>
            <a:p>
              <a:pPr algn="ctr"/>
              <a:r>
                <a:rPr lang="pt-BR" sz="800" b="0" i="0">
                  <a:latin typeface="Cambria Math" panose="02040503050406030204" pitchFamily="18" charset="0"/>
                  <a:ea typeface="Cambria Math" panose="02040503050406030204" pitchFamily="18" charset="0"/>
                  <a:cs typeface="Sora" pitchFamily="2" charset="0"/>
                </a:rPr>
                <a:t>Despesas Administrativas </a:t>
              </a:r>
              <a:r>
                <a:rPr lang="en-US" sz="800">
                  <a:latin typeface="Calibri" panose="020F0502020204030204" pitchFamily="34" charset="0"/>
                  <a:ea typeface="Cambria Math" panose="02040503050406030204" pitchFamily="18" charset="0"/>
                  <a:cs typeface="Calibri" panose="020F0502020204030204" pitchFamily="34" charset="0"/>
                </a:rPr>
                <a:t>+ Despesa de Pessoal + Depreciação e Amortização</a:t>
              </a:r>
            </a:p>
            <a:p>
              <a:endParaRPr lang="en-US" sz="800" b="1">
                <a:latin typeface="Calibri" panose="020F0502020204030204" pitchFamily="34" charset="0"/>
                <a:cs typeface="Calibri" panose="020F0502020204030204" pitchFamily="34" charset="0"/>
              </a:endParaRPr>
            </a:p>
            <a:p>
              <a:endParaRPr lang="en-US" sz="800" b="1">
                <a:latin typeface="Calibri" panose="020F0502020204030204" pitchFamily="34" charset="0"/>
                <a:cs typeface="Calibri" panose="020F0502020204030204" pitchFamily="34" charset="0"/>
              </a:endParaRPr>
            </a:p>
            <a:p>
              <a:r>
                <a:rPr lang="en-US" sz="800" b="1">
                  <a:latin typeface="Calibri" panose="020F0502020204030204" pitchFamily="34" charset="0"/>
                  <a:cs typeface="Calibri" panose="020F0502020204030204" pitchFamily="34" charset="0"/>
                </a:rPr>
                <a:t>Taxas anualizadas:</a:t>
              </a:r>
            </a:p>
            <a:p>
              <a:pPr algn="just"/>
              <a:r>
                <a:rPr lang="en-US" sz="800">
                  <a:latin typeface="Calibri" panose="020F0502020204030204" pitchFamily="34" charset="0"/>
                  <a:ea typeface="Inter" panose="020B0502030000000004" pitchFamily="34" charset="0"/>
                  <a:cs typeface="Calibri" panose="020F0502020204030204" pitchFamily="34" charset="0"/>
                </a:rPr>
                <a:t>Taxa anual calculada multiplicando a taxa de juros trimestral por 4, dividida pela média da carteira dos últimos dois trimestres. Taxa de juros consolidada inclui imobiliário, consignado + FGTS, PMEs, cartão de crédito excluindo recebíveis de cartão de crédito não remunerados, e antecipação de recebíveis de cartão de crédito.</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xdr:row>
      <xdr:rowOff>689</xdr:rowOff>
    </xdr:from>
    <xdr:to>
      <xdr:col>22</xdr:col>
      <xdr:colOff>46892</xdr:colOff>
      <xdr:row>2</xdr:row>
      <xdr:rowOff>120853</xdr:rowOff>
    </xdr:to>
    <xdr:sp macro="" textlink="Names!BG2">
      <xdr:nvSpPr>
        <xdr:cNvPr id="6" name="Rounded Rectangle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clientData/>
  </xdr:twoCellAnchor>
  <xdr:twoCellAnchor>
    <xdr:from>
      <xdr:col>20</xdr:col>
      <xdr:colOff>89226</xdr:colOff>
      <xdr:row>1</xdr:row>
      <xdr:rowOff>0</xdr:rowOff>
    </xdr:from>
    <xdr:to>
      <xdr:col>20</xdr:col>
      <xdr:colOff>348163</xdr:colOff>
      <xdr:row>2</xdr:row>
      <xdr:rowOff>99817</xdr:rowOff>
    </xdr:to>
    <xdr:pic>
      <xdr:nvPicPr>
        <xdr:cNvPr id="7"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2" name="Group 1">
          <a:extLst>
            <a:ext uri="{FF2B5EF4-FFF2-40B4-BE49-F238E27FC236}">
              <a16:creationId xmlns:a16="http://schemas.microsoft.com/office/drawing/2014/main" id="{679F8DD5-63F3-23EC-6D97-5467E4F1396C}"/>
            </a:ext>
          </a:extLst>
        </xdr:cNvPr>
        <xdr:cNvGrpSpPr/>
      </xdr:nvGrpSpPr>
      <xdr:grpSpPr>
        <a:xfrm>
          <a:off x="20320000" y="165100"/>
          <a:ext cx="1697892" cy="285953"/>
          <a:chOff x="20320000" y="165100"/>
          <a:chExt cx="1697892" cy="285953"/>
        </a:xfrm>
      </xdr:grpSpPr>
      <xdr:sp macro="" textlink="Names!BG2">
        <xdr:nvSpPr>
          <xdr:cNvPr id="10" name="Rounded Rectangle 9">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11"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0</xdr:colOff>
      <xdr:row>1</xdr:row>
      <xdr:rowOff>0</xdr:rowOff>
    </xdr:from>
    <xdr:to>
      <xdr:col>19</xdr:col>
      <xdr:colOff>46892</xdr:colOff>
      <xdr:row>2</xdr:row>
      <xdr:rowOff>120853</xdr:rowOff>
    </xdr:to>
    <xdr:grpSp>
      <xdr:nvGrpSpPr>
        <xdr:cNvPr id="5" name="Group 4">
          <a:extLst>
            <a:ext uri="{FF2B5EF4-FFF2-40B4-BE49-F238E27FC236}">
              <a16:creationId xmlns:a16="http://schemas.microsoft.com/office/drawing/2014/main" id="{4A3D49E7-1E55-B171-17C9-FC9596DF9C0D}"/>
            </a:ext>
          </a:extLst>
        </xdr:cNvPr>
        <xdr:cNvGrpSpPr/>
      </xdr:nvGrpSpPr>
      <xdr:grpSpPr>
        <a:xfrm>
          <a:off x="17868900" y="165100"/>
          <a:ext cx="1697892" cy="285953"/>
          <a:chOff x="17868900" y="165100"/>
          <a:chExt cx="1697892" cy="285953"/>
        </a:xfrm>
      </xdr:grpSpPr>
      <xdr:sp macro="" textlink="Names!BG2">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78689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4"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7958126" y="165100"/>
            <a:ext cx="258937" cy="264917"/>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1</xdr:row>
      <xdr:rowOff>689</xdr:rowOff>
    </xdr:from>
    <xdr:to>
      <xdr:col>22</xdr:col>
      <xdr:colOff>46892</xdr:colOff>
      <xdr:row>2</xdr:row>
      <xdr:rowOff>120853</xdr:rowOff>
    </xdr:to>
    <xdr:sp macro="" textlink="Names!BG2">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clientData/>
  </xdr:twoCellAnchor>
  <xdr:twoCellAnchor>
    <xdr:from>
      <xdr:col>20</xdr:col>
      <xdr:colOff>89226</xdr:colOff>
      <xdr:row>1</xdr:row>
      <xdr:rowOff>0</xdr:rowOff>
    </xdr:from>
    <xdr:to>
      <xdr:col>20</xdr:col>
      <xdr:colOff>348163</xdr:colOff>
      <xdr:row>2</xdr:row>
      <xdr:rowOff>99817</xdr:rowOff>
    </xdr:to>
    <xdr:pic>
      <xdr:nvPicPr>
        <xdr:cNvPr id="4"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3" name="Group 2">
          <a:extLst>
            <a:ext uri="{FF2B5EF4-FFF2-40B4-BE49-F238E27FC236}">
              <a16:creationId xmlns:a16="http://schemas.microsoft.com/office/drawing/2014/main" id="{0C723D28-58AE-6E76-5DD0-F484CB9ACF33}"/>
            </a:ext>
          </a:extLst>
        </xdr:cNvPr>
        <xdr:cNvGrpSpPr/>
      </xdr:nvGrpSpPr>
      <xdr:grpSpPr>
        <a:xfrm>
          <a:off x="20320000" y="165100"/>
          <a:ext cx="1697892" cy="285953"/>
          <a:chOff x="203200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3" name="Group 2">
          <a:extLst>
            <a:ext uri="{FF2B5EF4-FFF2-40B4-BE49-F238E27FC236}">
              <a16:creationId xmlns:a16="http://schemas.microsoft.com/office/drawing/2014/main" id="{B121FB15-71CC-DEA7-AA16-EDCC28DB889C}"/>
            </a:ext>
          </a:extLst>
        </xdr:cNvPr>
        <xdr:cNvGrpSpPr/>
      </xdr:nvGrpSpPr>
      <xdr:grpSpPr>
        <a:xfrm>
          <a:off x="20320000" y="165100"/>
          <a:ext cx="1697892" cy="285953"/>
          <a:chOff x="20320000" y="165100"/>
          <a:chExt cx="1697892" cy="285953"/>
        </a:xfrm>
      </xdr:grpSpPr>
      <xdr:sp macro="" textlink="Names!BG2">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5"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1</xdr:row>
      <xdr:rowOff>0</xdr:rowOff>
    </xdr:from>
    <xdr:to>
      <xdr:col>22</xdr:col>
      <xdr:colOff>46892</xdr:colOff>
      <xdr:row>2</xdr:row>
      <xdr:rowOff>120853</xdr:rowOff>
    </xdr:to>
    <xdr:grpSp>
      <xdr:nvGrpSpPr>
        <xdr:cNvPr id="2" name="Group 1">
          <a:extLst>
            <a:ext uri="{FF2B5EF4-FFF2-40B4-BE49-F238E27FC236}">
              <a16:creationId xmlns:a16="http://schemas.microsoft.com/office/drawing/2014/main" id="{265CE1C3-B331-63E6-63D6-2C46E066F549}"/>
            </a:ext>
          </a:extLst>
        </xdr:cNvPr>
        <xdr:cNvGrpSpPr/>
      </xdr:nvGrpSpPr>
      <xdr:grpSpPr>
        <a:xfrm>
          <a:off x="20320000" y="165100"/>
          <a:ext cx="1697892" cy="285953"/>
          <a:chOff x="20320000" y="165100"/>
          <a:chExt cx="1697892" cy="285953"/>
        </a:xfrm>
      </xdr:grpSpPr>
      <xdr:sp macro="" textlink="Names!BG2">
        <xdr:nvSpPr>
          <xdr:cNvPr id="5" name="Rounded Rectangle 4">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a:off x="20320000" y="165789"/>
            <a:ext cx="1697892" cy="285264"/>
          </a:xfrm>
          <a:prstGeom prst="roundRect">
            <a:avLst/>
          </a:prstGeom>
          <a:solidFill>
            <a:srgbClr val="EB71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fld id="{2F8A604F-875A-1E47-A32D-C4FBF7F058CF}" type="TxLink">
              <a:rPr lang="en-US" sz="1100" b="1" i="0" u="none" strike="noStrike">
                <a:solidFill>
                  <a:schemeClr val="bg1"/>
                </a:solidFill>
                <a:latin typeface="Calibri"/>
                <a:cs typeface="Calibri"/>
              </a:rPr>
              <a:pPr algn="ctr"/>
              <a:t>    Back to summary</a:t>
            </a:fld>
            <a:endParaRPr lang="en-US" sz="1100" b="1">
              <a:solidFill>
                <a:schemeClr val="bg1"/>
              </a:solidFill>
            </a:endParaRPr>
          </a:p>
        </xdr:txBody>
      </xdr:sp>
      <xdr:pic>
        <xdr:nvPicPr>
          <xdr:cNvPr id="6" name="Gráfico 4" descr="Seta de linha: retorno na horizontal com preenchimento sólido">
            <a:hlinkClick xmlns:r="http://schemas.openxmlformats.org/officeDocument/2006/relationships" r:id="rId1"/>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20409226" y="165100"/>
            <a:ext cx="258937" cy="264917"/>
          </a:xfrm>
          <a:prstGeom prst="rect">
            <a:avLst/>
          </a:prstGeom>
        </xdr:spPr>
      </xdr:pic>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5ED0-FFAF-DE43-BD1B-4F127E097C3D}">
  <dimension ref="A1:BQ108"/>
  <sheetViews>
    <sheetView showGridLines="0" topLeftCell="W6" zoomScaleNormal="100" workbookViewId="0">
      <selection activeCell="AA31" sqref="AA31"/>
    </sheetView>
  </sheetViews>
  <sheetFormatPr baseColWidth="10" defaultColWidth="11.5" defaultRowHeight="15"/>
  <cols>
    <col min="1" max="1" width="17" customWidth="1"/>
    <col min="2" max="2" width="8.83203125" bestFit="1" customWidth="1"/>
    <col min="3" max="3" width="17" style="2" bestFit="1" customWidth="1"/>
    <col min="4" max="8" width="17" customWidth="1"/>
    <col min="9" max="9" width="15" bestFit="1" customWidth="1"/>
    <col min="10" max="10" width="16" bestFit="1" customWidth="1"/>
    <col min="11" max="11" width="38.1640625" bestFit="1" customWidth="1"/>
    <col min="12" max="12" width="47.6640625" bestFit="1" customWidth="1"/>
    <col min="13" max="13" width="36.5" bestFit="1" customWidth="1"/>
    <col min="14" max="14" width="46.83203125" bestFit="1" customWidth="1"/>
    <col min="15" max="15" width="53.5" bestFit="1" customWidth="1"/>
    <col min="16" max="16" width="59.5" bestFit="1" customWidth="1"/>
    <col min="17" max="17" width="41" bestFit="1" customWidth="1"/>
    <col min="18" max="18" width="28" bestFit="1" customWidth="1"/>
    <col min="19" max="19" width="32.6640625" bestFit="1" customWidth="1"/>
    <col min="20" max="20" width="36.5" bestFit="1" customWidth="1"/>
    <col min="21" max="22" width="39.6640625" bestFit="1" customWidth="1"/>
    <col min="23" max="23" width="53.1640625" bestFit="1" customWidth="1"/>
    <col min="24" max="24" width="45.6640625" bestFit="1" customWidth="1"/>
    <col min="25" max="25" width="54.5" bestFit="1" customWidth="1"/>
    <col min="26" max="26" width="58.1640625" bestFit="1" customWidth="1"/>
    <col min="27" max="27" width="75.5" bestFit="1" customWidth="1"/>
    <col min="28" max="31" width="75.5" customWidth="1"/>
    <col min="32" max="32" width="30" bestFit="1" customWidth="1"/>
    <col min="33" max="33" width="27.6640625" bestFit="1" customWidth="1"/>
    <col min="34" max="34" width="32.6640625" bestFit="1" customWidth="1"/>
    <col min="35" max="35" width="43.33203125" bestFit="1" customWidth="1"/>
    <col min="36" max="37" width="28" customWidth="1"/>
    <col min="38" max="38" width="27.83203125" bestFit="1" customWidth="1"/>
    <col min="39" max="39" width="39.1640625" bestFit="1" customWidth="1"/>
    <col min="40" max="40" width="31.83203125" bestFit="1" customWidth="1"/>
    <col min="41" max="41" width="31.1640625" bestFit="1" customWidth="1"/>
    <col min="42" max="42" width="44.1640625" bestFit="1" customWidth="1"/>
    <col min="43" max="43" width="49.83203125" bestFit="1" customWidth="1"/>
    <col min="44" max="44" width="25.33203125" customWidth="1"/>
    <col min="45" max="45" width="14.5" bestFit="1" customWidth="1"/>
    <col min="46" max="46" width="218.6640625" bestFit="1" customWidth="1"/>
    <col min="47" max="47" width="110.6640625" bestFit="1" customWidth="1"/>
    <col min="48" max="48" width="36" bestFit="1" customWidth="1"/>
    <col min="49" max="49" width="39.5" bestFit="1" customWidth="1"/>
    <col min="50" max="50" width="45.1640625" bestFit="1" customWidth="1"/>
    <col min="51" max="51" width="27.1640625" bestFit="1" customWidth="1"/>
    <col min="64" max="64" width="25.83203125" bestFit="1" customWidth="1"/>
    <col min="68" max="68" width="43" customWidth="1"/>
    <col min="69" max="69" width="255.83203125" bestFit="1" customWidth="1"/>
  </cols>
  <sheetData>
    <row r="1" spans="1:69">
      <c r="A1" t="s">
        <v>0</v>
      </c>
      <c r="B1" t="s">
        <v>1</v>
      </c>
      <c r="C1" s="2"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20</v>
      </c>
      <c r="W1" t="s">
        <v>21</v>
      </c>
      <c r="X1" t="s">
        <v>22</v>
      </c>
      <c r="Y1" t="s">
        <v>23</v>
      </c>
      <c r="Z1" t="s">
        <v>24</v>
      </c>
      <c r="AA1" t="s">
        <v>25</v>
      </c>
      <c r="AB1" t="s">
        <v>26</v>
      </c>
      <c r="AC1" t="s">
        <v>27</v>
      </c>
      <c r="AD1" t="s">
        <v>28</v>
      </c>
      <c r="AE1" t="s">
        <v>28</v>
      </c>
      <c r="AF1" t="s">
        <v>29</v>
      </c>
      <c r="AG1" t="s">
        <v>30</v>
      </c>
      <c r="AH1" t="s">
        <v>31</v>
      </c>
      <c r="AI1" t="s">
        <v>32</v>
      </c>
      <c r="AJ1" t="s">
        <v>33</v>
      </c>
      <c r="AK1" t="s">
        <v>34</v>
      </c>
      <c r="AL1" t="s">
        <v>35</v>
      </c>
      <c r="AM1" t="s">
        <v>36</v>
      </c>
      <c r="AN1" t="s">
        <v>37</v>
      </c>
      <c r="AO1" t="s">
        <v>38</v>
      </c>
      <c r="AP1" t="s">
        <v>39</v>
      </c>
      <c r="AQ1" t="s">
        <v>40</v>
      </c>
      <c r="AR1" s="3" t="s">
        <v>41</v>
      </c>
      <c r="AS1" s="3" t="s">
        <v>42</v>
      </c>
      <c r="AT1" t="s">
        <v>43</v>
      </c>
      <c r="AU1" t="s">
        <v>44</v>
      </c>
      <c r="AV1" t="s">
        <v>45</v>
      </c>
      <c r="AW1" t="s">
        <v>46</v>
      </c>
      <c r="AX1" t="s">
        <v>47</v>
      </c>
      <c r="AY1" t="s">
        <v>48</v>
      </c>
      <c r="BB1" t="s">
        <v>49</v>
      </c>
      <c r="BC1" t="s">
        <v>50</v>
      </c>
      <c r="BG1" t="str">
        <f>IF('Summary | Sumário'!$D$3=Names!$B$3,Names!$AR$1,Names!$AS$1)</f>
        <v>Back to summary</v>
      </c>
      <c r="BI1" t="str">
        <f>IF('Summary | Sumário'!$D$3=Names!$B$3,Names!$G$2,Names!$H$2)</f>
        <v>Operational Data</v>
      </c>
      <c r="BL1" t="s">
        <v>51</v>
      </c>
      <c r="BM1" t="s">
        <v>52</v>
      </c>
      <c r="BP1" s="114" t="s">
        <v>53</v>
      </c>
      <c r="BQ1" t="s">
        <v>54</v>
      </c>
    </row>
    <row r="2" spans="1:69" ht="14" customHeight="1">
      <c r="A2">
        <v>1</v>
      </c>
      <c r="B2" t="s">
        <v>55</v>
      </c>
      <c r="C2" s="2">
        <v>2019</v>
      </c>
      <c r="D2" s="2">
        <v>2019</v>
      </c>
      <c r="E2" s="2" t="s">
        <v>56</v>
      </c>
      <c r="F2" s="2" t="s">
        <v>57</v>
      </c>
      <c r="G2" s="2" t="s">
        <v>58</v>
      </c>
      <c r="H2" s="2" t="s">
        <v>59</v>
      </c>
      <c r="I2" t="s">
        <v>60</v>
      </c>
      <c r="J2" t="s">
        <v>61</v>
      </c>
      <c r="K2" t="s">
        <v>62</v>
      </c>
      <c r="L2" t="s">
        <v>63</v>
      </c>
      <c r="M2" t="s">
        <v>64</v>
      </c>
      <c r="N2" t="s">
        <v>65</v>
      </c>
      <c r="O2" t="s">
        <v>66</v>
      </c>
      <c r="P2" t="s">
        <v>67</v>
      </c>
      <c r="Q2" t="s">
        <v>68</v>
      </c>
      <c r="R2" t="s">
        <v>69</v>
      </c>
      <c r="V2" t="s">
        <v>20</v>
      </c>
      <c r="W2" t="s">
        <v>70</v>
      </c>
      <c r="AB2" t="s">
        <v>71</v>
      </c>
      <c r="AC2" t="s">
        <v>72</v>
      </c>
      <c r="AD2" t="s">
        <v>73</v>
      </c>
      <c r="AE2" t="s">
        <v>73</v>
      </c>
      <c r="AJ2" t="s">
        <v>74</v>
      </c>
      <c r="AK2" t="s">
        <v>74</v>
      </c>
      <c r="AL2" t="s">
        <v>75</v>
      </c>
      <c r="AM2" t="s">
        <v>75</v>
      </c>
      <c r="AN2" t="s">
        <v>76</v>
      </c>
      <c r="AO2" t="s">
        <v>77</v>
      </c>
      <c r="AP2" t="s">
        <v>39</v>
      </c>
      <c r="AQ2" t="s">
        <v>78</v>
      </c>
      <c r="AT2" t="s">
        <v>79</v>
      </c>
      <c r="AU2" t="s">
        <v>80</v>
      </c>
      <c r="BG2" t="str">
        <f>_xlfn.CONCAT("    ",BG1)</f>
        <v xml:space="preserve">    Back to summary</v>
      </c>
      <c r="BI2" t="str">
        <f>IF('Summary | Sumário'!$D$3=Names!$B$3,Names!$G$3,Names!$H$3)</f>
        <v>Others</v>
      </c>
      <c r="BL2" t="s">
        <v>81</v>
      </c>
      <c r="BM2" t="s">
        <v>82</v>
      </c>
      <c r="BP2" s="198" t="s">
        <v>83</v>
      </c>
      <c r="BQ2" s="121" t="s">
        <v>84</v>
      </c>
    </row>
    <row r="3" spans="1:69">
      <c r="A3">
        <v>2</v>
      </c>
      <c r="B3" t="s">
        <v>85</v>
      </c>
      <c r="C3" s="2">
        <v>2020</v>
      </c>
      <c r="D3" s="2">
        <v>2020</v>
      </c>
      <c r="E3" s="2" t="s">
        <v>86</v>
      </c>
      <c r="F3" s="2" t="s">
        <v>87</v>
      </c>
      <c r="G3" s="2" t="s">
        <v>88</v>
      </c>
      <c r="H3" s="2" t="s">
        <v>89</v>
      </c>
      <c r="I3" t="s">
        <v>90</v>
      </c>
      <c r="J3" t="s">
        <v>91</v>
      </c>
      <c r="K3" t="s">
        <v>92</v>
      </c>
      <c r="L3" t="s">
        <v>93</v>
      </c>
      <c r="M3" t="s">
        <v>94</v>
      </c>
      <c r="N3" t="s">
        <v>95</v>
      </c>
      <c r="O3" t="s">
        <v>96</v>
      </c>
      <c r="P3" t="s">
        <v>97</v>
      </c>
      <c r="Q3" t="s">
        <v>98</v>
      </c>
      <c r="R3" t="s">
        <v>99</v>
      </c>
      <c r="S3" t="s">
        <v>100</v>
      </c>
      <c r="T3" t="s">
        <v>101</v>
      </c>
      <c r="U3" t="s">
        <v>102</v>
      </c>
      <c r="V3" t="s">
        <v>103</v>
      </c>
      <c r="W3" t="s">
        <v>104</v>
      </c>
      <c r="X3" t="s">
        <v>105</v>
      </c>
      <c r="Y3" t="s">
        <v>106</v>
      </c>
      <c r="Z3" t="s">
        <v>107</v>
      </c>
      <c r="AA3" t="s">
        <v>108</v>
      </c>
      <c r="AB3" t="s">
        <v>109</v>
      </c>
      <c r="AC3" t="s">
        <v>110</v>
      </c>
      <c r="AD3" t="s">
        <v>111</v>
      </c>
      <c r="AE3" t="s">
        <v>112</v>
      </c>
      <c r="AF3" t="s">
        <v>113</v>
      </c>
      <c r="AG3" t="s">
        <v>114</v>
      </c>
      <c r="AH3" t="s">
        <v>115</v>
      </c>
      <c r="AI3" t="s">
        <v>116</v>
      </c>
      <c r="AJ3" t="s">
        <v>117</v>
      </c>
      <c r="AK3" t="s">
        <v>118</v>
      </c>
      <c r="AL3" t="s">
        <v>119</v>
      </c>
      <c r="AM3" t="s">
        <v>120</v>
      </c>
      <c r="AN3" t="s">
        <v>121</v>
      </c>
      <c r="AO3" t="s">
        <v>122</v>
      </c>
      <c r="AP3" t="s">
        <v>123</v>
      </c>
      <c r="AQ3" t="s">
        <v>123</v>
      </c>
      <c r="AT3" t="s">
        <v>124</v>
      </c>
      <c r="AU3" t="s">
        <v>125</v>
      </c>
      <c r="AV3" t="s">
        <v>126</v>
      </c>
      <c r="AW3" t="s">
        <v>127</v>
      </c>
      <c r="AX3" t="s">
        <v>128</v>
      </c>
      <c r="AY3" t="s">
        <v>128</v>
      </c>
      <c r="BL3" t="s">
        <v>129</v>
      </c>
      <c r="BM3" t="s">
        <v>129</v>
      </c>
      <c r="BP3" s="114" t="s">
        <v>130</v>
      </c>
      <c r="BQ3" t="s">
        <v>131</v>
      </c>
    </row>
    <row r="4" spans="1:69">
      <c r="A4">
        <v>3</v>
      </c>
      <c r="C4" s="2">
        <v>2021</v>
      </c>
      <c r="D4" s="2">
        <v>2021</v>
      </c>
      <c r="E4" s="2" t="s">
        <v>132</v>
      </c>
      <c r="F4" s="2" t="s">
        <v>133</v>
      </c>
      <c r="G4" s="2"/>
      <c r="H4" s="2"/>
      <c r="I4" t="s">
        <v>134</v>
      </c>
      <c r="J4" t="s">
        <v>135</v>
      </c>
      <c r="K4" t="s">
        <v>136</v>
      </c>
      <c r="L4" t="s">
        <v>137</v>
      </c>
      <c r="M4" t="s">
        <v>138</v>
      </c>
      <c r="N4" t="s">
        <v>139</v>
      </c>
      <c r="O4" t="s">
        <v>140</v>
      </c>
      <c r="P4" t="s">
        <v>141</v>
      </c>
      <c r="Q4" t="s">
        <v>142</v>
      </c>
      <c r="R4" t="s">
        <v>143</v>
      </c>
      <c r="S4" t="s">
        <v>144</v>
      </c>
      <c r="T4" t="s">
        <v>145</v>
      </c>
      <c r="U4" t="s">
        <v>146</v>
      </c>
      <c r="V4" t="s">
        <v>147</v>
      </c>
      <c r="W4" t="s">
        <v>148</v>
      </c>
      <c r="X4" t="s">
        <v>149</v>
      </c>
      <c r="Y4" t="s">
        <v>150</v>
      </c>
      <c r="Z4" t="s">
        <v>151</v>
      </c>
      <c r="AA4" t="s">
        <v>152</v>
      </c>
      <c r="AB4" t="s">
        <v>153</v>
      </c>
      <c r="AC4" t="s">
        <v>154</v>
      </c>
      <c r="AD4" t="s">
        <v>155</v>
      </c>
      <c r="AE4" t="s">
        <v>156</v>
      </c>
      <c r="AF4" t="s">
        <v>157</v>
      </c>
      <c r="AG4" t="s">
        <v>158</v>
      </c>
      <c r="AH4" t="s">
        <v>159</v>
      </c>
      <c r="AI4" t="s">
        <v>160</v>
      </c>
      <c r="AJ4" t="s">
        <v>161</v>
      </c>
      <c r="AK4" t="s">
        <v>162</v>
      </c>
      <c r="AL4" t="s">
        <v>163</v>
      </c>
      <c r="AM4" t="s">
        <v>164</v>
      </c>
      <c r="AN4" t="s">
        <v>165</v>
      </c>
      <c r="AO4" t="s">
        <v>166</v>
      </c>
      <c r="AP4" t="s">
        <v>167</v>
      </c>
      <c r="AQ4" t="s">
        <v>167</v>
      </c>
      <c r="AT4" t="s">
        <v>168</v>
      </c>
      <c r="AU4" t="s">
        <v>169</v>
      </c>
      <c r="AV4" t="s">
        <v>170</v>
      </c>
      <c r="AW4" t="s">
        <v>171</v>
      </c>
      <c r="AX4" t="s">
        <v>172</v>
      </c>
      <c r="AY4" t="s">
        <v>173</v>
      </c>
      <c r="BL4" t="s">
        <v>174</v>
      </c>
      <c r="BM4" t="s">
        <v>174</v>
      </c>
      <c r="BP4" t="s">
        <v>90</v>
      </c>
      <c r="BQ4" t="s">
        <v>91</v>
      </c>
    </row>
    <row r="5" spans="1:69">
      <c r="A5">
        <v>4</v>
      </c>
      <c r="C5" s="2">
        <v>2022</v>
      </c>
      <c r="D5" s="2">
        <v>2022</v>
      </c>
      <c r="E5" s="2" t="s">
        <v>175</v>
      </c>
      <c r="F5" s="2" t="s">
        <v>176</v>
      </c>
      <c r="G5" s="2"/>
      <c r="H5" s="2"/>
      <c r="I5" t="s">
        <v>177</v>
      </c>
      <c r="J5" t="s">
        <v>177</v>
      </c>
      <c r="K5" t="s">
        <v>178</v>
      </c>
      <c r="L5" t="s">
        <v>179</v>
      </c>
      <c r="M5" t="s">
        <v>180</v>
      </c>
      <c r="N5" t="s">
        <v>181</v>
      </c>
      <c r="O5" t="s">
        <v>182</v>
      </c>
      <c r="P5" t="s">
        <v>183</v>
      </c>
      <c r="Q5" t="s">
        <v>184</v>
      </c>
      <c r="R5" t="s">
        <v>185</v>
      </c>
      <c r="S5" t="s">
        <v>186</v>
      </c>
      <c r="T5" t="s">
        <v>187</v>
      </c>
      <c r="U5" t="s">
        <v>188</v>
      </c>
      <c r="V5" t="s">
        <v>189</v>
      </c>
      <c r="W5" t="s">
        <v>190</v>
      </c>
      <c r="X5" t="s">
        <v>191</v>
      </c>
      <c r="Y5" t="s">
        <v>192</v>
      </c>
      <c r="Z5" t="s">
        <v>193</v>
      </c>
      <c r="AA5" t="s">
        <v>193</v>
      </c>
      <c r="AB5" t="s">
        <v>194</v>
      </c>
      <c r="AC5" t="s">
        <v>195</v>
      </c>
      <c r="AD5" t="s">
        <v>196</v>
      </c>
      <c r="AE5" t="s">
        <v>197</v>
      </c>
      <c r="AF5" t="s">
        <v>198</v>
      </c>
      <c r="AG5" t="s">
        <v>199</v>
      </c>
      <c r="AH5" t="s">
        <v>200</v>
      </c>
      <c r="AI5" t="s">
        <v>201</v>
      </c>
      <c r="AJ5" t="s">
        <v>202</v>
      </c>
      <c r="AK5" t="s">
        <v>203</v>
      </c>
      <c r="AL5" t="s">
        <v>204</v>
      </c>
      <c r="AM5" t="s">
        <v>205</v>
      </c>
      <c r="AN5" t="s">
        <v>206</v>
      </c>
      <c r="AO5" t="s">
        <v>135</v>
      </c>
      <c r="AP5" t="s">
        <v>207</v>
      </c>
      <c r="AQ5" t="s">
        <v>208</v>
      </c>
      <c r="AV5" t="s">
        <v>209</v>
      </c>
      <c r="AW5" t="s">
        <v>210</v>
      </c>
      <c r="AX5" t="s">
        <v>211</v>
      </c>
      <c r="AY5" t="s">
        <v>212</v>
      </c>
      <c r="BL5" t="s">
        <v>213</v>
      </c>
      <c r="BM5" t="s">
        <v>214</v>
      </c>
      <c r="BP5" t="s">
        <v>215</v>
      </c>
      <c r="BQ5" t="s">
        <v>216</v>
      </c>
    </row>
    <row r="6" spans="1:69">
      <c r="A6">
        <v>5</v>
      </c>
      <c r="C6" s="2" t="s">
        <v>132</v>
      </c>
      <c r="D6" s="2" t="s">
        <v>133</v>
      </c>
      <c r="E6" s="2" t="s">
        <v>217</v>
      </c>
      <c r="F6" s="2" t="s">
        <v>218</v>
      </c>
      <c r="G6" s="2"/>
      <c r="H6" s="2"/>
      <c r="I6" t="s">
        <v>219</v>
      </c>
      <c r="J6" t="s">
        <v>220</v>
      </c>
      <c r="K6" t="s">
        <v>221</v>
      </c>
      <c r="L6" t="s">
        <v>222</v>
      </c>
      <c r="M6" t="s">
        <v>100</v>
      </c>
      <c r="N6" t="s">
        <v>101</v>
      </c>
      <c r="O6" t="s">
        <v>223</v>
      </c>
      <c r="P6" t="s">
        <v>224</v>
      </c>
      <c r="Q6" t="s">
        <v>225</v>
      </c>
      <c r="R6" t="s">
        <v>226</v>
      </c>
      <c r="S6" t="s">
        <v>227</v>
      </c>
      <c r="T6" t="s">
        <v>228</v>
      </c>
      <c r="U6" t="s">
        <v>229</v>
      </c>
      <c r="V6" t="s">
        <v>230</v>
      </c>
      <c r="W6" t="s">
        <v>231</v>
      </c>
      <c r="X6" t="s">
        <v>232</v>
      </c>
      <c r="Y6" t="s">
        <v>233</v>
      </c>
      <c r="Z6" t="s">
        <v>180</v>
      </c>
      <c r="AA6" t="s">
        <v>181</v>
      </c>
      <c r="AB6" t="s">
        <v>96</v>
      </c>
      <c r="AC6" t="s">
        <v>97</v>
      </c>
      <c r="AD6" t="s">
        <v>234</v>
      </c>
      <c r="AE6" t="s">
        <v>234</v>
      </c>
      <c r="AF6" t="s">
        <v>209</v>
      </c>
      <c r="AG6" t="s">
        <v>210</v>
      </c>
      <c r="AH6" t="s">
        <v>64</v>
      </c>
      <c r="AI6" t="s">
        <v>181</v>
      </c>
      <c r="AJ6" t="s">
        <v>235</v>
      </c>
      <c r="AK6" t="s">
        <v>236</v>
      </c>
      <c r="AL6" t="s">
        <v>237</v>
      </c>
      <c r="AM6" t="s">
        <v>238</v>
      </c>
      <c r="AN6" t="s">
        <v>239</v>
      </c>
      <c r="AO6" t="s">
        <v>240</v>
      </c>
      <c r="AP6" t="s">
        <v>241</v>
      </c>
      <c r="AQ6" t="s">
        <v>242</v>
      </c>
      <c r="AV6" t="s">
        <v>243</v>
      </c>
      <c r="AW6" t="s">
        <v>244</v>
      </c>
      <c r="AX6" t="s">
        <v>245</v>
      </c>
      <c r="AY6" t="s">
        <v>246</v>
      </c>
      <c r="BL6" t="s">
        <v>247</v>
      </c>
      <c r="BM6" t="s">
        <v>248</v>
      </c>
      <c r="BP6" t="s">
        <v>249</v>
      </c>
      <c r="BQ6" t="s">
        <v>250</v>
      </c>
    </row>
    <row r="7" spans="1:69">
      <c r="A7">
        <v>6</v>
      </c>
      <c r="C7" s="2" t="s">
        <v>175</v>
      </c>
      <c r="D7" s="2" t="s">
        <v>176</v>
      </c>
      <c r="E7" s="2" t="s">
        <v>251</v>
      </c>
      <c r="F7" s="2" t="s">
        <v>252</v>
      </c>
      <c r="G7" s="2"/>
      <c r="H7" s="2"/>
      <c r="I7" t="s">
        <v>253</v>
      </c>
      <c r="J7" t="s">
        <v>21</v>
      </c>
      <c r="K7" t="s">
        <v>254</v>
      </c>
      <c r="L7" t="s">
        <v>255</v>
      </c>
      <c r="M7" t="s">
        <v>256</v>
      </c>
      <c r="N7" t="s">
        <v>257</v>
      </c>
      <c r="O7" t="s">
        <v>258</v>
      </c>
      <c r="P7" t="s">
        <v>259</v>
      </c>
      <c r="Q7" t="s">
        <v>260</v>
      </c>
      <c r="R7" t="s">
        <v>261</v>
      </c>
      <c r="S7" t="s">
        <v>262</v>
      </c>
      <c r="T7" t="s">
        <v>263</v>
      </c>
      <c r="U7" t="s">
        <v>113</v>
      </c>
      <c r="V7" t="s">
        <v>264</v>
      </c>
      <c r="W7" t="s">
        <v>265</v>
      </c>
      <c r="X7" t="s">
        <v>266</v>
      </c>
      <c r="Y7" t="s">
        <v>267</v>
      </c>
      <c r="Z7" t="s">
        <v>268</v>
      </c>
      <c r="AA7" t="s">
        <v>269</v>
      </c>
      <c r="AB7" t="s">
        <v>270</v>
      </c>
      <c r="AC7" t="s">
        <v>271</v>
      </c>
      <c r="AF7" t="s">
        <v>243</v>
      </c>
      <c r="AG7" t="s">
        <v>244</v>
      </c>
      <c r="AH7" t="s">
        <v>138</v>
      </c>
      <c r="AI7" t="s">
        <v>139</v>
      </c>
      <c r="AJ7" t="s">
        <v>272</v>
      </c>
      <c r="AK7" t="s">
        <v>272</v>
      </c>
      <c r="AL7" t="s">
        <v>273</v>
      </c>
      <c r="AM7" t="s">
        <v>274</v>
      </c>
      <c r="AP7" t="s">
        <v>275</v>
      </c>
      <c r="AQ7" t="s">
        <v>276</v>
      </c>
      <c r="AV7" t="s">
        <v>277</v>
      </c>
      <c r="AW7" t="s">
        <v>278</v>
      </c>
      <c r="AX7" t="s">
        <v>279</v>
      </c>
      <c r="AY7" t="s">
        <v>280</v>
      </c>
      <c r="BL7" t="s">
        <v>281</v>
      </c>
      <c r="BM7" t="s">
        <v>282</v>
      </c>
      <c r="BP7" t="s">
        <v>283</v>
      </c>
      <c r="BQ7" t="s">
        <v>284</v>
      </c>
    </row>
    <row r="8" spans="1:69">
      <c r="A8">
        <v>7</v>
      </c>
      <c r="C8" s="2" t="s">
        <v>217</v>
      </c>
      <c r="D8" s="2" t="s">
        <v>218</v>
      </c>
      <c r="E8" s="2" t="s">
        <v>285</v>
      </c>
      <c r="F8" s="2" t="s">
        <v>286</v>
      </c>
      <c r="G8" s="2"/>
      <c r="H8" s="2"/>
      <c r="I8" t="s">
        <v>102</v>
      </c>
      <c r="J8" t="s">
        <v>287</v>
      </c>
      <c r="K8" t="s">
        <v>288</v>
      </c>
      <c r="L8" t="s">
        <v>289</v>
      </c>
      <c r="M8" t="s">
        <v>290</v>
      </c>
      <c r="N8" t="s">
        <v>291</v>
      </c>
      <c r="O8" t="s">
        <v>292</v>
      </c>
      <c r="P8" t="s">
        <v>293</v>
      </c>
      <c r="Q8" t="s">
        <v>294</v>
      </c>
      <c r="R8" t="s">
        <v>295</v>
      </c>
      <c r="S8" t="s">
        <v>296</v>
      </c>
      <c r="T8" t="s">
        <v>89</v>
      </c>
      <c r="U8" t="s">
        <v>297</v>
      </c>
      <c r="V8" t="s">
        <v>298</v>
      </c>
      <c r="W8" t="s">
        <v>299</v>
      </c>
      <c r="X8" t="s">
        <v>300</v>
      </c>
      <c r="Y8" t="s">
        <v>301</v>
      </c>
      <c r="Z8" t="s">
        <v>302</v>
      </c>
      <c r="AA8" t="s">
        <v>303</v>
      </c>
      <c r="AB8" t="s">
        <v>304</v>
      </c>
      <c r="AC8" t="s">
        <v>305</v>
      </c>
      <c r="AD8" t="s">
        <v>264</v>
      </c>
      <c r="AE8" t="s">
        <v>265</v>
      </c>
      <c r="AF8" t="s">
        <v>277</v>
      </c>
      <c r="AG8" t="s">
        <v>278</v>
      </c>
      <c r="AH8" t="s">
        <v>100</v>
      </c>
      <c r="AI8" t="s">
        <v>101</v>
      </c>
      <c r="AJ8" t="s">
        <v>306</v>
      </c>
      <c r="AK8" t="s">
        <v>307</v>
      </c>
      <c r="AL8" t="s">
        <v>308</v>
      </c>
      <c r="AM8" t="s">
        <v>308</v>
      </c>
      <c r="AN8" t="s">
        <v>309</v>
      </c>
      <c r="AO8" t="s">
        <v>310</v>
      </c>
      <c r="AP8" t="s">
        <v>311</v>
      </c>
      <c r="AQ8" t="s">
        <v>312</v>
      </c>
      <c r="AV8" t="s">
        <v>313</v>
      </c>
      <c r="AW8" t="s">
        <v>314</v>
      </c>
      <c r="AX8" t="s">
        <v>315</v>
      </c>
      <c r="AY8" t="s">
        <v>316</v>
      </c>
      <c r="BL8" t="s">
        <v>317</v>
      </c>
      <c r="BM8" t="s">
        <v>317</v>
      </c>
      <c r="BP8" t="s">
        <v>73</v>
      </c>
      <c r="BQ8" t="s">
        <v>73</v>
      </c>
    </row>
    <row r="9" spans="1:69">
      <c r="A9">
        <v>8</v>
      </c>
      <c r="C9" s="2" t="s">
        <v>251</v>
      </c>
      <c r="D9" s="2" t="s">
        <v>252</v>
      </c>
      <c r="E9" s="2" t="s">
        <v>318</v>
      </c>
      <c r="F9" s="2" t="s">
        <v>319</v>
      </c>
      <c r="G9" s="2"/>
      <c r="H9" s="2"/>
      <c r="I9" t="s">
        <v>320</v>
      </c>
      <c r="J9" t="s">
        <v>320</v>
      </c>
      <c r="K9" t="s">
        <v>321</v>
      </c>
      <c r="L9" t="s">
        <v>322</v>
      </c>
      <c r="M9" t="s">
        <v>268</v>
      </c>
      <c r="N9" t="s">
        <v>269</v>
      </c>
      <c r="O9" t="s">
        <v>323</v>
      </c>
      <c r="P9" t="s">
        <v>324</v>
      </c>
      <c r="Q9" t="s">
        <v>325</v>
      </c>
      <c r="R9" t="s">
        <v>326</v>
      </c>
      <c r="S9" t="s">
        <v>327</v>
      </c>
      <c r="T9" t="s">
        <v>328</v>
      </c>
      <c r="U9" t="s">
        <v>329</v>
      </c>
      <c r="V9" t="s">
        <v>330</v>
      </c>
      <c r="W9" t="s">
        <v>331</v>
      </c>
      <c r="X9" t="s">
        <v>332</v>
      </c>
      <c r="Y9" t="s">
        <v>333</v>
      </c>
      <c r="Z9" t="s">
        <v>334</v>
      </c>
      <c r="AA9" t="s">
        <v>335</v>
      </c>
      <c r="AB9" t="s">
        <v>336</v>
      </c>
      <c r="AC9" t="s">
        <v>337</v>
      </c>
      <c r="AD9" t="s">
        <v>230</v>
      </c>
      <c r="AE9" t="s">
        <v>231</v>
      </c>
      <c r="AF9" t="s">
        <v>338</v>
      </c>
      <c r="AG9" t="s">
        <v>339</v>
      </c>
      <c r="AH9" t="s">
        <v>268</v>
      </c>
      <c r="AI9" t="s">
        <v>269</v>
      </c>
      <c r="AJ9" t="s">
        <v>340</v>
      </c>
      <c r="AK9" t="s">
        <v>341</v>
      </c>
      <c r="AL9" t="s">
        <v>342</v>
      </c>
      <c r="AM9" t="s">
        <v>342</v>
      </c>
      <c r="AN9" t="s">
        <v>343</v>
      </c>
      <c r="AO9" t="s">
        <v>344</v>
      </c>
      <c r="AP9" t="s">
        <v>345</v>
      </c>
      <c r="AQ9" t="s">
        <v>346</v>
      </c>
      <c r="AV9" t="s">
        <v>180</v>
      </c>
      <c r="AW9" t="s">
        <v>181</v>
      </c>
      <c r="AX9" t="s">
        <v>347</v>
      </c>
      <c r="AY9" t="s">
        <v>348</v>
      </c>
      <c r="BL9" t="s">
        <v>234</v>
      </c>
      <c r="BM9" t="s">
        <v>234</v>
      </c>
      <c r="BP9" t="s">
        <v>230</v>
      </c>
      <c r="BQ9" t="s">
        <v>231</v>
      </c>
    </row>
    <row r="10" spans="1:69">
      <c r="A10">
        <v>9</v>
      </c>
      <c r="C10" s="2" t="s">
        <v>285</v>
      </c>
      <c r="D10" s="2" t="s">
        <v>286</v>
      </c>
      <c r="E10" s="2" t="s">
        <v>349</v>
      </c>
      <c r="F10" s="2" t="s">
        <v>350</v>
      </c>
      <c r="G10" s="2"/>
      <c r="H10" s="2"/>
      <c r="I10" t="s">
        <v>229</v>
      </c>
      <c r="J10" t="s">
        <v>351</v>
      </c>
      <c r="K10" t="s">
        <v>352</v>
      </c>
      <c r="L10" t="s">
        <v>353</v>
      </c>
      <c r="M10" t="s">
        <v>354</v>
      </c>
      <c r="N10" t="s">
        <v>355</v>
      </c>
      <c r="O10" t="s">
        <v>356</v>
      </c>
      <c r="P10" t="s">
        <v>357</v>
      </c>
      <c r="Q10" t="s">
        <v>358</v>
      </c>
      <c r="R10" t="s">
        <v>359</v>
      </c>
      <c r="S10" t="s">
        <v>273</v>
      </c>
      <c r="T10" t="s">
        <v>360</v>
      </c>
      <c r="U10" t="s">
        <v>361</v>
      </c>
      <c r="V10" t="s">
        <v>362</v>
      </c>
      <c r="W10" t="s">
        <v>362</v>
      </c>
      <c r="X10" t="s">
        <v>363</v>
      </c>
      <c r="Y10" t="s">
        <v>364</v>
      </c>
      <c r="Z10" t="s">
        <v>136</v>
      </c>
      <c r="AA10" t="s">
        <v>137</v>
      </c>
      <c r="AD10" t="s">
        <v>215</v>
      </c>
      <c r="AE10" t="s">
        <v>216</v>
      </c>
      <c r="AF10" t="s">
        <v>365</v>
      </c>
      <c r="AG10" t="s">
        <v>366</v>
      </c>
      <c r="AH10" t="s">
        <v>354</v>
      </c>
      <c r="AI10" t="s">
        <v>355</v>
      </c>
      <c r="AN10" t="s">
        <v>367</v>
      </c>
      <c r="AO10" t="s">
        <v>368</v>
      </c>
      <c r="AP10" t="s">
        <v>369</v>
      </c>
      <c r="AQ10" t="s">
        <v>370</v>
      </c>
      <c r="AV10" t="s">
        <v>290</v>
      </c>
      <c r="AW10" t="s">
        <v>291</v>
      </c>
      <c r="AX10" t="s">
        <v>371</v>
      </c>
      <c r="AY10" t="s">
        <v>372</v>
      </c>
      <c r="BP10" t="s">
        <v>373</v>
      </c>
      <c r="BQ10" t="s">
        <v>374</v>
      </c>
    </row>
    <row r="11" spans="1:69">
      <c r="A11">
        <v>10</v>
      </c>
      <c r="C11" s="2" t="s">
        <v>318</v>
      </c>
      <c r="D11" s="2" t="s">
        <v>319</v>
      </c>
      <c r="E11" s="2" t="s">
        <v>375</v>
      </c>
      <c r="F11" s="2" t="s">
        <v>376</v>
      </c>
      <c r="G11" s="2"/>
      <c r="H11" s="2"/>
      <c r="I11" t="s">
        <v>377</v>
      </c>
      <c r="J11" t="s">
        <v>378</v>
      </c>
      <c r="K11" t="s">
        <v>379</v>
      </c>
      <c r="L11" t="s">
        <v>380</v>
      </c>
      <c r="M11" t="s">
        <v>381</v>
      </c>
      <c r="N11" t="s">
        <v>382</v>
      </c>
      <c r="O11" t="s">
        <v>288</v>
      </c>
      <c r="P11" t="s">
        <v>383</v>
      </c>
      <c r="Q11" t="s">
        <v>384</v>
      </c>
      <c r="R11" t="s">
        <v>385</v>
      </c>
      <c r="S11" t="s">
        <v>386</v>
      </c>
      <c r="T11" t="s">
        <v>386</v>
      </c>
      <c r="U11" t="s">
        <v>387</v>
      </c>
      <c r="V11" t="s">
        <v>388</v>
      </c>
      <c r="W11" t="s">
        <v>388</v>
      </c>
      <c r="X11" t="s">
        <v>389</v>
      </c>
      <c r="Y11" t="s">
        <v>390</v>
      </c>
      <c r="Z11" t="s">
        <v>221</v>
      </c>
      <c r="AA11" t="s">
        <v>222</v>
      </c>
      <c r="AB11" t="s">
        <v>391</v>
      </c>
      <c r="AC11" t="s">
        <v>391</v>
      </c>
      <c r="AD11" t="s">
        <v>392</v>
      </c>
      <c r="AE11" t="s">
        <v>393</v>
      </c>
      <c r="AF11" t="s">
        <v>394</v>
      </c>
      <c r="AG11" t="s">
        <v>395</v>
      </c>
      <c r="AH11" t="s">
        <v>396</v>
      </c>
      <c r="AI11" t="s">
        <v>397</v>
      </c>
      <c r="AN11" t="s">
        <v>398</v>
      </c>
      <c r="AO11" t="s">
        <v>399</v>
      </c>
      <c r="AV11" t="s">
        <v>268</v>
      </c>
      <c r="AW11" t="s">
        <v>269</v>
      </c>
      <c r="BL11" t="s">
        <v>90</v>
      </c>
      <c r="BM11" t="s">
        <v>91</v>
      </c>
      <c r="BP11" t="s">
        <v>60</v>
      </c>
      <c r="BQ11" t="s">
        <v>61</v>
      </c>
    </row>
    <row r="12" spans="1:69">
      <c r="A12">
        <v>11</v>
      </c>
      <c r="C12" s="2" t="s">
        <v>349</v>
      </c>
      <c r="D12" s="2" t="s">
        <v>350</v>
      </c>
      <c r="E12" s="2" t="s">
        <v>400</v>
      </c>
      <c r="F12" s="2" t="s">
        <v>401</v>
      </c>
      <c r="G12" s="2"/>
      <c r="H12" s="2"/>
      <c r="I12" t="s">
        <v>402</v>
      </c>
      <c r="J12" t="s">
        <v>402</v>
      </c>
      <c r="K12" t="s">
        <v>403</v>
      </c>
      <c r="L12" t="s">
        <v>404</v>
      </c>
      <c r="M12" t="s">
        <v>405</v>
      </c>
      <c r="N12" t="s">
        <v>406</v>
      </c>
      <c r="O12" t="s">
        <v>96</v>
      </c>
      <c r="P12" t="s">
        <v>97</v>
      </c>
      <c r="Q12" t="s">
        <v>94</v>
      </c>
      <c r="R12" t="s">
        <v>407</v>
      </c>
      <c r="S12" t="s">
        <v>256</v>
      </c>
      <c r="T12" t="s">
        <v>257</v>
      </c>
      <c r="V12" t="s">
        <v>73</v>
      </c>
      <c r="W12" t="s">
        <v>73</v>
      </c>
      <c r="X12" t="s">
        <v>408</v>
      </c>
      <c r="Y12" t="s">
        <v>409</v>
      </c>
      <c r="Z12" t="s">
        <v>288</v>
      </c>
      <c r="AA12" t="s">
        <v>383</v>
      </c>
      <c r="AB12" t="s">
        <v>109</v>
      </c>
      <c r="AC12" t="s">
        <v>110</v>
      </c>
      <c r="AD12" t="s">
        <v>410</v>
      </c>
      <c r="AE12" t="s">
        <v>411</v>
      </c>
      <c r="AF12" t="s">
        <v>412</v>
      </c>
      <c r="AG12" t="s">
        <v>413</v>
      </c>
      <c r="AH12" t="s">
        <v>414</v>
      </c>
      <c r="AI12" t="s">
        <v>366</v>
      </c>
      <c r="AN12" t="s">
        <v>415</v>
      </c>
      <c r="AO12" t="s">
        <v>416</v>
      </c>
      <c r="AV12" t="s">
        <v>354</v>
      </c>
      <c r="AW12" t="s">
        <v>355</v>
      </c>
      <c r="BL12" t="s">
        <v>417</v>
      </c>
      <c r="BM12" t="s">
        <v>418</v>
      </c>
      <c r="BP12" t="s">
        <v>419</v>
      </c>
      <c r="BQ12" t="s">
        <v>420</v>
      </c>
    </row>
    <row r="13" spans="1:69">
      <c r="A13">
        <v>12</v>
      </c>
      <c r="C13" s="2" t="s">
        <v>375</v>
      </c>
      <c r="D13" s="2" t="s">
        <v>376</v>
      </c>
      <c r="E13" s="2" t="s">
        <v>421</v>
      </c>
      <c r="F13" t="s">
        <v>422</v>
      </c>
      <c r="G13" s="2"/>
      <c r="H13" s="2"/>
      <c r="I13" t="s">
        <v>423</v>
      </c>
      <c r="J13" t="s">
        <v>423</v>
      </c>
      <c r="K13" t="s">
        <v>424</v>
      </c>
      <c r="L13" t="s">
        <v>425</v>
      </c>
      <c r="M13" t="s">
        <v>153</v>
      </c>
      <c r="N13" t="s">
        <v>154</v>
      </c>
      <c r="O13" t="s">
        <v>426</v>
      </c>
      <c r="P13" t="s">
        <v>427</v>
      </c>
      <c r="Q13" t="s">
        <v>428</v>
      </c>
      <c r="R13" t="s">
        <v>429</v>
      </c>
      <c r="S13" t="s">
        <v>290</v>
      </c>
      <c r="T13" t="s">
        <v>291</v>
      </c>
      <c r="X13" t="s">
        <v>430</v>
      </c>
      <c r="Y13" t="s">
        <v>431</v>
      </c>
      <c r="Z13" t="s">
        <v>254</v>
      </c>
      <c r="AA13" t="s">
        <v>255</v>
      </c>
      <c r="AB13" t="s">
        <v>153</v>
      </c>
      <c r="AC13" t="s">
        <v>154</v>
      </c>
      <c r="AD13" t="s">
        <v>432</v>
      </c>
      <c r="AE13" t="s">
        <v>433</v>
      </c>
      <c r="AF13" t="s">
        <v>434</v>
      </c>
      <c r="AG13" t="s">
        <v>435</v>
      </c>
      <c r="AH13" t="s">
        <v>394</v>
      </c>
      <c r="AI13" t="s">
        <v>395</v>
      </c>
      <c r="AV13" t="s">
        <v>436</v>
      </c>
      <c r="AW13" t="s">
        <v>437</v>
      </c>
      <c r="BL13" t="s">
        <v>438</v>
      </c>
      <c r="BM13" t="s">
        <v>439</v>
      </c>
      <c r="BP13" t="s">
        <v>440</v>
      </c>
      <c r="BQ13" t="s">
        <v>441</v>
      </c>
    </row>
    <row r="14" spans="1:69">
      <c r="A14">
        <v>13</v>
      </c>
      <c r="C14" s="2" t="s">
        <v>400</v>
      </c>
      <c r="D14" s="2" t="s">
        <v>401</v>
      </c>
      <c r="E14" s="2" t="s">
        <v>442</v>
      </c>
      <c r="F14" s="2" t="s">
        <v>443</v>
      </c>
      <c r="G14" s="2"/>
      <c r="H14" s="2"/>
      <c r="I14" t="s">
        <v>444</v>
      </c>
      <c r="J14" t="s">
        <v>444</v>
      </c>
      <c r="K14" t="s">
        <v>445</v>
      </c>
      <c r="L14" t="s">
        <v>446</v>
      </c>
      <c r="M14" t="s">
        <v>209</v>
      </c>
      <c r="N14" t="s">
        <v>210</v>
      </c>
      <c r="O14" t="s">
        <v>288</v>
      </c>
      <c r="P14" t="s">
        <v>383</v>
      </c>
      <c r="Q14" t="s">
        <v>325</v>
      </c>
      <c r="R14" t="s">
        <v>326</v>
      </c>
      <c r="X14" t="s">
        <v>447</v>
      </c>
      <c r="Y14" t="s">
        <v>448</v>
      </c>
      <c r="Z14" t="s">
        <v>449</v>
      </c>
      <c r="AA14" t="s">
        <v>450</v>
      </c>
      <c r="AB14" t="s">
        <v>194</v>
      </c>
      <c r="AC14" t="s">
        <v>195</v>
      </c>
      <c r="AD14" t="s">
        <v>451</v>
      </c>
      <c r="AE14" t="s">
        <v>452</v>
      </c>
      <c r="AH14" t="s">
        <v>453</v>
      </c>
      <c r="AI14" t="s">
        <v>413</v>
      </c>
      <c r="AV14" t="s">
        <v>454</v>
      </c>
      <c r="AW14" t="s">
        <v>455</v>
      </c>
      <c r="BL14" t="s">
        <v>456</v>
      </c>
      <c r="BM14" t="s">
        <v>457</v>
      </c>
      <c r="BP14" t="s">
        <v>458</v>
      </c>
      <c r="BQ14" t="s">
        <v>459</v>
      </c>
    </row>
    <row r="15" spans="1:69">
      <c r="A15">
        <v>14</v>
      </c>
      <c r="C15" s="2" t="s">
        <v>421</v>
      </c>
      <c r="D15" t="s">
        <v>422</v>
      </c>
      <c r="E15" s="2" t="s">
        <v>460</v>
      </c>
      <c r="F15" s="2" t="s">
        <v>461</v>
      </c>
      <c r="I15" t="s">
        <v>462</v>
      </c>
      <c r="J15" t="s">
        <v>462</v>
      </c>
      <c r="K15" t="s">
        <v>463</v>
      </c>
      <c r="L15" t="s">
        <v>464</v>
      </c>
      <c r="M15" t="s">
        <v>277</v>
      </c>
      <c r="N15" t="s">
        <v>278</v>
      </c>
      <c r="O15" t="s">
        <v>465</v>
      </c>
      <c r="P15" t="s">
        <v>466</v>
      </c>
      <c r="Q15" t="s">
        <v>467</v>
      </c>
      <c r="R15" t="s">
        <v>468</v>
      </c>
      <c r="S15" t="s">
        <v>354</v>
      </c>
      <c r="T15" t="s">
        <v>355</v>
      </c>
      <c r="X15" t="s">
        <v>469</v>
      </c>
      <c r="Y15" t="s">
        <v>470</v>
      </c>
      <c r="AB15" t="s">
        <v>356</v>
      </c>
      <c r="AC15" t="s">
        <v>97</v>
      </c>
      <c r="AD15" t="s">
        <v>471</v>
      </c>
      <c r="AE15" t="s">
        <v>472</v>
      </c>
      <c r="AH15" t="s">
        <v>473</v>
      </c>
      <c r="AI15" t="s">
        <v>474</v>
      </c>
      <c r="BL15" t="s">
        <v>475</v>
      </c>
      <c r="BM15" t="s">
        <v>476</v>
      </c>
      <c r="BP15" t="s">
        <v>477</v>
      </c>
      <c r="BQ15" t="s">
        <v>477</v>
      </c>
    </row>
    <row r="16" spans="1:69">
      <c r="A16">
        <v>15</v>
      </c>
      <c r="C16" s="2" t="s">
        <v>442</v>
      </c>
      <c r="D16" s="2" t="s">
        <v>443</v>
      </c>
      <c r="I16" t="s">
        <v>478</v>
      </c>
      <c r="J16" t="s">
        <v>479</v>
      </c>
      <c r="K16" t="s">
        <v>480</v>
      </c>
      <c r="L16" t="s">
        <v>481</v>
      </c>
      <c r="M16" t="s">
        <v>436</v>
      </c>
      <c r="N16" t="s">
        <v>482</v>
      </c>
      <c r="O16" t="s">
        <v>465</v>
      </c>
      <c r="P16" t="s">
        <v>466</v>
      </c>
      <c r="Q16" t="s">
        <v>215</v>
      </c>
      <c r="R16" t="s">
        <v>483</v>
      </c>
      <c r="S16" t="s">
        <v>484</v>
      </c>
      <c r="T16" t="s">
        <v>485</v>
      </c>
      <c r="X16" t="s">
        <v>486</v>
      </c>
      <c r="Y16" t="s">
        <v>487</v>
      </c>
      <c r="Z16" t="s">
        <v>488</v>
      </c>
      <c r="AA16" t="s">
        <v>489</v>
      </c>
      <c r="AB16" t="s">
        <v>490</v>
      </c>
      <c r="AC16" t="s">
        <v>271</v>
      </c>
      <c r="AD16" t="s">
        <v>491</v>
      </c>
      <c r="AE16" t="s">
        <v>492</v>
      </c>
      <c r="BP16" t="s">
        <v>362</v>
      </c>
      <c r="BQ16" t="s">
        <v>362</v>
      </c>
    </row>
    <row r="17" spans="1:69">
      <c r="A17">
        <v>16</v>
      </c>
      <c r="C17" s="2" t="s">
        <v>460</v>
      </c>
      <c r="D17" s="2" t="s">
        <v>461</v>
      </c>
      <c r="I17" t="s">
        <v>39</v>
      </c>
      <c r="J17" t="s">
        <v>40</v>
      </c>
      <c r="K17" t="s">
        <v>493</v>
      </c>
      <c r="L17" t="s">
        <v>494</v>
      </c>
      <c r="M17" t="s">
        <v>243</v>
      </c>
      <c r="N17" t="s">
        <v>244</v>
      </c>
      <c r="O17" t="s">
        <v>495</v>
      </c>
      <c r="P17" t="s">
        <v>496</v>
      </c>
      <c r="Q17" t="s">
        <v>497</v>
      </c>
      <c r="R17" t="s">
        <v>498</v>
      </c>
      <c r="S17" t="s">
        <v>499</v>
      </c>
      <c r="T17" t="s">
        <v>500</v>
      </c>
      <c r="X17" t="s">
        <v>501</v>
      </c>
      <c r="Y17" t="s">
        <v>502</v>
      </c>
      <c r="Z17" t="s">
        <v>151</v>
      </c>
      <c r="AA17" t="s">
        <v>152</v>
      </c>
      <c r="AB17" t="s">
        <v>73</v>
      </c>
      <c r="AC17" t="s">
        <v>305</v>
      </c>
      <c r="AD17" t="s">
        <v>281</v>
      </c>
      <c r="AE17" t="s">
        <v>282</v>
      </c>
      <c r="AH17" t="s">
        <v>503</v>
      </c>
      <c r="AI17" t="s">
        <v>504</v>
      </c>
      <c r="AV17" t="s">
        <v>505</v>
      </c>
      <c r="AW17" t="s">
        <v>506</v>
      </c>
      <c r="BL17" t="s">
        <v>507</v>
      </c>
      <c r="BM17" t="s">
        <v>508</v>
      </c>
      <c r="BP17" t="s">
        <v>471</v>
      </c>
      <c r="BQ17" s="115" t="s">
        <v>509</v>
      </c>
    </row>
    <row r="18" spans="1:69">
      <c r="A18">
        <v>17</v>
      </c>
      <c r="C18" s="2">
        <v>2023</v>
      </c>
      <c r="D18" s="2">
        <v>2023</v>
      </c>
      <c r="I18" t="s">
        <v>510</v>
      </c>
      <c r="J18" t="s">
        <v>510</v>
      </c>
      <c r="K18" t="s">
        <v>98</v>
      </c>
      <c r="L18" t="s">
        <v>99</v>
      </c>
      <c r="M18" t="s">
        <v>511</v>
      </c>
      <c r="N18" t="s">
        <v>512</v>
      </c>
      <c r="O18" t="s">
        <v>111</v>
      </c>
      <c r="P18" t="s">
        <v>112</v>
      </c>
      <c r="Q18" t="s">
        <v>392</v>
      </c>
      <c r="R18" t="s">
        <v>513</v>
      </c>
      <c r="S18" t="s">
        <v>514</v>
      </c>
      <c r="T18" t="s">
        <v>515</v>
      </c>
      <c r="X18" t="s">
        <v>516</v>
      </c>
      <c r="Y18" t="s">
        <v>517</v>
      </c>
      <c r="Z18" t="s">
        <v>193</v>
      </c>
      <c r="AA18" t="s">
        <v>193</v>
      </c>
      <c r="AD18" t="s">
        <v>518</v>
      </c>
      <c r="AE18" t="s">
        <v>519</v>
      </c>
      <c r="AH18" t="s">
        <v>520</v>
      </c>
      <c r="AI18" t="s">
        <v>521</v>
      </c>
      <c r="AV18" t="s">
        <v>209</v>
      </c>
      <c r="AW18" t="s">
        <v>210</v>
      </c>
      <c r="BL18" t="s">
        <v>522</v>
      </c>
      <c r="BM18" t="s">
        <v>523</v>
      </c>
      <c r="BP18" s="114" t="s">
        <v>524</v>
      </c>
      <c r="BQ18" s="114" t="s">
        <v>525</v>
      </c>
    </row>
    <row r="19" spans="1:69">
      <c r="A19">
        <v>18</v>
      </c>
      <c r="I19" t="s">
        <v>526</v>
      </c>
      <c r="J19" t="s">
        <v>527</v>
      </c>
      <c r="K19" t="s">
        <v>294</v>
      </c>
      <c r="L19" t="s">
        <v>295</v>
      </c>
      <c r="M19" t="s">
        <v>528</v>
      </c>
      <c r="N19" t="s">
        <v>529</v>
      </c>
      <c r="O19" t="s">
        <v>530</v>
      </c>
      <c r="P19" t="s">
        <v>531</v>
      </c>
      <c r="S19" t="s">
        <v>532</v>
      </c>
      <c r="T19" t="s">
        <v>533</v>
      </c>
      <c r="X19" t="s">
        <v>534</v>
      </c>
      <c r="Y19" t="s">
        <v>535</v>
      </c>
      <c r="Z19" t="s">
        <v>180</v>
      </c>
      <c r="AA19" t="s">
        <v>181</v>
      </c>
      <c r="AD19" t="s">
        <v>536</v>
      </c>
      <c r="AE19" t="s">
        <v>537</v>
      </c>
      <c r="AH19" t="s">
        <v>538</v>
      </c>
      <c r="AI19" t="s">
        <v>539</v>
      </c>
      <c r="AV19" t="s">
        <v>313</v>
      </c>
      <c r="AW19" t="s">
        <v>314</v>
      </c>
      <c r="BL19" t="s">
        <v>540</v>
      </c>
      <c r="BM19" t="s">
        <v>541</v>
      </c>
      <c r="BP19" t="s">
        <v>542</v>
      </c>
      <c r="BQ19" t="s">
        <v>543</v>
      </c>
    </row>
    <row r="20" spans="1:69">
      <c r="A20">
        <v>19</v>
      </c>
      <c r="I20" t="s">
        <v>544</v>
      </c>
      <c r="J20" t="s">
        <v>544</v>
      </c>
      <c r="K20" t="s">
        <v>545</v>
      </c>
      <c r="L20" t="s">
        <v>546</v>
      </c>
      <c r="M20" t="s">
        <v>547</v>
      </c>
      <c r="N20" t="s">
        <v>548</v>
      </c>
      <c r="O20" t="s">
        <v>549</v>
      </c>
      <c r="P20" t="s">
        <v>550</v>
      </c>
      <c r="Q20" t="s">
        <v>551</v>
      </c>
      <c r="R20" t="s">
        <v>552</v>
      </c>
      <c r="S20" t="s">
        <v>553</v>
      </c>
      <c r="T20" t="s">
        <v>554</v>
      </c>
      <c r="X20" t="s">
        <v>555</v>
      </c>
      <c r="Y20" t="s">
        <v>556</v>
      </c>
      <c r="Z20" t="s">
        <v>268</v>
      </c>
      <c r="AA20" t="s">
        <v>269</v>
      </c>
      <c r="AD20" t="s">
        <v>107</v>
      </c>
      <c r="AE20" t="s">
        <v>108</v>
      </c>
      <c r="AH20" t="s">
        <v>64</v>
      </c>
      <c r="AI20" t="s">
        <v>181</v>
      </c>
      <c r="AV20" t="s">
        <v>180</v>
      </c>
      <c r="AW20" t="s">
        <v>181</v>
      </c>
      <c r="BL20" t="s">
        <v>557</v>
      </c>
      <c r="BM20" t="s">
        <v>558</v>
      </c>
      <c r="BP20" t="s">
        <v>559</v>
      </c>
      <c r="BQ20" t="s">
        <v>559</v>
      </c>
    </row>
    <row r="21" spans="1:69">
      <c r="A21">
        <v>20</v>
      </c>
      <c r="I21" t="s">
        <v>560</v>
      </c>
      <c r="J21" t="s">
        <v>561</v>
      </c>
      <c r="K21" t="s">
        <v>562</v>
      </c>
      <c r="L21" t="s">
        <v>563</v>
      </c>
      <c r="M21" t="s">
        <v>564</v>
      </c>
      <c r="N21" t="s">
        <v>565</v>
      </c>
      <c r="O21" t="s">
        <v>566</v>
      </c>
      <c r="P21" t="s">
        <v>550</v>
      </c>
      <c r="Q21" t="s">
        <v>567</v>
      </c>
      <c r="R21" t="s">
        <v>568</v>
      </c>
      <c r="S21" t="s">
        <v>354</v>
      </c>
      <c r="T21" t="s">
        <v>355</v>
      </c>
      <c r="Z21" t="s">
        <v>569</v>
      </c>
      <c r="AA21" t="s">
        <v>570</v>
      </c>
      <c r="AD21" t="s">
        <v>488</v>
      </c>
      <c r="AE21" t="s">
        <v>489</v>
      </c>
      <c r="AH21" t="s">
        <v>138</v>
      </c>
      <c r="AI21" t="s">
        <v>139</v>
      </c>
      <c r="AV21" t="s">
        <v>290</v>
      </c>
      <c r="AW21" t="s">
        <v>291</v>
      </c>
      <c r="BL21" t="s">
        <v>571</v>
      </c>
      <c r="BM21" t="s">
        <v>572</v>
      </c>
      <c r="BP21" t="s">
        <v>542</v>
      </c>
      <c r="BQ21" t="s">
        <v>573</v>
      </c>
    </row>
    <row r="22" spans="1:69">
      <c r="A22">
        <v>21</v>
      </c>
      <c r="I22" t="s">
        <v>574</v>
      </c>
      <c r="J22" t="s">
        <v>575</v>
      </c>
      <c r="K22" t="s">
        <v>576</v>
      </c>
      <c r="L22" t="s">
        <v>577</v>
      </c>
      <c r="M22" t="s">
        <v>578</v>
      </c>
      <c r="N22" t="s">
        <v>579</v>
      </c>
      <c r="O22" t="s">
        <v>580</v>
      </c>
      <c r="P22" t="s">
        <v>581</v>
      </c>
      <c r="Q22" t="s">
        <v>562</v>
      </c>
      <c r="R22" t="s">
        <v>563</v>
      </c>
      <c r="Z22" t="s">
        <v>582</v>
      </c>
      <c r="AA22" t="s">
        <v>583</v>
      </c>
      <c r="AD22" t="s">
        <v>547</v>
      </c>
      <c r="AE22" t="s">
        <v>548</v>
      </c>
      <c r="AH22" t="s">
        <v>100</v>
      </c>
      <c r="AI22" t="s">
        <v>101</v>
      </c>
      <c r="AV22" t="s">
        <v>268</v>
      </c>
      <c r="AW22" t="s">
        <v>269</v>
      </c>
      <c r="BP22" s="114" t="s">
        <v>584</v>
      </c>
      <c r="BQ22" t="s">
        <v>585</v>
      </c>
    </row>
    <row r="23" spans="1:69">
      <c r="A23">
        <v>22</v>
      </c>
      <c r="K23" t="s">
        <v>586</v>
      </c>
      <c r="L23" t="s">
        <v>587</v>
      </c>
      <c r="M23" t="s">
        <v>588</v>
      </c>
      <c r="N23" t="s">
        <v>589</v>
      </c>
      <c r="O23" t="s">
        <v>155</v>
      </c>
      <c r="P23" t="s">
        <v>156</v>
      </c>
      <c r="S23" t="s">
        <v>590</v>
      </c>
      <c r="T23" t="s">
        <v>591</v>
      </c>
      <c r="Z23" t="s">
        <v>136</v>
      </c>
      <c r="AA23" t="s">
        <v>137</v>
      </c>
      <c r="AD23" t="s">
        <v>592</v>
      </c>
      <c r="AE23" t="s">
        <v>593</v>
      </c>
      <c r="AH23" t="s">
        <v>268</v>
      </c>
      <c r="AI23" t="s">
        <v>269</v>
      </c>
      <c r="AV23" t="s">
        <v>354</v>
      </c>
      <c r="AW23" t="s">
        <v>355</v>
      </c>
      <c r="BL23" t="s">
        <v>594</v>
      </c>
      <c r="BM23" t="s">
        <v>595</v>
      </c>
      <c r="BP23" t="s">
        <v>596</v>
      </c>
      <c r="BQ23" t="s">
        <v>597</v>
      </c>
    </row>
    <row r="24" spans="1:69">
      <c r="A24">
        <v>23</v>
      </c>
      <c r="K24" t="s">
        <v>598</v>
      </c>
      <c r="L24" s="1" t="s">
        <v>599</v>
      </c>
      <c r="M24" t="s">
        <v>592</v>
      </c>
      <c r="N24" t="s">
        <v>593</v>
      </c>
      <c r="O24" t="s">
        <v>600</v>
      </c>
      <c r="P24" t="s">
        <v>601</v>
      </c>
      <c r="Q24" t="s">
        <v>602</v>
      </c>
      <c r="R24" t="s">
        <v>603</v>
      </c>
      <c r="S24" t="s">
        <v>290</v>
      </c>
      <c r="T24" t="s">
        <v>101</v>
      </c>
      <c r="Z24" t="s">
        <v>221</v>
      </c>
      <c r="AA24" t="s">
        <v>222</v>
      </c>
      <c r="AD24" t="s">
        <v>388</v>
      </c>
      <c r="AE24" t="s">
        <v>388</v>
      </c>
      <c r="AH24" t="s">
        <v>354</v>
      </c>
      <c r="AI24" t="s">
        <v>355</v>
      </c>
      <c r="AV24" t="s">
        <v>436</v>
      </c>
      <c r="AW24" t="s">
        <v>437</v>
      </c>
      <c r="BL24" t="s">
        <v>604</v>
      </c>
      <c r="BM24" t="s">
        <v>605</v>
      </c>
      <c r="BP24" t="s">
        <v>94</v>
      </c>
      <c r="BQ24" t="s">
        <v>95</v>
      </c>
    </row>
    <row r="25" spans="1:69">
      <c r="A25">
        <v>24</v>
      </c>
      <c r="K25" t="s">
        <v>606</v>
      </c>
      <c r="L25" t="s">
        <v>607</v>
      </c>
      <c r="M25" t="s">
        <v>608</v>
      </c>
      <c r="N25" t="s">
        <v>609</v>
      </c>
      <c r="O25" t="s">
        <v>610</v>
      </c>
      <c r="P25" t="s">
        <v>611</v>
      </c>
      <c r="S25" t="s">
        <v>354</v>
      </c>
      <c r="T25" t="s">
        <v>355</v>
      </c>
      <c r="Z25" t="s">
        <v>612</v>
      </c>
      <c r="AA25" t="s">
        <v>383</v>
      </c>
      <c r="AH25" t="s">
        <v>396</v>
      </c>
      <c r="AI25" t="s">
        <v>397</v>
      </c>
      <c r="AV25" t="s">
        <v>613</v>
      </c>
      <c r="AW25" t="s">
        <v>614</v>
      </c>
      <c r="BL25" t="s">
        <v>615</v>
      </c>
      <c r="BM25" t="s">
        <v>615</v>
      </c>
      <c r="BP25" t="s">
        <v>180</v>
      </c>
      <c r="BQ25" t="s">
        <v>616</v>
      </c>
    </row>
    <row r="26" spans="1:69">
      <c r="A26">
        <v>25</v>
      </c>
      <c r="K26" t="s">
        <v>617</v>
      </c>
      <c r="L26" t="s">
        <v>618</v>
      </c>
      <c r="M26" t="s">
        <v>410</v>
      </c>
      <c r="N26" t="s">
        <v>619</v>
      </c>
      <c r="O26" t="s">
        <v>620</v>
      </c>
      <c r="P26" t="s">
        <v>621</v>
      </c>
      <c r="S26" t="s">
        <v>622</v>
      </c>
      <c r="T26" t="s">
        <v>623</v>
      </c>
      <c r="Z26" t="s">
        <v>288</v>
      </c>
      <c r="AA26" t="s">
        <v>255</v>
      </c>
      <c r="AH26" t="s">
        <v>94</v>
      </c>
      <c r="AI26" t="s">
        <v>95</v>
      </c>
      <c r="BL26" t="s">
        <v>624</v>
      </c>
      <c r="BM26" t="s">
        <v>625</v>
      </c>
    </row>
    <row r="27" spans="1:69">
      <c r="A27">
        <v>26</v>
      </c>
      <c r="K27" t="s">
        <v>626</v>
      </c>
      <c r="L27" t="s">
        <v>627</v>
      </c>
      <c r="M27" t="s">
        <v>586</v>
      </c>
      <c r="N27" t="s">
        <v>589</v>
      </c>
      <c r="O27" t="s">
        <v>628</v>
      </c>
      <c r="P27" t="s">
        <v>629</v>
      </c>
      <c r="Q27" t="s">
        <v>630</v>
      </c>
      <c r="R27" t="s">
        <v>185</v>
      </c>
      <c r="Z27" t="s">
        <v>631</v>
      </c>
      <c r="AA27" t="s">
        <v>632</v>
      </c>
      <c r="AH27" t="s">
        <v>365</v>
      </c>
      <c r="AI27" t="s">
        <v>366</v>
      </c>
      <c r="AV27" t="s">
        <v>633</v>
      </c>
      <c r="AW27" t="s">
        <v>634</v>
      </c>
      <c r="BP27" t="s">
        <v>635</v>
      </c>
      <c r="BQ27" t="s">
        <v>636</v>
      </c>
    </row>
    <row r="28" spans="1:69">
      <c r="A28">
        <v>27</v>
      </c>
      <c r="K28" t="s">
        <v>637</v>
      </c>
      <c r="L28" t="s">
        <v>638</v>
      </c>
      <c r="O28" t="s">
        <v>639</v>
      </c>
      <c r="P28" t="s">
        <v>640</v>
      </c>
      <c r="Q28" t="s">
        <v>641</v>
      </c>
      <c r="R28" t="s">
        <v>642</v>
      </c>
      <c r="S28" t="s">
        <v>643</v>
      </c>
      <c r="T28" t="s">
        <v>644</v>
      </c>
      <c r="Z28" t="s">
        <v>254</v>
      </c>
      <c r="AA28" t="s">
        <v>255</v>
      </c>
      <c r="AH28" t="s">
        <v>394</v>
      </c>
      <c r="AI28" t="s">
        <v>395</v>
      </c>
      <c r="AV28" t="s">
        <v>243</v>
      </c>
      <c r="AW28" t="s">
        <v>244</v>
      </c>
      <c r="BL28" t="s">
        <v>28</v>
      </c>
      <c r="BM28" t="s">
        <v>28</v>
      </c>
      <c r="BP28" t="s">
        <v>410</v>
      </c>
      <c r="BQ28" t="s">
        <v>411</v>
      </c>
    </row>
    <row r="29" spans="1:69">
      <c r="A29">
        <v>28</v>
      </c>
      <c r="K29" t="s">
        <v>645</v>
      </c>
      <c r="L29" t="s">
        <v>646</v>
      </c>
      <c r="O29" t="s">
        <v>647</v>
      </c>
      <c r="P29" t="s">
        <v>648</v>
      </c>
      <c r="Q29" t="s">
        <v>649</v>
      </c>
      <c r="R29" t="s">
        <v>568</v>
      </c>
      <c r="S29" t="s">
        <v>622</v>
      </c>
      <c r="T29" t="s">
        <v>650</v>
      </c>
      <c r="Z29" t="s">
        <v>651</v>
      </c>
      <c r="AA29" t="s">
        <v>652</v>
      </c>
      <c r="AH29" t="s">
        <v>453</v>
      </c>
      <c r="AI29" t="s">
        <v>413</v>
      </c>
      <c r="AV29" t="s">
        <v>313</v>
      </c>
      <c r="AW29" t="s">
        <v>314</v>
      </c>
      <c r="BL29" t="s">
        <v>495</v>
      </c>
      <c r="BM29" t="s">
        <v>466</v>
      </c>
    </row>
    <row r="30" spans="1:69">
      <c r="A30">
        <v>29</v>
      </c>
      <c r="K30" t="s">
        <v>653</v>
      </c>
      <c r="L30" t="s">
        <v>654</v>
      </c>
      <c r="O30" t="s">
        <v>655</v>
      </c>
      <c r="P30" t="s">
        <v>656</v>
      </c>
      <c r="Q30" t="s">
        <v>657</v>
      </c>
      <c r="R30" t="s">
        <v>226</v>
      </c>
      <c r="S30" t="s">
        <v>658</v>
      </c>
      <c r="T30" t="s">
        <v>659</v>
      </c>
      <c r="AH30" t="s">
        <v>660</v>
      </c>
      <c r="AI30" t="s">
        <v>661</v>
      </c>
      <c r="AV30" t="s">
        <v>180</v>
      </c>
      <c r="AW30" t="s">
        <v>181</v>
      </c>
      <c r="BL30" t="s">
        <v>580</v>
      </c>
      <c r="BM30" t="s">
        <v>662</v>
      </c>
      <c r="BP30" t="s">
        <v>153</v>
      </c>
      <c r="BQ30" t="s">
        <v>154</v>
      </c>
    </row>
    <row r="31" spans="1:69">
      <c r="A31">
        <v>30</v>
      </c>
      <c r="K31" t="s">
        <v>663</v>
      </c>
      <c r="L31" t="s">
        <v>664</v>
      </c>
      <c r="O31" t="s">
        <v>64</v>
      </c>
      <c r="P31" t="s">
        <v>65</v>
      </c>
      <c r="Q31" t="s">
        <v>88</v>
      </c>
      <c r="R31" t="s">
        <v>89</v>
      </c>
      <c r="S31" t="s">
        <v>193</v>
      </c>
      <c r="T31" t="s">
        <v>193</v>
      </c>
      <c r="Z31" t="s">
        <v>665</v>
      </c>
      <c r="AA31" t="s">
        <v>666</v>
      </c>
      <c r="AV31" t="s">
        <v>290</v>
      </c>
      <c r="AW31" t="s">
        <v>291</v>
      </c>
      <c r="BL31" t="s">
        <v>667</v>
      </c>
      <c r="BM31" t="s">
        <v>668</v>
      </c>
      <c r="BP31" t="s">
        <v>608</v>
      </c>
      <c r="BQ31" t="s">
        <v>609</v>
      </c>
    </row>
    <row r="32" spans="1:69">
      <c r="A32">
        <v>31</v>
      </c>
      <c r="K32" t="s">
        <v>669</v>
      </c>
      <c r="L32" t="s">
        <v>670</v>
      </c>
      <c r="O32" t="s">
        <v>64</v>
      </c>
      <c r="P32" t="s">
        <v>65</v>
      </c>
      <c r="S32" t="s">
        <v>180</v>
      </c>
      <c r="T32" t="s">
        <v>181</v>
      </c>
      <c r="Z32" t="s">
        <v>671</v>
      </c>
      <c r="AA32" t="s">
        <v>672</v>
      </c>
      <c r="AH32" t="s">
        <v>673</v>
      </c>
      <c r="AI32" t="s">
        <v>673</v>
      </c>
      <c r="AV32" t="s">
        <v>268</v>
      </c>
      <c r="AW32" t="s">
        <v>269</v>
      </c>
    </row>
    <row r="33" spans="1:69">
      <c r="A33">
        <v>32</v>
      </c>
      <c r="K33" t="s">
        <v>674</v>
      </c>
      <c r="L33" t="s">
        <v>675</v>
      </c>
      <c r="O33" t="s">
        <v>676</v>
      </c>
      <c r="P33" t="s">
        <v>97</v>
      </c>
      <c r="Q33" t="s">
        <v>677</v>
      </c>
      <c r="R33" t="s">
        <v>678</v>
      </c>
      <c r="S33" t="s">
        <v>268</v>
      </c>
      <c r="T33" t="s">
        <v>269</v>
      </c>
      <c r="Z33" t="s">
        <v>679</v>
      </c>
      <c r="AA33" t="s">
        <v>680</v>
      </c>
      <c r="AV33" t="s">
        <v>354</v>
      </c>
      <c r="AW33" t="s">
        <v>355</v>
      </c>
      <c r="BL33" t="s">
        <v>681</v>
      </c>
      <c r="BM33" t="s">
        <v>682</v>
      </c>
      <c r="BP33" t="s">
        <v>683</v>
      </c>
      <c r="BQ33" t="s">
        <v>684</v>
      </c>
    </row>
    <row r="34" spans="1:69">
      <c r="A34">
        <v>33</v>
      </c>
      <c r="K34" t="s">
        <v>685</v>
      </c>
      <c r="L34" t="s">
        <v>686</v>
      </c>
      <c r="O34" t="s">
        <v>687</v>
      </c>
      <c r="P34" t="s">
        <v>141</v>
      </c>
      <c r="Q34" t="s">
        <v>688</v>
      </c>
      <c r="R34" t="s">
        <v>689</v>
      </c>
      <c r="S34" t="s">
        <v>622</v>
      </c>
      <c r="T34" t="s">
        <v>650</v>
      </c>
      <c r="Z34" t="s">
        <v>153</v>
      </c>
      <c r="AA34" t="s">
        <v>154</v>
      </c>
      <c r="AV34" t="s">
        <v>436</v>
      </c>
      <c r="AW34" t="s">
        <v>437</v>
      </c>
      <c r="BL34" t="s">
        <v>690</v>
      </c>
      <c r="BM34" t="s">
        <v>690</v>
      </c>
      <c r="BP34" t="s">
        <v>436</v>
      </c>
      <c r="BQ34" t="s">
        <v>482</v>
      </c>
    </row>
    <row r="35" spans="1:69">
      <c r="A35">
        <v>34</v>
      </c>
      <c r="K35" t="s">
        <v>691</v>
      </c>
      <c r="L35" t="s">
        <v>692</v>
      </c>
      <c r="O35" t="s">
        <v>182</v>
      </c>
      <c r="P35" t="s">
        <v>183</v>
      </c>
      <c r="Q35" t="s">
        <v>693</v>
      </c>
      <c r="S35" t="s">
        <v>694</v>
      </c>
      <c r="T35" t="s">
        <v>695</v>
      </c>
      <c r="Z35" t="s">
        <v>696</v>
      </c>
      <c r="AA35" t="s">
        <v>697</v>
      </c>
      <c r="AV35" t="s">
        <v>698</v>
      </c>
      <c r="AW35" t="s">
        <v>699</v>
      </c>
      <c r="BL35" t="s">
        <v>700</v>
      </c>
      <c r="BM35" t="s">
        <v>701</v>
      </c>
      <c r="BP35" t="s">
        <v>702</v>
      </c>
      <c r="BQ35" t="s">
        <v>703</v>
      </c>
    </row>
    <row r="36" spans="1:69">
      <c r="A36">
        <v>35</v>
      </c>
      <c r="K36" t="s">
        <v>704</v>
      </c>
      <c r="L36" t="s">
        <v>705</v>
      </c>
      <c r="O36" t="s">
        <v>223</v>
      </c>
      <c r="P36" t="s">
        <v>224</v>
      </c>
      <c r="Q36" t="s">
        <v>706</v>
      </c>
      <c r="Z36" t="s">
        <v>707</v>
      </c>
      <c r="AA36" t="s">
        <v>708</v>
      </c>
      <c r="BL36" t="s">
        <v>709</v>
      </c>
      <c r="BM36" t="s">
        <v>710</v>
      </c>
      <c r="BP36" t="s">
        <v>547</v>
      </c>
      <c r="BQ36" t="s">
        <v>593</v>
      </c>
    </row>
    <row r="37" spans="1:69">
      <c r="A37">
        <v>36</v>
      </c>
      <c r="K37" t="s">
        <v>711</v>
      </c>
      <c r="L37" t="s">
        <v>712</v>
      </c>
      <c r="O37" t="s">
        <v>713</v>
      </c>
      <c r="P37" t="s">
        <v>259</v>
      </c>
      <c r="Q37" t="s">
        <v>714</v>
      </c>
      <c r="Z37" t="s">
        <v>715</v>
      </c>
      <c r="AA37" t="s">
        <v>716</v>
      </c>
      <c r="AV37" t="s">
        <v>717</v>
      </c>
      <c r="AW37" t="s">
        <v>718</v>
      </c>
      <c r="BL37" t="s">
        <v>719</v>
      </c>
      <c r="BM37" t="s">
        <v>720</v>
      </c>
    </row>
    <row r="38" spans="1:69">
      <c r="A38">
        <v>37</v>
      </c>
      <c r="K38" t="s">
        <v>721</v>
      </c>
      <c r="L38" t="s">
        <v>722</v>
      </c>
      <c r="O38" t="s">
        <v>292</v>
      </c>
      <c r="P38" t="s">
        <v>293</v>
      </c>
      <c r="BL38" t="s">
        <v>723</v>
      </c>
      <c r="BM38" t="s">
        <v>723</v>
      </c>
      <c r="BP38" t="s">
        <v>586</v>
      </c>
      <c r="BQ38" t="s">
        <v>589</v>
      </c>
    </row>
    <row r="39" spans="1:69">
      <c r="A39">
        <v>38</v>
      </c>
      <c r="O39" t="s">
        <v>136</v>
      </c>
      <c r="P39" t="s">
        <v>137</v>
      </c>
      <c r="BP39" s="114" t="s">
        <v>592</v>
      </c>
      <c r="BQ39" t="s">
        <v>724</v>
      </c>
    </row>
    <row r="40" spans="1:69">
      <c r="A40">
        <v>39</v>
      </c>
      <c r="O40" t="s">
        <v>725</v>
      </c>
      <c r="P40" t="s">
        <v>726</v>
      </c>
    </row>
    <row r="41" spans="1:69">
      <c r="A41">
        <v>40</v>
      </c>
      <c r="O41" t="s">
        <v>727</v>
      </c>
      <c r="P41" t="s">
        <v>89</v>
      </c>
      <c r="BP41" t="s">
        <v>728</v>
      </c>
      <c r="BQ41" t="s">
        <v>729</v>
      </c>
    </row>
    <row r="42" spans="1:69">
      <c r="A42">
        <v>41</v>
      </c>
      <c r="O42" t="s">
        <v>94</v>
      </c>
      <c r="P42" t="s">
        <v>95</v>
      </c>
      <c r="BP42" t="s">
        <v>62</v>
      </c>
      <c r="BQ42" t="s">
        <v>63</v>
      </c>
    </row>
    <row r="43" spans="1:69">
      <c r="O43" t="s">
        <v>138</v>
      </c>
      <c r="P43" t="s">
        <v>139</v>
      </c>
      <c r="BP43" t="s">
        <v>730</v>
      </c>
      <c r="BQ43" t="s">
        <v>731</v>
      </c>
    </row>
    <row r="44" spans="1:69">
      <c r="O44" t="s">
        <v>180</v>
      </c>
      <c r="P44" t="s">
        <v>181</v>
      </c>
      <c r="BP44" t="s">
        <v>445</v>
      </c>
      <c r="BQ44" t="s">
        <v>446</v>
      </c>
    </row>
    <row r="45" spans="1:69">
      <c r="O45" t="s">
        <v>323</v>
      </c>
      <c r="P45" t="s">
        <v>732</v>
      </c>
      <c r="BP45" t="s">
        <v>463</v>
      </c>
      <c r="BQ45" t="s">
        <v>464</v>
      </c>
    </row>
    <row r="47" spans="1:69">
      <c r="BP47" t="s">
        <v>711</v>
      </c>
      <c r="BQ47" t="s">
        <v>712</v>
      </c>
    </row>
    <row r="48" spans="1:69">
      <c r="BP48" t="s">
        <v>325</v>
      </c>
      <c r="BQ48" t="s">
        <v>326</v>
      </c>
    </row>
    <row r="49" spans="15:69">
      <c r="BP49" t="s">
        <v>626</v>
      </c>
      <c r="BQ49" t="s">
        <v>627</v>
      </c>
    </row>
    <row r="50" spans="15:69">
      <c r="O50" t="s">
        <v>94</v>
      </c>
      <c r="P50" t="s">
        <v>95</v>
      </c>
      <c r="BP50" t="s">
        <v>645</v>
      </c>
      <c r="BQ50" t="s">
        <v>646</v>
      </c>
    </row>
    <row r="51" spans="15:69">
      <c r="O51" t="s">
        <v>630</v>
      </c>
      <c r="P51" t="s">
        <v>185</v>
      </c>
      <c r="BP51" t="s">
        <v>637</v>
      </c>
      <c r="BQ51" t="s">
        <v>733</v>
      </c>
    </row>
    <row r="52" spans="15:69">
      <c r="O52" t="s">
        <v>641</v>
      </c>
      <c r="P52" t="s">
        <v>642</v>
      </c>
    </row>
    <row r="53" spans="15:69">
      <c r="O53" t="s">
        <v>734</v>
      </c>
      <c r="P53" t="s">
        <v>568</v>
      </c>
      <c r="BP53" t="s">
        <v>81</v>
      </c>
      <c r="BQ53" t="s">
        <v>735</v>
      </c>
    </row>
    <row r="54" spans="15:69">
      <c r="O54" t="s">
        <v>736</v>
      </c>
      <c r="P54" t="s">
        <v>226</v>
      </c>
    </row>
    <row r="55" spans="15:69">
      <c r="O55" t="s">
        <v>727</v>
      </c>
      <c r="P55" t="s">
        <v>89</v>
      </c>
      <c r="BP55" t="s">
        <v>737</v>
      </c>
      <c r="BQ55" t="s">
        <v>737</v>
      </c>
    </row>
    <row r="56" spans="15:69">
      <c r="O56" t="s">
        <v>138</v>
      </c>
      <c r="P56" t="s">
        <v>139</v>
      </c>
      <c r="BP56" t="s">
        <v>738</v>
      </c>
      <c r="BQ56" t="s">
        <v>739</v>
      </c>
    </row>
    <row r="57" spans="15:69">
      <c r="O57" t="s">
        <v>740</v>
      </c>
      <c r="P57" t="s">
        <v>741</v>
      </c>
      <c r="BP57" t="s">
        <v>742</v>
      </c>
      <c r="BQ57" t="s">
        <v>742</v>
      </c>
    </row>
    <row r="58" spans="15:69">
      <c r="O58" t="s">
        <v>743</v>
      </c>
      <c r="P58" t="s">
        <v>744</v>
      </c>
      <c r="BP58" t="s">
        <v>745</v>
      </c>
      <c r="BQ58" t="s">
        <v>746</v>
      </c>
    </row>
    <row r="59" spans="15:69">
      <c r="O59" t="s">
        <v>747</v>
      </c>
      <c r="P59" t="s">
        <v>748</v>
      </c>
    </row>
    <row r="60" spans="15:69">
      <c r="O60" t="s">
        <v>749</v>
      </c>
      <c r="P60" t="s">
        <v>750</v>
      </c>
      <c r="BP60" t="s">
        <v>751</v>
      </c>
      <c r="BQ60" t="s">
        <v>752</v>
      </c>
    </row>
    <row r="61" spans="15:69">
      <c r="O61" t="s">
        <v>753</v>
      </c>
      <c r="P61" t="s">
        <v>754</v>
      </c>
    </row>
    <row r="62" spans="15:69">
      <c r="O62" t="s">
        <v>755</v>
      </c>
      <c r="P62" t="s">
        <v>756</v>
      </c>
    </row>
    <row r="63" spans="15:69">
      <c r="O63" t="s">
        <v>757</v>
      </c>
      <c r="P63" t="s">
        <v>758</v>
      </c>
      <c r="BP63" t="s">
        <v>96</v>
      </c>
      <c r="BQ63" t="s">
        <v>97</v>
      </c>
    </row>
    <row r="64" spans="15:69">
      <c r="O64" t="s">
        <v>759</v>
      </c>
      <c r="P64" t="s">
        <v>760</v>
      </c>
      <c r="BP64" t="s">
        <v>761</v>
      </c>
      <c r="BQ64" t="s">
        <v>762</v>
      </c>
    </row>
    <row r="65" spans="15:16">
      <c r="O65" t="s">
        <v>763</v>
      </c>
      <c r="P65" t="s">
        <v>764</v>
      </c>
    </row>
    <row r="66" spans="15:16">
      <c r="O66" t="s">
        <v>765</v>
      </c>
      <c r="P66" t="s">
        <v>766</v>
      </c>
    </row>
    <row r="67" spans="15:16">
      <c r="O67" t="s">
        <v>767</v>
      </c>
      <c r="P67" t="s">
        <v>768</v>
      </c>
    </row>
    <row r="69" spans="15:16">
      <c r="O69" t="s">
        <v>769</v>
      </c>
      <c r="P69" t="s">
        <v>770</v>
      </c>
    </row>
    <row r="70" spans="15:16">
      <c r="O70" t="s">
        <v>769</v>
      </c>
      <c r="P70" t="s">
        <v>770</v>
      </c>
    </row>
    <row r="71" spans="15:16">
      <c r="O71" t="s">
        <v>771</v>
      </c>
      <c r="P71" t="s">
        <v>772</v>
      </c>
    </row>
    <row r="72" spans="15:16">
      <c r="O72" t="s">
        <v>140</v>
      </c>
      <c r="P72" t="s">
        <v>141</v>
      </c>
    </row>
    <row r="73" spans="15:16">
      <c r="O73" t="s">
        <v>773</v>
      </c>
      <c r="P73" t="s">
        <v>774</v>
      </c>
    </row>
    <row r="74" spans="15:16">
      <c r="O74" t="s">
        <v>775</v>
      </c>
      <c r="P74" t="s">
        <v>776</v>
      </c>
    </row>
    <row r="75" spans="15:16">
      <c r="O75" t="s">
        <v>182</v>
      </c>
      <c r="P75" t="s">
        <v>183</v>
      </c>
    </row>
    <row r="76" spans="15:16">
      <c r="O76" t="s">
        <v>777</v>
      </c>
      <c r="P76" t="s">
        <v>778</v>
      </c>
    </row>
    <row r="77" spans="15:16">
      <c r="O77" t="s">
        <v>223</v>
      </c>
      <c r="P77" t="s">
        <v>224</v>
      </c>
    </row>
    <row r="78" spans="15:16">
      <c r="O78" t="s">
        <v>713</v>
      </c>
      <c r="P78" t="s">
        <v>259</v>
      </c>
    </row>
    <row r="79" spans="15:16">
      <c r="O79" t="s">
        <v>292</v>
      </c>
      <c r="P79" t="s">
        <v>293</v>
      </c>
    </row>
    <row r="80" spans="15:16">
      <c r="O80" t="s">
        <v>323</v>
      </c>
      <c r="P80" t="s">
        <v>324</v>
      </c>
    </row>
    <row r="82" spans="15:16">
      <c r="O82" t="s">
        <v>779</v>
      </c>
      <c r="P82" t="s">
        <v>780</v>
      </c>
    </row>
    <row r="83" spans="15:16">
      <c r="O83" t="s">
        <v>781</v>
      </c>
      <c r="P83" t="s">
        <v>782</v>
      </c>
    </row>
    <row r="84" spans="15:16">
      <c r="O84" t="s">
        <v>783</v>
      </c>
      <c r="P84" t="s">
        <v>784</v>
      </c>
    </row>
    <row r="85" spans="15:16">
      <c r="O85" t="s">
        <v>785</v>
      </c>
      <c r="P85" t="s">
        <v>786</v>
      </c>
    </row>
    <row r="86" spans="15:16">
      <c r="O86" t="s">
        <v>787</v>
      </c>
      <c r="P86" t="s">
        <v>788</v>
      </c>
    </row>
    <row r="87" spans="15:16">
      <c r="O87" t="s">
        <v>789</v>
      </c>
      <c r="P87" t="s">
        <v>790</v>
      </c>
    </row>
    <row r="88" spans="15:16">
      <c r="O88" t="s">
        <v>791</v>
      </c>
      <c r="P88" t="s">
        <v>792</v>
      </c>
    </row>
    <row r="89" spans="15:16">
      <c r="O89" t="s">
        <v>793</v>
      </c>
      <c r="P89" t="s">
        <v>794</v>
      </c>
    </row>
    <row r="91" spans="15:16">
      <c r="O91" t="s">
        <v>795</v>
      </c>
      <c r="P91" t="s">
        <v>796</v>
      </c>
    </row>
    <row r="92" spans="15:16">
      <c r="O92" t="s">
        <v>140</v>
      </c>
      <c r="P92" t="s">
        <v>141</v>
      </c>
    </row>
    <row r="93" spans="15:16">
      <c r="O93" t="s">
        <v>182</v>
      </c>
      <c r="P93" t="s">
        <v>183</v>
      </c>
    </row>
    <row r="94" spans="15:16">
      <c r="O94" t="s">
        <v>223</v>
      </c>
      <c r="P94" t="s">
        <v>224</v>
      </c>
    </row>
    <row r="95" spans="15:16">
      <c r="O95" t="s">
        <v>797</v>
      </c>
      <c r="P95" t="s">
        <v>798</v>
      </c>
    </row>
    <row r="96" spans="15:16">
      <c r="O96" t="s">
        <v>258</v>
      </c>
      <c r="P96" t="s">
        <v>259</v>
      </c>
    </row>
    <row r="97" spans="15:16">
      <c r="O97" t="s">
        <v>799</v>
      </c>
      <c r="P97" t="s">
        <v>800</v>
      </c>
    </row>
    <row r="98" spans="15:16">
      <c r="O98" t="s">
        <v>292</v>
      </c>
      <c r="P98" t="s">
        <v>293</v>
      </c>
    </row>
    <row r="99" spans="15:16">
      <c r="O99" t="s">
        <v>323</v>
      </c>
      <c r="P99" t="s">
        <v>324</v>
      </c>
    </row>
    <row r="101" spans="15:16">
      <c r="O101" t="s">
        <v>801</v>
      </c>
      <c r="P101" t="s">
        <v>802</v>
      </c>
    </row>
    <row r="102" spans="15:16">
      <c r="O102" t="s">
        <v>803</v>
      </c>
      <c r="P102" t="s">
        <v>804</v>
      </c>
    </row>
    <row r="103" spans="15:16">
      <c r="O103" t="s">
        <v>805</v>
      </c>
      <c r="P103" t="s">
        <v>806</v>
      </c>
    </row>
    <row r="105" spans="15:16">
      <c r="O105" t="s">
        <v>807</v>
      </c>
      <c r="P105" t="s">
        <v>668</v>
      </c>
    </row>
    <row r="106" spans="15:16">
      <c r="O106" t="s">
        <v>808</v>
      </c>
      <c r="P106" t="s">
        <v>809</v>
      </c>
    </row>
    <row r="107" spans="15:16">
      <c r="O107" t="s">
        <v>810</v>
      </c>
      <c r="P107" t="s">
        <v>811</v>
      </c>
    </row>
    <row r="108" spans="15:16">
      <c r="O108" t="s">
        <v>812</v>
      </c>
      <c r="P108" t="s">
        <v>813</v>
      </c>
    </row>
  </sheetData>
  <sheetProtection selectLockedCells="1" selectUnlockedCells="1"/>
  <hyperlinks>
    <hyperlink ref="AR1" location="Summary!A1" display="Back to summary" xr:uid="{01D50603-9891-594D-ACF6-3472A9D2145C}"/>
  </hyperlink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58D7F-C60A-0B4C-967F-49226D28353A}">
  <sheetPr>
    <tabColor theme="5" tint="0.59999389629810485"/>
  </sheetPr>
  <dimension ref="A1:W33"/>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306" customWidth="1"/>
    <col min="2" max="2" width="68.33203125" style="190" customWidth="1"/>
    <col min="3" max="19" width="10.83203125" style="307" customWidth="1"/>
    <col min="20" max="20" width="10.83203125" style="306" customWidth="1"/>
    <col min="21" max="16384" width="10.83203125" style="306"/>
  </cols>
  <sheetData>
    <row r="1" spans="1:23" ht="13" customHeight="1">
      <c r="T1" s="307"/>
    </row>
    <row r="2" spans="1:23" s="12" customFormat="1" ht="13" customHeight="1">
      <c r="B2" s="400" t="str">
        <f>IF('Summary | Sumário'!D$3=Names!B$3,Names!X1,Names!Y1)</f>
        <v>Tier I Ratio (BACEN GAAP,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28">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13"/>
      <c r="V2" s="14"/>
      <c r="W2" s="15"/>
    </row>
    <row r="3" spans="1:23" ht="13" customHeight="1">
      <c r="B3" s="191"/>
      <c r="C3" s="308"/>
      <c r="D3" s="308"/>
      <c r="E3" s="308"/>
      <c r="F3" s="308"/>
      <c r="G3" s="308"/>
      <c r="H3" s="308"/>
      <c r="I3" s="308"/>
      <c r="J3" s="308"/>
      <c r="K3" s="308"/>
      <c r="L3" s="308"/>
      <c r="M3" s="308"/>
      <c r="N3" s="308"/>
      <c r="O3" s="308"/>
      <c r="P3" s="308"/>
      <c r="Q3" s="308"/>
      <c r="R3" s="308"/>
      <c r="S3" s="308"/>
      <c r="T3" s="309"/>
    </row>
    <row r="4" spans="1:23" s="311" customFormat="1" ht="13" customHeight="1">
      <c r="A4" s="310"/>
      <c r="B4" s="5" t="str">
        <f>IF('Summary | Sumário'!D$3=Names!B$3,Names!X3,Names!Y3)</f>
        <v>Tier 1 ratio</v>
      </c>
      <c r="C4" s="291"/>
      <c r="D4" s="291"/>
      <c r="E4" s="291"/>
      <c r="F4" s="291"/>
      <c r="G4" s="291"/>
      <c r="H4" s="291"/>
      <c r="I4" s="291"/>
      <c r="J4" s="291"/>
      <c r="K4" s="291"/>
      <c r="L4" s="291"/>
      <c r="M4" s="291"/>
      <c r="N4" s="291"/>
      <c r="O4" s="291"/>
      <c r="P4" s="291"/>
      <c r="Q4" s="291"/>
      <c r="R4" s="291"/>
      <c r="S4" s="291"/>
    </row>
    <row r="5" spans="1:23" ht="13" customHeight="1">
      <c r="B5" s="438" t="str">
        <f>IF('Summary | Sumário'!D$3=Names!B$3,Names!X4,Names!Y4)</f>
        <v>Referential equity (RE)</v>
      </c>
      <c r="C5" s="439">
        <v>2123127</v>
      </c>
      <c r="D5" s="439">
        <v>3077952</v>
      </c>
      <c r="E5" s="439">
        <f>K5</f>
        <v>7955237.9140799996</v>
      </c>
      <c r="F5" s="439">
        <f>O5</f>
        <v>5913329</v>
      </c>
      <c r="G5" s="439">
        <f>S5</f>
        <v>6138173.4993100008</v>
      </c>
      <c r="H5" s="439">
        <v>2815602.88809</v>
      </c>
      <c r="I5" s="439">
        <v>2682250.3591399998</v>
      </c>
      <c r="J5" s="439">
        <v>7955022.5986299999</v>
      </c>
      <c r="K5" s="439">
        <v>7955237.9140799996</v>
      </c>
      <c r="L5" s="439">
        <v>7042015</v>
      </c>
      <c r="M5" s="439">
        <v>7080872</v>
      </c>
      <c r="N5" s="439">
        <v>7162093</v>
      </c>
      <c r="O5" s="439">
        <v>5913329</v>
      </c>
      <c r="P5" s="439">
        <v>5829384</v>
      </c>
      <c r="Q5" s="439">
        <v>5959738</v>
      </c>
      <c r="R5" s="439">
        <v>5964109</v>
      </c>
      <c r="S5" s="439">
        <v>6138173.4993100008</v>
      </c>
    </row>
    <row r="6" spans="1:23" ht="13" customHeight="1">
      <c r="B6" s="82" t="str">
        <f>IF('Summary | Sumário'!D$3=Names!B$3,Names!X5,Names!Y5)</f>
        <v>Tier I referential equity</v>
      </c>
      <c r="C6" s="287">
        <v>2123127</v>
      </c>
      <c r="D6" s="287">
        <v>3077952</v>
      </c>
      <c r="E6" s="287">
        <f t="shared" ref="E6:E21" si="0">K6</f>
        <v>7955237.9140799996</v>
      </c>
      <c r="F6" s="287">
        <f t="shared" ref="F6:F7" si="1">O6</f>
        <v>5913329</v>
      </c>
      <c r="G6" s="287">
        <f t="shared" ref="G6:G11" si="2">S6</f>
        <v>6138173.4993100008</v>
      </c>
      <c r="H6" s="287">
        <v>2815602.88809</v>
      </c>
      <c r="I6" s="287">
        <v>2682250.3591399998</v>
      </c>
      <c r="J6" s="287">
        <v>7955022.5986299999</v>
      </c>
      <c r="K6" s="287">
        <v>7955237.9140799996</v>
      </c>
      <c r="L6" s="287">
        <v>7042015</v>
      </c>
      <c r="M6" s="287">
        <v>7080872</v>
      </c>
      <c r="N6" s="287">
        <v>7162093</v>
      </c>
      <c r="O6" s="287">
        <v>5913329</v>
      </c>
      <c r="P6" s="287">
        <v>5829384</v>
      </c>
      <c r="Q6" s="287">
        <v>5959738</v>
      </c>
      <c r="R6" s="287">
        <v>5964109</v>
      </c>
      <c r="S6" s="287">
        <v>6138173.4993100008</v>
      </c>
    </row>
    <row r="7" spans="1:23" ht="13" customHeight="1">
      <c r="B7" s="84" t="str">
        <f>IF('Summary | Sumário'!D$3=Names!B$3,Names!X6,Names!Y6)</f>
        <v>Core capital (CC)</v>
      </c>
      <c r="C7" s="282">
        <v>2123127</v>
      </c>
      <c r="D7" s="282">
        <v>3077952</v>
      </c>
      <c r="E7" s="282">
        <f t="shared" si="0"/>
        <v>7955237.9140799996</v>
      </c>
      <c r="F7" s="282">
        <f t="shared" si="1"/>
        <v>5913329</v>
      </c>
      <c r="G7" s="282">
        <f t="shared" si="2"/>
        <v>6138173.4993100008</v>
      </c>
      <c r="H7" s="282">
        <v>2815602.88809</v>
      </c>
      <c r="I7" s="282">
        <v>2682250.3591399998</v>
      </c>
      <c r="J7" s="282">
        <v>7955022.5986299999</v>
      </c>
      <c r="K7" s="282">
        <v>7955237.9140799996</v>
      </c>
      <c r="L7" s="282">
        <v>7042015</v>
      </c>
      <c r="M7" s="282">
        <v>7080872</v>
      </c>
      <c r="N7" s="282">
        <v>7162093</v>
      </c>
      <c r="O7" s="282">
        <v>5913329</v>
      </c>
      <c r="P7" s="282">
        <v>5829384</v>
      </c>
      <c r="Q7" s="282">
        <v>5959738</v>
      </c>
      <c r="R7" s="282">
        <v>5964109</v>
      </c>
      <c r="S7" s="282">
        <v>6138173.4993100008</v>
      </c>
    </row>
    <row r="8" spans="1:23" ht="13" customHeight="1">
      <c r="B8" s="82" t="str">
        <f>IF('Summary | Sumário'!D$3=Names!B$3,Names!X7,Names!Y7)</f>
        <v>Risk weighted assets - RWA</v>
      </c>
      <c r="C8" s="287">
        <v>5388262</v>
      </c>
      <c r="D8" s="287">
        <v>9643109</v>
      </c>
      <c r="E8" s="287">
        <f t="shared" si="0"/>
        <v>17953262.630789999</v>
      </c>
      <c r="F8" s="287">
        <v>24950460</v>
      </c>
      <c r="G8" s="287">
        <f t="shared" si="2"/>
        <v>26745734.312450003</v>
      </c>
      <c r="H8" s="287">
        <v>11661845.75979</v>
      </c>
      <c r="I8" s="287">
        <v>13664902.02272</v>
      </c>
      <c r="J8" s="287">
        <v>15993381.634679999</v>
      </c>
      <c r="K8" s="287">
        <v>17953262.630789999</v>
      </c>
      <c r="L8" s="287">
        <v>19739307</v>
      </c>
      <c r="M8" s="287">
        <v>21531298</v>
      </c>
      <c r="N8" s="287">
        <v>24039291</v>
      </c>
      <c r="O8" s="287">
        <v>24550461</v>
      </c>
      <c r="P8" s="287">
        <v>25344975</v>
      </c>
      <c r="Q8" s="287">
        <v>26110963</v>
      </c>
      <c r="R8" s="287">
        <v>25122491</v>
      </c>
      <c r="S8" s="287">
        <v>26745734.312450003</v>
      </c>
      <c r="T8" s="312"/>
    </row>
    <row r="9" spans="1:23" ht="13" customHeight="1">
      <c r="B9" s="90" t="str">
        <f>IF('Summary | Sumário'!D$3=Names!B$3,Names!X8,Names!Y8)</f>
        <v>RWA for credit risk by standardized approach - RWACPAD</v>
      </c>
      <c r="C9" s="282">
        <v>4102332</v>
      </c>
      <c r="D9" s="282">
        <v>8064303</v>
      </c>
      <c r="E9" s="282">
        <v>16198394</v>
      </c>
      <c r="F9" s="282">
        <v>21963629</v>
      </c>
      <c r="G9" s="282">
        <f t="shared" si="2"/>
        <v>22367940.18866</v>
      </c>
      <c r="H9" s="282">
        <v>9477754</v>
      </c>
      <c r="I9" s="282">
        <v>11657733</v>
      </c>
      <c r="J9" s="282">
        <v>14128834</v>
      </c>
      <c r="K9" s="282">
        <v>16198394</v>
      </c>
      <c r="L9" s="282">
        <v>17444892</v>
      </c>
      <c r="M9" s="282">
        <v>19128150</v>
      </c>
      <c r="N9" s="282">
        <v>20914461</v>
      </c>
      <c r="O9" s="282">
        <v>20380664</v>
      </c>
      <c r="P9" s="282">
        <v>21964715</v>
      </c>
      <c r="Q9" s="282">
        <v>22597089</v>
      </c>
      <c r="R9" s="282">
        <v>20745143</v>
      </c>
      <c r="S9" s="282">
        <v>22367940.18866</v>
      </c>
    </row>
    <row r="10" spans="1:23" ht="13" customHeight="1">
      <c r="B10" s="85" t="str">
        <f>IF('Summary | Sumário'!D$3=Names!B$3,Names!X9,Names!Y9)</f>
        <v>RWA for market risk - RWAMPAD</v>
      </c>
      <c r="C10" s="287">
        <v>565751</v>
      </c>
      <c r="D10" s="287">
        <v>476759</v>
      </c>
      <c r="E10" s="287">
        <v>323581</v>
      </c>
      <c r="F10" s="287">
        <v>480765</v>
      </c>
      <c r="G10" s="287">
        <f t="shared" si="2"/>
        <v>342159.71365999995</v>
      </c>
      <c r="H10" s="287">
        <v>1043214</v>
      </c>
      <c r="I10" s="287">
        <v>866292</v>
      </c>
      <c r="J10" s="287">
        <v>433261</v>
      </c>
      <c r="K10" s="287">
        <v>323581</v>
      </c>
      <c r="L10" s="287">
        <v>356818</v>
      </c>
      <c r="M10" s="287">
        <v>465550</v>
      </c>
      <c r="N10" s="287">
        <v>618763</v>
      </c>
      <c r="O10" s="287">
        <v>480765</v>
      </c>
      <c r="P10" s="287">
        <v>216277</v>
      </c>
      <c r="Q10" s="287">
        <v>349892</v>
      </c>
      <c r="R10" s="287">
        <v>341714</v>
      </c>
      <c r="S10" s="287">
        <v>342159.71365999995</v>
      </c>
    </row>
    <row r="11" spans="1:23" ht="13" customHeight="1">
      <c r="B11" s="90" t="str">
        <f>IF('Summary | Sumário'!D$3=Names!B$3,Names!X10,Names!Y10)</f>
        <v>RWA for operating risk by standard approach - RWAOPAD</v>
      </c>
      <c r="C11" s="282">
        <v>720179</v>
      </c>
      <c r="D11" s="282">
        <v>1102047</v>
      </c>
      <c r="E11" s="282">
        <v>1431287</v>
      </c>
      <c r="F11" s="282">
        <v>2506066</v>
      </c>
      <c r="G11" s="282">
        <f t="shared" si="2"/>
        <v>4035634.4101300002</v>
      </c>
      <c r="H11" s="282">
        <v>1140877</v>
      </c>
      <c r="I11" s="282">
        <v>1140877</v>
      </c>
      <c r="J11" s="282">
        <v>1431287</v>
      </c>
      <c r="K11" s="282">
        <v>1431287</v>
      </c>
      <c r="L11" s="282">
        <v>1937597</v>
      </c>
      <c r="M11" s="282">
        <v>1937597</v>
      </c>
      <c r="N11" s="282">
        <v>2506066</v>
      </c>
      <c r="O11" s="282">
        <v>2506066</v>
      </c>
      <c r="P11" s="282">
        <v>3163982</v>
      </c>
      <c r="Q11" s="282">
        <v>3163982</v>
      </c>
      <c r="R11" s="282">
        <v>4035634</v>
      </c>
      <c r="S11" s="282">
        <v>4035634.4101300002</v>
      </c>
    </row>
    <row r="12" spans="1:23" ht="13" customHeight="1">
      <c r="B12" s="82" t="str">
        <f>IF('Summary | Sumário'!D$3=Names!B$3,Names!X11,Names!Y11)</f>
        <v>Capital requirement</v>
      </c>
      <c r="C12" s="287"/>
      <c r="D12" s="287"/>
      <c r="E12" s="287"/>
      <c r="F12" s="287"/>
      <c r="G12" s="287"/>
      <c r="H12" s="287"/>
      <c r="I12" s="287"/>
      <c r="J12" s="287"/>
      <c r="K12" s="287"/>
      <c r="L12" s="287"/>
      <c r="M12" s="287"/>
      <c r="N12" s="287"/>
      <c r="O12" s="287"/>
      <c r="P12" s="287"/>
      <c r="Q12" s="287"/>
      <c r="R12" s="287"/>
      <c r="S12" s="287"/>
    </row>
    <row r="13" spans="1:23" ht="13" customHeight="1">
      <c r="B13" s="90" t="str">
        <f>IF('Summary | Sumário'!D$3=Names!B$3,Names!X12,Names!Y12)</f>
        <v>Minimum principal capital required for RWA</v>
      </c>
      <c r="C13" s="282">
        <v>242472</v>
      </c>
      <c r="D13" s="282">
        <v>433940</v>
      </c>
      <c r="E13" s="282">
        <v>807897</v>
      </c>
      <c r="F13" s="282">
        <v>1104771</v>
      </c>
      <c r="G13" s="282">
        <f t="shared" ref="G13:G15" si="3">S13</f>
        <v>1203558.04406025</v>
      </c>
      <c r="H13" s="282">
        <v>524783</v>
      </c>
      <c r="I13" s="282">
        <v>614921</v>
      </c>
      <c r="J13" s="282">
        <v>719702</v>
      </c>
      <c r="K13" s="282">
        <v>807897</v>
      </c>
      <c r="L13" s="282">
        <v>888269</v>
      </c>
      <c r="M13" s="282">
        <v>968908</v>
      </c>
      <c r="N13" s="282">
        <v>1081768</v>
      </c>
      <c r="O13" s="282">
        <v>1104771</v>
      </c>
      <c r="P13" s="282">
        <v>1140524</v>
      </c>
      <c r="Q13" s="282">
        <v>1174993</v>
      </c>
      <c r="R13" s="282">
        <v>1130512</v>
      </c>
      <c r="S13" s="282">
        <v>1203558.04406025</v>
      </c>
    </row>
    <row r="14" spans="1:23" ht="13" customHeight="1">
      <c r="B14" s="85" t="str">
        <f>IF('Summary | Sumário'!D$3=Names!B$3,Names!X13,Names!Y13)</f>
        <v>Tier I minimum reference equity required to RWA</v>
      </c>
      <c r="C14" s="287">
        <v>323296</v>
      </c>
      <c r="D14" s="287">
        <v>578587</v>
      </c>
      <c r="E14" s="287">
        <v>1077196</v>
      </c>
      <c r="F14" s="287">
        <v>1473028</v>
      </c>
      <c r="G14" s="287">
        <f t="shared" si="3"/>
        <v>1604744.0587470001</v>
      </c>
      <c r="H14" s="287">
        <v>699711</v>
      </c>
      <c r="I14" s="287">
        <v>819894</v>
      </c>
      <c r="J14" s="287">
        <v>959603</v>
      </c>
      <c r="K14" s="287">
        <v>1077196</v>
      </c>
      <c r="L14" s="287">
        <v>1184358</v>
      </c>
      <c r="M14" s="287">
        <v>1291878</v>
      </c>
      <c r="N14" s="287">
        <v>1442357</v>
      </c>
      <c r="O14" s="287">
        <v>1473028</v>
      </c>
      <c r="P14" s="287">
        <v>1520699</v>
      </c>
      <c r="Q14" s="287">
        <v>1566658</v>
      </c>
      <c r="R14" s="287">
        <v>1507349</v>
      </c>
      <c r="S14" s="287">
        <v>1604744.0587470001</v>
      </c>
    </row>
    <row r="15" spans="1:23" ht="13" customHeight="1">
      <c r="B15" s="90" t="str">
        <f>IF('Summary | Sumário'!D$3=Names!B$3,Names!X14,Names!Y14)</f>
        <v>Minimum Reference Equity required to RWA</v>
      </c>
      <c r="C15" s="282">
        <v>431061</v>
      </c>
      <c r="D15" s="282">
        <v>771449</v>
      </c>
      <c r="E15" s="282">
        <v>1435261</v>
      </c>
      <c r="F15" s="282">
        <v>1964037</v>
      </c>
      <c r="G15" s="282">
        <f t="shared" si="3"/>
        <v>2139658.7449960001</v>
      </c>
      <c r="H15" s="282">
        <v>932948</v>
      </c>
      <c r="I15" s="282">
        <v>1093192</v>
      </c>
      <c r="J15" s="282">
        <v>1279471</v>
      </c>
      <c r="K15" s="282">
        <v>1436261</v>
      </c>
      <c r="L15" s="282">
        <v>1579145</v>
      </c>
      <c r="M15" s="282">
        <v>1722504</v>
      </c>
      <c r="N15" s="282">
        <v>1923143</v>
      </c>
      <c r="O15" s="282">
        <v>1964037</v>
      </c>
      <c r="P15" s="282">
        <v>2027598</v>
      </c>
      <c r="Q15" s="282">
        <v>2088877</v>
      </c>
      <c r="R15" s="282">
        <v>2009799</v>
      </c>
      <c r="S15" s="282">
        <v>2139658.7449960001</v>
      </c>
    </row>
    <row r="16" spans="1:23" ht="13" customHeight="1">
      <c r="B16" s="82" t="str">
        <f>IF('Summary | Sumário'!D$3=Names!B$3,Names!X15,Names!Y15)</f>
        <v>Margin on capital requirements</v>
      </c>
      <c r="C16" s="287"/>
      <c r="D16" s="287"/>
      <c r="E16" s="287"/>
      <c r="F16" s="287"/>
      <c r="G16" s="287"/>
      <c r="H16" s="287"/>
      <c r="I16" s="287"/>
      <c r="J16" s="287"/>
      <c r="K16" s="287"/>
      <c r="L16" s="287"/>
      <c r="M16" s="287"/>
      <c r="N16" s="287"/>
      <c r="O16" s="287"/>
      <c r="P16" s="287"/>
      <c r="Q16" s="287"/>
      <c r="R16" s="287"/>
      <c r="S16" s="287"/>
    </row>
    <row r="17" spans="2:19" ht="13" customHeight="1">
      <c r="B17" s="117" t="str">
        <f>IF('Summary | Sumário'!D$3=Names!B$3,Names!X16,Names!Y16)</f>
        <v>Margin on required principal capital</v>
      </c>
      <c r="C17" s="282">
        <v>1880665</v>
      </c>
      <c r="D17" s="282">
        <v>2644013</v>
      </c>
      <c r="E17" s="282">
        <v>7147341</v>
      </c>
      <c r="F17" s="282">
        <v>4808558</v>
      </c>
      <c r="G17" s="282">
        <f t="shared" ref="G17:G21" si="4">S17</f>
        <v>4934615.455249751</v>
      </c>
      <c r="H17" s="313">
        <v>2290820</v>
      </c>
      <c r="I17" s="313">
        <v>2067330</v>
      </c>
      <c r="J17" s="313">
        <v>7235320</v>
      </c>
      <c r="K17" s="313" t="s">
        <v>831</v>
      </c>
      <c r="L17" s="282">
        <v>6153746</v>
      </c>
      <c r="M17" s="282">
        <v>6111964</v>
      </c>
      <c r="N17" s="282">
        <v>6080324</v>
      </c>
      <c r="O17" s="282">
        <v>4808558</v>
      </c>
      <c r="P17" s="282">
        <v>4688860</v>
      </c>
      <c r="Q17" s="282">
        <v>4784744</v>
      </c>
      <c r="R17" s="282">
        <v>4833597</v>
      </c>
      <c r="S17" s="282">
        <v>4934615.455249751</v>
      </c>
    </row>
    <row r="18" spans="2:19" ht="13" customHeight="1">
      <c r="B18" s="86" t="str">
        <f>IF('Summary | Sumário'!D$3=Names!B$3,Names!X17,Names!Y17)</f>
        <v>Margin on the tier I required reference equity</v>
      </c>
      <c r="C18" s="287">
        <v>1799831</v>
      </c>
      <c r="D18" s="287">
        <v>2499366</v>
      </c>
      <c r="E18" s="287">
        <v>6878042</v>
      </c>
      <c r="F18" s="287">
        <v>4440301</v>
      </c>
      <c r="G18" s="287">
        <f t="shared" si="4"/>
        <v>4533429.4405630007</v>
      </c>
      <c r="H18" s="314">
        <v>2115982</v>
      </c>
      <c r="I18" s="314">
        <v>1862356</v>
      </c>
      <c r="J18" s="314">
        <v>6995420</v>
      </c>
      <c r="K18" s="314">
        <v>6878042</v>
      </c>
      <c r="L18" s="287">
        <v>5857656</v>
      </c>
      <c r="M18" s="287">
        <v>5788994</v>
      </c>
      <c r="N18" s="287">
        <v>5719735</v>
      </c>
      <c r="O18" s="287">
        <v>4440301</v>
      </c>
      <c r="P18" s="287">
        <v>4308685</v>
      </c>
      <c r="Q18" s="287">
        <v>4393080</v>
      </c>
      <c r="R18" s="287">
        <v>4456759</v>
      </c>
      <c r="S18" s="287">
        <v>4533429.4405630007</v>
      </c>
    </row>
    <row r="19" spans="2:19" ht="13" customHeight="1">
      <c r="B19" s="84" t="str">
        <f>IF('Summary | Sumário'!D$3=Names!B$3,Names!X18,Names!Y18)</f>
        <v>Core capital ratio (CC/RWA)</v>
      </c>
      <c r="C19" s="315">
        <v>0.39400000000000002</v>
      </c>
      <c r="D19" s="315">
        <v>0.31900000000000001</v>
      </c>
      <c r="E19" s="315">
        <f t="shared" si="0"/>
        <v>0.44310820142722684</v>
      </c>
      <c r="F19" s="315">
        <f>O19</f>
        <v>0.24099999999999999</v>
      </c>
      <c r="G19" s="315">
        <f t="shared" si="4"/>
        <v>0.229501027251763</v>
      </c>
      <c r="H19" s="315">
        <v>0.24143715721212744</v>
      </c>
      <c r="I19" s="315">
        <v>0.19628756610770765</v>
      </c>
      <c r="J19" s="315">
        <v>0.4973946586368172</v>
      </c>
      <c r="K19" s="315">
        <v>0.44310820142722684</v>
      </c>
      <c r="L19" s="315">
        <v>0.35699999999999998</v>
      </c>
      <c r="M19" s="315">
        <v>0.32900000000000001</v>
      </c>
      <c r="N19" s="315">
        <v>0.29799999999999999</v>
      </c>
      <c r="O19" s="315">
        <v>0.24099999999999999</v>
      </c>
      <c r="P19" s="315">
        <v>0.23</v>
      </c>
      <c r="Q19" s="315">
        <v>0.22800000000000001</v>
      </c>
      <c r="R19" s="315">
        <v>0.2374</v>
      </c>
      <c r="S19" s="315">
        <v>0.229501027251763</v>
      </c>
    </row>
    <row r="20" spans="2:19" ht="13" customHeight="1">
      <c r="B20" s="82" t="str">
        <f>IF('Summary | Sumário'!D$3=Names!B$3,Names!X19,Names!Y19)</f>
        <v>Tier I capital ratio (tier I /RWA)</v>
      </c>
      <c r="C20" s="316">
        <v>0.39400000000000002</v>
      </c>
      <c r="D20" s="316">
        <v>0.31900000000000001</v>
      </c>
      <c r="E20" s="316">
        <f t="shared" si="0"/>
        <v>0.44310820142722684</v>
      </c>
      <c r="F20" s="316">
        <f t="shared" ref="F20:F21" si="5">O20</f>
        <v>0.24099999999999999</v>
      </c>
      <c r="G20" s="316">
        <f t="shared" si="4"/>
        <v>0.229501027251763</v>
      </c>
      <c r="H20" s="316">
        <v>0.24143715721212744</v>
      </c>
      <c r="I20" s="316">
        <v>0.19628756610770765</v>
      </c>
      <c r="J20" s="316">
        <v>0.4973946586368172</v>
      </c>
      <c r="K20" s="316">
        <v>0.44310820142722684</v>
      </c>
      <c r="L20" s="316">
        <v>0.35699999999999998</v>
      </c>
      <c r="M20" s="316">
        <v>0.32900000000000001</v>
      </c>
      <c r="N20" s="316">
        <v>0.29799999999999999</v>
      </c>
      <c r="O20" s="316">
        <v>0.24099999999999999</v>
      </c>
      <c r="P20" s="316">
        <v>0.23</v>
      </c>
      <c r="Q20" s="316">
        <v>0.22800000000000001</v>
      </c>
      <c r="R20" s="316">
        <v>0.2374</v>
      </c>
      <c r="S20" s="316">
        <v>0.229501027251763</v>
      </c>
    </row>
    <row r="21" spans="2:19" ht="13" customHeight="1">
      <c r="B21" s="84" t="str">
        <f>IF('Summary | Sumário'!D$3=Names!B$3,Names!X20,Names!Y20)</f>
        <v>Basel ratio (RE/RWA)</v>
      </c>
      <c r="C21" s="315">
        <v>0.39400000000000002</v>
      </c>
      <c r="D21" s="315">
        <v>0.31900000000000001</v>
      </c>
      <c r="E21" s="315">
        <f t="shared" si="0"/>
        <v>0.44310820142722684</v>
      </c>
      <c r="F21" s="315">
        <f t="shared" si="5"/>
        <v>0.24099999999999999</v>
      </c>
      <c r="G21" s="315">
        <f t="shared" si="4"/>
        <v>0.229501027251763</v>
      </c>
      <c r="H21" s="315">
        <v>0.24143715721212744</v>
      </c>
      <c r="I21" s="315">
        <v>0.19628756610770765</v>
      </c>
      <c r="J21" s="315">
        <v>0.4973946586368172</v>
      </c>
      <c r="K21" s="315">
        <v>0.44310820142722684</v>
      </c>
      <c r="L21" s="315">
        <v>0.35699999999999998</v>
      </c>
      <c r="M21" s="315">
        <v>0.32900000000000001</v>
      </c>
      <c r="N21" s="315">
        <v>0.29799999999999999</v>
      </c>
      <c r="O21" s="315">
        <v>0.24099999999999999</v>
      </c>
      <c r="P21" s="315">
        <v>0.23</v>
      </c>
      <c r="Q21" s="315">
        <v>0.22800000000000001</v>
      </c>
      <c r="R21" s="315">
        <v>0.2374</v>
      </c>
      <c r="S21" s="315">
        <v>0.229501027251763</v>
      </c>
    </row>
    <row r="22" spans="2:19" ht="13" customHeight="1">
      <c r="B22" s="192"/>
      <c r="C22" s="317"/>
      <c r="D22" s="317"/>
      <c r="E22" s="317"/>
      <c r="F22" s="317"/>
      <c r="G22" s="317"/>
      <c r="H22" s="317"/>
      <c r="I22" s="317"/>
      <c r="J22" s="317"/>
      <c r="K22" s="317"/>
      <c r="L22" s="317"/>
      <c r="M22" s="317"/>
      <c r="N22" s="317"/>
      <c r="O22" s="317"/>
      <c r="P22" s="317"/>
      <c r="Q22" s="317"/>
      <c r="R22" s="486"/>
      <c r="S22" s="317"/>
    </row>
    <row r="23" spans="2:19" ht="13" customHeight="1">
      <c r="B23" s="192"/>
      <c r="C23" s="317"/>
      <c r="D23" s="317"/>
      <c r="E23" s="317"/>
      <c r="F23" s="317"/>
      <c r="G23" s="318"/>
      <c r="H23" s="317"/>
      <c r="I23" s="317"/>
      <c r="J23" s="317"/>
      <c r="K23" s="317"/>
      <c r="L23" s="317"/>
      <c r="M23" s="317"/>
      <c r="N23" s="317"/>
      <c r="O23" s="317"/>
      <c r="P23" s="317"/>
      <c r="Q23" s="317"/>
      <c r="R23" s="317"/>
      <c r="S23" s="318"/>
    </row>
    <row r="24" spans="2:19" ht="13" customHeight="1">
      <c r="B24" s="192"/>
      <c r="C24" s="318"/>
      <c r="D24" s="318"/>
      <c r="E24" s="318"/>
      <c r="F24" s="318"/>
      <c r="G24" s="318"/>
      <c r="H24" s="318"/>
      <c r="I24" s="318"/>
      <c r="J24" s="318"/>
      <c r="K24" s="318"/>
      <c r="L24" s="318"/>
      <c r="M24" s="318"/>
      <c r="N24" s="318"/>
      <c r="O24" s="318"/>
      <c r="P24" s="318"/>
      <c r="Q24" s="318"/>
      <c r="R24" s="318"/>
      <c r="S24" s="318"/>
    </row>
    <row r="25" spans="2:19" ht="13" customHeight="1">
      <c r="B25" s="192"/>
      <c r="C25" s="318"/>
      <c r="D25" s="318"/>
      <c r="E25" s="318"/>
      <c r="F25" s="318"/>
      <c r="G25" s="318"/>
      <c r="H25" s="318"/>
      <c r="I25" s="318"/>
      <c r="J25" s="318"/>
      <c r="K25" s="318"/>
      <c r="L25" s="318"/>
      <c r="M25" s="318"/>
      <c r="N25" s="318"/>
      <c r="O25" s="318"/>
      <c r="P25" s="318"/>
      <c r="Q25" s="318"/>
      <c r="R25" s="318"/>
      <c r="S25" s="318"/>
    </row>
    <row r="26" spans="2:19" ht="13" customHeight="1">
      <c r="B26" s="192"/>
      <c r="C26" s="317"/>
      <c r="D26" s="317"/>
      <c r="E26" s="317"/>
      <c r="F26" s="317"/>
      <c r="G26" s="317"/>
      <c r="H26" s="317"/>
      <c r="I26" s="317"/>
      <c r="J26" s="317"/>
      <c r="K26" s="317"/>
      <c r="L26" s="317"/>
      <c r="M26" s="317"/>
      <c r="N26" s="317"/>
      <c r="O26" s="317"/>
      <c r="P26" s="317"/>
      <c r="Q26" s="317"/>
      <c r="R26" s="317"/>
      <c r="S26" s="317"/>
    </row>
    <row r="27" spans="2:19" ht="13" customHeight="1">
      <c r="B27" s="192"/>
      <c r="C27" s="317"/>
      <c r="D27" s="317"/>
      <c r="E27" s="317"/>
      <c r="F27" s="317"/>
      <c r="G27" s="317"/>
      <c r="H27" s="317"/>
      <c r="I27" s="317"/>
      <c r="J27" s="317"/>
      <c r="K27" s="317"/>
      <c r="L27" s="317"/>
      <c r="M27" s="317"/>
      <c r="N27" s="317"/>
      <c r="O27" s="317"/>
      <c r="P27" s="317"/>
      <c r="Q27" s="317"/>
      <c r="R27" s="317"/>
      <c r="S27" s="317"/>
    </row>
    <row r="28" spans="2:19" ht="13" customHeight="1">
      <c r="B28" s="192"/>
      <c r="C28" s="317"/>
      <c r="D28" s="317"/>
      <c r="E28" s="317"/>
      <c r="F28" s="317"/>
      <c r="G28" s="317"/>
      <c r="H28" s="317"/>
      <c r="I28" s="317"/>
      <c r="J28" s="317"/>
      <c r="K28" s="317"/>
      <c r="L28" s="317"/>
      <c r="M28" s="317"/>
      <c r="N28" s="317"/>
      <c r="O28" s="317"/>
      <c r="P28" s="317"/>
      <c r="Q28" s="317"/>
      <c r="R28" s="317"/>
      <c r="S28" s="317"/>
    </row>
    <row r="29" spans="2:19" ht="13" customHeight="1">
      <c r="B29" s="192"/>
      <c r="C29" s="317"/>
      <c r="D29" s="317"/>
      <c r="E29" s="317"/>
      <c r="F29" s="317"/>
      <c r="G29" s="317"/>
      <c r="H29" s="317"/>
      <c r="I29" s="317"/>
      <c r="J29" s="317"/>
      <c r="K29" s="317"/>
      <c r="L29" s="317"/>
      <c r="M29" s="317"/>
      <c r="N29" s="317"/>
      <c r="O29" s="317"/>
      <c r="P29" s="317"/>
      <c r="Q29" s="317"/>
      <c r="R29" s="317"/>
      <c r="S29" s="317"/>
    </row>
    <row r="30" spans="2:19" ht="13" customHeight="1">
      <c r="B30" s="192"/>
      <c r="C30" s="317"/>
      <c r="D30" s="317"/>
      <c r="E30" s="317"/>
      <c r="F30" s="317"/>
      <c r="G30" s="317"/>
      <c r="H30" s="317"/>
      <c r="I30" s="317"/>
      <c r="J30" s="317"/>
      <c r="K30" s="317"/>
      <c r="L30" s="317"/>
      <c r="M30" s="317"/>
      <c r="N30" s="317"/>
      <c r="O30" s="317"/>
      <c r="P30" s="317"/>
      <c r="Q30" s="317"/>
      <c r="R30" s="317"/>
      <c r="S30" s="317"/>
    </row>
    <row r="31" spans="2:19" ht="13" customHeight="1">
      <c r="B31" s="193"/>
      <c r="O31" s="487"/>
      <c r="R31" s="487"/>
    </row>
    <row r="32" spans="2:19" ht="13" customHeight="1">
      <c r="B32" s="194"/>
    </row>
    <row r="33" spans="15:18" ht="13" customHeight="1">
      <c r="O33" s="487"/>
      <c r="R33" s="487"/>
    </row>
  </sheetData>
  <sheetProtection algorithmName="SHA-512" hashValue="ryFm6k90iXBLN0IvLgP9x1TqXE3wyWTe0nwY4WkoZNGJPh0pmd1Pq004Jkq1/OU2c/n0+88P7c2E2KvMM1V45A==" saltValue="5AIJDVr2Iw/KVwFCxvE/fg=="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E1F96-96B0-404C-B04E-D3393ACCD1B8}">
  <sheetPr>
    <tabColor theme="5" tint="0.59999389629810485"/>
  </sheetPr>
  <dimension ref="B1:W56"/>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9" width="10.83203125" style="212" customWidth="1"/>
    <col min="20" max="16384" width="10.83203125" style="211"/>
  </cols>
  <sheetData>
    <row r="1" spans="2:23" ht="13" customHeight="1">
      <c r="T1" s="212"/>
    </row>
    <row r="2" spans="2:23" s="12" customFormat="1" ht="13" customHeight="1">
      <c r="B2" s="400" t="str">
        <f>IF('Summary | Sumário'!D$3=Names!B$3,Names!Z1,Names!AA1)</f>
        <v>NIMs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63">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13"/>
      <c r="V2" s="14"/>
      <c r="W2" s="15"/>
    </row>
    <row r="3" spans="2:23" ht="13" customHeight="1">
      <c r="B3" s="78"/>
      <c r="C3" s="254"/>
      <c r="D3" s="254"/>
      <c r="E3" s="254"/>
      <c r="F3" s="254"/>
      <c r="G3" s="254"/>
      <c r="H3" s="254"/>
      <c r="I3" s="254"/>
      <c r="J3" s="254"/>
      <c r="K3" s="254"/>
      <c r="L3" s="254"/>
      <c r="M3" s="254"/>
      <c r="N3" s="254"/>
      <c r="O3" s="254"/>
      <c r="P3" s="254"/>
      <c r="Q3" s="254"/>
      <c r="R3" s="254"/>
      <c r="S3" s="254"/>
      <c r="T3" s="223"/>
    </row>
    <row r="4" spans="2:23" ht="13" customHeight="1">
      <c r="B4" s="5" t="str">
        <f>IF('Summary | Sumário'!D$3=Names!B$3,Names!Z3,Names!AA3)</f>
        <v>NIM 1.0 - IEP + non-interest credit card receivables</v>
      </c>
      <c r="C4" s="290"/>
      <c r="D4" s="290"/>
      <c r="E4" s="290"/>
      <c r="F4" s="290"/>
      <c r="G4" s="290"/>
      <c r="H4" s="290"/>
      <c r="I4" s="290"/>
      <c r="J4" s="290"/>
      <c r="K4" s="290"/>
      <c r="L4" s="290"/>
      <c r="M4" s="290"/>
      <c r="N4" s="290"/>
      <c r="O4" s="290"/>
      <c r="P4" s="290"/>
      <c r="Q4" s="290"/>
      <c r="R4" s="290"/>
      <c r="S4" s="290"/>
    </row>
    <row r="5" spans="2:23" ht="13" customHeight="1">
      <c r="B5" s="438" t="str">
        <f>IF('Summary | Sumário'!D$3=Names!B$3,Names!Z4,Names!AA4)</f>
        <v>Annualized NII</v>
      </c>
      <c r="C5" s="439">
        <f>C6</f>
        <v>585551</v>
      </c>
      <c r="D5" s="439">
        <f>D6</f>
        <v>715962.89517999999</v>
      </c>
      <c r="E5" s="439">
        <f t="shared" ref="E5:G5" si="0">E6</f>
        <v>1589469.2459999998</v>
      </c>
      <c r="F5" s="439">
        <f t="shared" si="0"/>
        <v>2335429.0819999995</v>
      </c>
      <c r="G5" s="439">
        <f t="shared" si="0"/>
        <v>3208088</v>
      </c>
      <c r="H5" s="439">
        <f>H6*4</f>
        <v>1166323.74</v>
      </c>
      <c r="I5" s="439">
        <f t="shared" ref="I5:S5" si="1">I6*4</f>
        <v>1209183.0040000002</v>
      </c>
      <c r="J5" s="439">
        <f t="shared" si="1"/>
        <v>1789479.52</v>
      </c>
      <c r="K5" s="439">
        <f t="shared" si="1"/>
        <v>2192886.7199999997</v>
      </c>
      <c r="L5" s="439">
        <f t="shared" si="1"/>
        <v>2173642.5279999999</v>
      </c>
      <c r="M5" s="439">
        <f t="shared" si="1"/>
        <v>2244350.5480000004</v>
      </c>
      <c r="N5" s="439">
        <f t="shared" si="1"/>
        <v>2222350.9240000001</v>
      </c>
      <c r="O5" s="439">
        <f t="shared" si="1"/>
        <v>2701372.3279999997</v>
      </c>
      <c r="P5" s="439">
        <f t="shared" si="1"/>
        <v>2846247.2880000002</v>
      </c>
      <c r="Q5" s="439">
        <f t="shared" si="1"/>
        <v>3208300</v>
      </c>
      <c r="R5" s="439">
        <f t="shared" si="1"/>
        <v>3274228.3549600001</v>
      </c>
      <c r="S5" s="439">
        <f t="shared" si="1"/>
        <v>3503580.3370399997</v>
      </c>
    </row>
    <row r="6" spans="2:23" ht="13" customHeight="1">
      <c r="B6" s="86" t="str">
        <f>IF('Summary | Sumário'!D$3=Names!B$3,Names!Z5,Names!AA5)</f>
        <v>NII</v>
      </c>
      <c r="C6" s="287">
        <f t="shared" ref="C6:S6" si="2">SUM(C7:C7)</f>
        <v>585551</v>
      </c>
      <c r="D6" s="287">
        <f t="shared" si="2"/>
        <v>715962.89517999999</v>
      </c>
      <c r="E6" s="287">
        <f t="shared" si="2"/>
        <v>1589469.2459999998</v>
      </c>
      <c r="F6" s="287">
        <f t="shared" si="2"/>
        <v>2335429.0819999995</v>
      </c>
      <c r="G6" s="287">
        <f t="shared" si="2"/>
        <v>3208088</v>
      </c>
      <c r="H6" s="287">
        <f t="shared" si="2"/>
        <v>291580.935</v>
      </c>
      <c r="I6" s="287">
        <f t="shared" si="2"/>
        <v>302295.75100000005</v>
      </c>
      <c r="J6" s="287">
        <f t="shared" si="2"/>
        <v>447369.88</v>
      </c>
      <c r="K6" s="287">
        <f t="shared" si="2"/>
        <v>548221.67999999993</v>
      </c>
      <c r="L6" s="287">
        <f t="shared" si="2"/>
        <v>543410.63199999998</v>
      </c>
      <c r="M6" s="287">
        <f t="shared" si="2"/>
        <v>561087.6370000001</v>
      </c>
      <c r="N6" s="287">
        <f t="shared" si="2"/>
        <v>555587.73100000003</v>
      </c>
      <c r="O6" s="287">
        <f t="shared" si="2"/>
        <v>675343.08199999994</v>
      </c>
      <c r="P6" s="287">
        <f t="shared" si="2"/>
        <v>711561.82200000004</v>
      </c>
      <c r="Q6" s="287">
        <f t="shared" si="2"/>
        <v>802075</v>
      </c>
      <c r="R6" s="287">
        <f t="shared" si="2"/>
        <v>818557.08874000004</v>
      </c>
      <c r="S6" s="287">
        <f t="shared" si="2"/>
        <v>875895.08425999992</v>
      </c>
    </row>
    <row r="7" spans="2:23" ht="13" customHeight="1">
      <c r="B7" s="100" t="str">
        <f>IF('Summary | Sumário'!D$3=Names!B$3,Names!Z6,Names!AA6)</f>
        <v>Net interest income</v>
      </c>
      <c r="C7" s="301">
        <v>585551</v>
      </c>
      <c r="D7" s="301">
        <v>715962.89517999999</v>
      </c>
      <c r="E7" s="301">
        <v>1589469.2459999998</v>
      </c>
      <c r="F7" s="301">
        <v>2335429.0819999995</v>
      </c>
      <c r="G7" s="301">
        <v>3208088</v>
      </c>
      <c r="H7" s="301">
        <v>291580.935</v>
      </c>
      <c r="I7" s="301">
        <v>302295.75100000005</v>
      </c>
      <c r="J7" s="301">
        <v>447369.88</v>
      </c>
      <c r="K7" s="301">
        <v>548221.67999999993</v>
      </c>
      <c r="L7" s="301">
        <v>543410.63199999998</v>
      </c>
      <c r="M7" s="301">
        <v>561087.6370000001</v>
      </c>
      <c r="N7" s="301">
        <v>555587.73100000003</v>
      </c>
      <c r="O7" s="301">
        <v>675343.08199999994</v>
      </c>
      <c r="P7" s="301">
        <v>711561.82200000004</v>
      </c>
      <c r="Q7" s="301">
        <v>802075</v>
      </c>
      <c r="R7" s="301">
        <v>818557.08874000004</v>
      </c>
      <c r="S7" s="301">
        <v>875895.08425999992</v>
      </c>
    </row>
    <row r="8" spans="2:23" ht="13" customHeight="1">
      <c r="B8" s="96" t="str">
        <f>IF('Summary | Sumário'!D$3=Names!B$3,Names!Z8,Names!AA8)</f>
        <v>(÷) Avg of the last two periods of IEP + non-interest credit card receivables</v>
      </c>
      <c r="C8" s="302">
        <f>C9</f>
        <v>5973015</v>
      </c>
      <c r="D8" s="302">
        <f>(D9+C9)/2</f>
        <v>10411611</v>
      </c>
      <c r="E8" s="302">
        <f t="shared" ref="E8:G8" si="3">(E9+D9)/2</f>
        <v>23141067</v>
      </c>
      <c r="F8" s="302">
        <f t="shared" si="3"/>
        <v>34759632</v>
      </c>
      <c r="G8" s="302">
        <f t="shared" si="3"/>
        <v>43289367.897454999</v>
      </c>
      <c r="H8" s="302">
        <f>AVERAGE(H9,D9)</f>
        <v>15987577.5</v>
      </c>
      <c r="I8" s="302">
        <f>AVERAGE(I9,H9)</f>
        <v>19027250.5</v>
      </c>
      <c r="J8" s="302">
        <f t="shared" ref="J8:S8" si="4">AVERAGE(J9,I9)</f>
        <v>24944048</v>
      </c>
      <c r="K8" s="302">
        <f t="shared" si="4"/>
        <v>30195235</v>
      </c>
      <c r="L8" s="302">
        <f t="shared" si="4"/>
        <v>31479814</v>
      </c>
      <c r="M8" s="302">
        <f t="shared" si="4"/>
        <v>32288221</v>
      </c>
      <c r="N8" s="302">
        <f t="shared" si="4"/>
        <v>34830595</v>
      </c>
      <c r="O8" s="302">
        <f t="shared" si="4"/>
        <v>37349893</v>
      </c>
      <c r="P8" s="302">
        <f t="shared" si="4"/>
        <v>38382525.5</v>
      </c>
      <c r="Q8" s="302">
        <f t="shared" si="4"/>
        <v>39465908</v>
      </c>
      <c r="R8" s="302">
        <f t="shared" si="4"/>
        <v>41971325.694665</v>
      </c>
      <c r="S8" s="302">
        <f t="shared" si="4"/>
        <v>46089974.092119999</v>
      </c>
    </row>
    <row r="9" spans="2:23" ht="13" customHeight="1">
      <c r="B9" s="101" t="str">
        <f>IF('Summary | Sumário'!D$3=Names!B$3,Names!Z9,Names!AA9)</f>
        <v>IEP + non-interest credit card receivables</v>
      </c>
      <c r="C9" s="303">
        <f>SUM(C10:C13)</f>
        <v>5973015</v>
      </c>
      <c r="D9" s="303">
        <f>SUM(D10:D13)</f>
        <v>14850207</v>
      </c>
      <c r="E9" s="303">
        <f t="shared" ref="E9:F9" si="5">SUM(E10:E13)</f>
        <v>31431927</v>
      </c>
      <c r="F9" s="303">
        <f t="shared" si="5"/>
        <v>38087337</v>
      </c>
      <c r="G9" s="303">
        <f t="shared" ref="G9" si="6">SUM(G10:G13)</f>
        <v>48491398.794909999</v>
      </c>
      <c r="H9" s="303">
        <f t="shared" ref="H9:I9" si="7">SUM(H10:H13)</f>
        <v>17124948</v>
      </c>
      <c r="I9" s="303">
        <f t="shared" si="7"/>
        <v>20929553</v>
      </c>
      <c r="J9" s="303">
        <f t="shared" ref="J9" si="8">SUM(J10:J13)</f>
        <v>28958543</v>
      </c>
      <c r="K9" s="303">
        <f t="shared" ref="K9" si="9">SUM(K10:K13)</f>
        <v>31431927</v>
      </c>
      <c r="L9" s="303">
        <f t="shared" ref="L9" si="10">SUM(L10:L13)</f>
        <v>31527701</v>
      </c>
      <c r="M9" s="303">
        <f t="shared" ref="M9" si="11">SUM(M10:M13)</f>
        <v>33048741</v>
      </c>
      <c r="N9" s="303">
        <f t="shared" ref="N9" si="12">SUM(N10:N13)</f>
        <v>36612449</v>
      </c>
      <c r="O9" s="303">
        <f t="shared" ref="O9" si="13">SUM(O10:O13)</f>
        <v>38087337</v>
      </c>
      <c r="P9" s="303">
        <f t="shared" ref="P9:Q9" si="14">SUM(P10:P13)</f>
        <v>38677714</v>
      </c>
      <c r="Q9" s="303">
        <f t="shared" si="14"/>
        <v>40254102</v>
      </c>
      <c r="R9" s="303">
        <f t="shared" ref="R9:S9" si="15">SUM(R10:R13)</f>
        <v>43688549.38933</v>
      </c>
      <c r="S9" s="303">
        <f t="shared" si="15"/>
        <v>48491398.794909999</v>
      </c>
    </row>
    <row r="10" spans="2:23" ht="13" customHeight="1">
      <c r="B10" s="95" t="str">
        <f>IF('Summary | Sumário'!D$3=Names!B$3,Names!Z10,Names!AA10)</f>
        <v>Amounts due from financial institutions</v>
      </c>
      <c r="C10" s="304">
        <v>256097</v>
      </c>
      <c r="D10" s="304">
        <v>502369</v>
      </c>
      <c r="E10" s="304">
        <v>2051862</v>
      </c>
      <c r="F10" s="304">
        <v>4258856</v>
      </c>
      <c r="G10" s="304">
        <v>3718505.7949100002</v>
      </c>
      <c r="H10" s="304">
        <v>578499</v>
      </c>
      <c r="I10" s="304">
        <v>646905</v>
      </c>
      <c r="J10" s="304">
        <v>1408183</v>
      </c>
      <c r="K10" s="304">
        <v>2051862</v>
      </c>
      <c r="L10" s="304">
        <v>1807258</v>
      </c>
      <c r="M10" s="304">
        <v>1825289</v>
      </c>
      <c r="N10" s="304">
        <v>3417500</v>
      </c>
      <c r="O10" s="304">
        <v>4258856</v>
      </c>
      <c r="P10" s="304">
        <v>3770074</v>
      </c>
      <c r="Q10" s="304">
        <v>2556811</v>
      </c>
      <c r="R10" s="304">
        <v>3474243.8523399998</v>
      </c>
      <c r="S10" s="304">
        <v>3718505.7949100002</v>
      </c>
    </row>
    <row r="11" spans="2:23" ht="13" customHeight="1">
      <c r="B11" s="100" t="str">
        <f>IF('Summary | Sumário'!D$3=Names!B$3,Names!Z11,Names!AA11)</f>
        <v>Securities</v>
      </c>
      <c r="C11" s="303">
        <v>1155094</v>
      </c>
      <c r="D11" s="303">
        <v>5812622</v>
      </c>
      <c r="E11" s="303">
        <v>12757687</v>
      </c>
      <c r="F11" s="303">
        <v>12448565</v>
      </c>
      <c r="G11" s="303">
        <v>16868112</v>
      </c>
      <c r="H11" s="303">
        <v>6619726</v>
      </c>
      <c r="I11" s="303">
        <v>8230481</v>
      </c>
      <c r="J11" s="303">
        <v>13241180</v>
      </c>
      <c r="K11" s="303">
        <v>12757687</v>
      </c>
      <c r="L11" s="303">
        <v>12335401</v>
      </c>
      <c r="M11" s="303">
        <v>12710051</v>
      </c>
      <c r="N11" s="303">
        <v>13373465</v>
      </c>
      <c r="O11" s="303">
        <v>12448565</v>
      </c>
      <c r="P11" s="303">
        <v>12535351</v>
      </c>
      <c r="Q11" s="303">
        <v>14169684</v>
      </c>
      <c r="R11" s="303">
        <v>14908297</v>
      </c>
      <c r="S11" s="303">
        <v>16868112</v>
      </c>
    </row>
    <row r="12" spans="2:23" ht="13" customHeight="1">
      <c r="B12" s="95" t="str">
        <f>IF('Summary | Sumário'!D$3=Names!B$3,Names!Z12,Names!AA12)</f>
        <v>Net loans and advances to customers</v>
      </c>
      <c r="C12" s="304">
        <v>4561824</v>
      </c>
      <c r="D12" s="304">
        <v>8507703</v>
      </c>
      <c r="E12" s="304">
        <v>16535430</v>
      </c>
      <c r="F12" s="304">
        <v>21379916</v>
      </c>
      <c r="G12" s="304">
        <v>27900543</v>
      </c>
      <c r="H12" s="304">
        <v>9908120</v>
      </c>
      <c r="I12" s="304">
        <v>12040483</v>
      </c>
      <c r="J12" s="304">
        <v>14301537</v>
      </c>
      <c r="K12" s="304">
        <v>16535430</v>
      </c>
      <c r="L12" s="304">
        <v>17374632</v>
      </c>
      <c r="M12" s="304">
        <v>18510189</v>
      </c>
      <c r="N12" s="304">
        <v>19820903</v>
      </c>
      <c r="O12" s="304">
        <v>21379916</v>
      </c>
      <c r="P12" s="304">
        <v>22371167</v>
      </c>
      <c r="Q12" s="304">
        <v>23523982</v>
      </c>
      <c r="R12" s="304">
        <v>25296620</v>
      </c>
      <c r="S12" s="304">
        <v>27900543</v>
      </c>
    </row>
    <row r="13" spans="2:23" ht="13" customHeight="1">
      <c r="B13" s="100" t="str">
        <f>IF('Summary | Sumário'!D$3=Names!B$3,Names!Z13,Names!AA13)</f>
        <v>Derivative financial assets</v>
      </c>
      <c r="C13" s="303">
        <v>0</v>
      </c>
      <c r="D13" s="303">
        <v>27513</v>
      </c>
      <c r="E13" s="303">
        <v>86948</v>
      </c>
      <c r="F13" s="303">
        <v>0</v>
      </c>
      <c r="G13" s="303">
        <v>4238</v>
      </c>
      <c r="H13" s="303">
        <v>18603</v>
      </c>
      <c r="I13" s="303">
        <v>11684</v>
      </c>
      <c r="J13" s="303">
        <v>7643</v>
      </c>
      <c r="K13" s="303">
        <v>86948</v>
      </c>
      <c r="L13" s="303">
        <v>10410</v>
      </c>
      <c r="M13" s="303">
        <v>3212</v>
      </c>
      <c r="N13" s="303">
        <v>581</v>
      </c>
      <c r="O13" s="303">
        <v>0</v>
      </c>
      <c r="P13" s="303">
        <v>1122</v>
      </c>
      <c r="Q13" s="303">
        <v>3625</v>
      </c>
      <c r="R13" s="303">
        <v>9388.5369900000005</v>
      </c>
      <c r="S13" s="303">
        <v>4238</v>
      </c>
    </row>
    <row r="14" spans="2:23" ht="13" customHeight="1">
      <c r="B14" s="436" t="str">
        <f>IF('Summary | Sumário'!D$3=Names!B$3,Names!Z14,Names!AA14)</f>
        <v>(=) NIM 1.0 - IEP + non-interest credit card receivables (%)</v>
      </c>
      <c r="C14" s="464">
        <f t="shared" ref="C14:Q14" si="16">C5/C8</f>
        <v>9.803273556152127E-2</v>
      </c>
      <c r="D14" s="464">
        <f t="shared" si="16"/>
        <v>6.8765813012030511E-2</v>
      </c>
      <c r="E14" s="464">
        <f t="shared" si="16"/>
        <v>6.8686082884596447E-2</v>
      </c>
      <c r="F14" s="464">
        <f t="shared" si="16"/>
        <v>6.7187969136151937E-2</v>
      </c>
      <c r="G14" s="464">
        <f t="shared" ref="G14" si="17">G5/G8</f>
        <v>7.4107989000888247E-2</v>
      </c>
      <c r="H14" s="464">
        <f t="shared" si="16"/>
        <v>7.2951874040954615E-2</v>
      </c>
      <c r="I14" s="464">
        <f t="shared" si="16"/>
        <v>6.3550064892455183E-2</v>
      </c>
      <c r="J14" s="464">
        <f t="shared" si="16"/>
        <v>7.1739740077472594E-2</v>
      </c>
      <c r="K14" s="464">
        <f t="shared" si="16"/>
        <v>7.2623601704043694E-2</v>
      </c>
      <c r="L14" s="464">
        <f t="shared" si="16"/>
        <v>6.9048772905710307E-2</v>
      </c>
      <c r="M14" s="464">
        <f t="shared" si="16"/>
        <v>6.9509885601935162E-2</v>
      </c>
      <c r="N14" s="464">
        <f t="shared" si="16"/>
        <v>6.3804563889878999E-2</v>
      </c>
      <c r="O14" s="464">
        <f t="shared" si="16"/>
        <v>7.2326106208657676E-2</v>
      </c>
      <c r="P14" s="464">
        <f t="shared" si="16"/>
        <v>7.4154768372393848E-2</v>
      </c>
      <c r="Q14" s="464">
        <f t="shared" si="16"/>
        <v>8.1292947827274115E-2</v>
      </c>
      <c r="R14" s="464">
        <f t="shared" ref="R14:S14" si="18">R5/R8</f>
        <v>7.8011077819640784E-2</v>
      </c>
      <c r="S14" s="464">
        <f t="shared" si="18"/>
        <v>7.6016105585943614E-2</v>
      </c>
      <c r="U14" s="345"/>
      <c r="V14" s="345"/>
    </row>
    <row r="15" spans="2:23" ht="13" customHeight="1">
      <c r="B15" s="102"/>
      <c r="C15" s="286"/>
      <c r="D15" s="286"/>
      <c r="E15" s="286"/>
      <c r="F15" s="286"/>
      <c r="G15" s="286"/>
      <c r="H15" s="286"/>
      <c r="I15" s="286"/>
      <c r="J15" s="286"/>
      <c r="K15" s="286"/>
      <c r="L15" s="286"/>
      <c r="M15" s="286"/>
      <c r="N15" s="286"/>
      <c r="O15" s="286"/>
      <c r="P15" s="286"/>
      <c r="Q15" s="286"/>
      <c r="R15" s="286"/>
      <c r="S15" s="286"/>
    </row>
    <row r="16" spans="2:23" ht="13" customHeight="1">
      <c r="B16" s="5" t="str">
        <f>IF('Summary | Sumário'!D$3=Names!B$3,Names!Z16,Names!AA16)</f>
        <v>NIM 2.0 - IEP</v>
      </c>
      <c r="C16" s="290"/>
      <c r="D16" s="290"/>
      <c r="E16" s="290"/>
      <c r="F16" s="290"/>
      <c r="G16" s="290"/>
      <c r="H16" s="290"/>
      <c r="I16" s="290"/>
      <c r="J16" s="290"/>
      <c r="K16" s="290"/>
      <c r="L16" s="290"/>
      <c r="M16" s="290"/>
      <c r="N16" s="290"/>
      <c r="O16" s="290"/>
      <c r="P16" s="290"/>
      <c r="Q16" s="290"/>
      <c r="R16" s="290"/>
      <c r="S16" s="290"/>
    </row>
    <row r="17" spans="2:22" ht="13" customHeight="1">
      <c r="B17" s="438" t="str">
        <f>IF('Summary | Sumário'!D$3=Names!B$3,Names!Z17,Names!AA17)</f>
        <v>Annualized NII</v>
      </c>
      <c r="C17" s="439">
        <f t="shared" ref="C17:Q17" si="19">C5</f>
        <v>585551</v>
      </c>
      <c r="D17" s="439">
        <f t="shared" si="19"/>
        <v>715962.89517999999</v>
      </c>
      <c r="E17" s="439">
        <f t="shared" si="19"/>
        <v>1589469.2459999998</v>
      </c>
      <c r="F17" s="439">
        <f t="shared" si="19"/>
        <v>2335429.0819999995</v>
      </c>
      <c r="G17" s="439">
        <f t="shared" ref="G17" si="20">G5</f>
        <v>3208088</v>
      </c>
      <c r="H17" s="439">
        <f t="shared" si="19"/>
        <v>1166323.74</v>
      </c>
      <c r="I17" s="439">
        <f t="shared" si="19"/>
        <v>1209183.0040000002</v>
      </c>
      <c r="J17" s="439">
        <f t="shared" si="19"/>
        <v>1789479.52</v>
      </c>
      <c r="K17" s="439">
        <f t="shared" si="19"/>
        <v>2192886.7199999997</v>
      </c>
      <c r="L17" s="439">
        <f t="shared" si="19"/>
        <v>2173642.5279999999</v>
      </c>
      <c r="M17" s="439">
        <f t="shared" si="19"/>
        <v>2244350.5480000004</v>
      </c>
      <c r="N17" s="439">
        <f t="shared" si="19"/>
        <v>2222350.9240000001</v>
      </c>
      <c r="O17" s="439">
        <f t="shared" si="19"/>
        <v>2701372.3279999997</v>
      </c>
      <c r="P17" s="439">
        <f t="shared" si="19"/>
        <v>2846247.2880000002</v>
      </c>
      <c r="Q17" s="439">
        <f t="shared" si="19"/>
        <v>3208300</v>
      </c>
      <c r="R17" s="439">
        <f t="shared" ref="R17:S17" si="21">R5</f>
        <v>3274228.3549600001</v>
      </c>
      <c r="S17" s="439">
        <f t="shared" si="21"/>
        <v>3503580.3370399997</v>
      </c>
    </row>
    <row r="18" spans="2:22" ht="13" customHeight="1">
      <c r="B18" s="86" t="str">
        <f>IF('Summary | Sumário'!D$3=Names!B$3,Names!Z18,Names!AA18)</f>
        <v>NII</v>
      </c>
      <c r="C18" s="287">
        <f t="shared" ref="C18:Q18" si="22">C6</f>
        <v>585551</v>
      </c>
      <c r="D18" s="287">
        <f t="shared" si="22"/>
        <v>715962.89517999999</v>
      </c>
      <c r="E18" s="287">
        <f t="shared" si="22"/>
        <v>1589469.2459999998</v>
      </c>
      <c r="F18" s="287">
        <f t="shared" si="22"/>
        <v>2335429.0819999995</v>
      </c>
      <c r="G18" s="287">
        <f t="shared" ref="G18" si="23">G6</f>
        <v>3208088</v>
      </c>
      <c r="H18" s="287">
        <f t="shared" si="22"/>
        <v>291580.935</v>
      </c>
      <c r="I18" s="287">
        <f t="shared" si="22"/>
        <v>302295.75100000005</v>
      </c>
      <c r="J18" s="287">
        <f t="shared" si="22"/>
        <v>447369.88</v>
      </c>
      <c r="K18" s="287">
        <f t="shared" si="22"/>
        <v>548221.67999999993</v>
      </c>
      <c r="L18" s="287">
        <f t="shared" si="22"/>
        <v>543410.63199999998</v>
      </c>
      <c r="M18" s="287">
        <f t="shared" si="22"/>
        <v>561087.6370000001</v>
      </c>
      <c r="N18" s="287">
        <f t="shared" si="22"/>
        <v>555587.73100000003</v>
      </c>
      <c r="O18" s="287">
        <f t="shared" si="22"/>
        <v>675343.08199999994</v>
      </c>
      <c r="P18" s="287">
        <f t="shared" si="22"/>
        <v>711561.82200000004</v>
      </c>
      <c r="Q18" s="287">
        <f t="shared" si="22"/>
        <v>802075</v>
      </c>
      <c r="R18" s="287">
        <f t="shared" ref="R18:S18" si="24">R6</f>
        <v>818557.08874000004</v>
      </c>
      <c r="S18" s="287">
        <f t="shared" si="24"/>
        <v>875895.08425999992</v>
      </c>
    </row>
    <row r="19" spans="2:22" ht="13" customHeight="1">
      <c r="B19" s="100" t="str">
        <f>IF('Summary | Sumário'!D$3=Names!B$3,Names!Z19,Names!AA19)</f>
        <v>Net interest income</v>
      </c>
      <c r="C19" s="301">
        <f t="shared" ref="C19:Q19" si="25">C7</f>
        <v>585551</v>
      </c>
      <c r="D19" s="301">
        <f t="shared" si="25"/>
        <v>715962.89517999999</v>
      </c>
      <c r="E19" s="301">
        <f t="shared" si="25"/>
        <v>1589469.2459999998</v>
      </c>
      <c r="F19" s="301">
        <f t="shared" si="25"/>
        <v>2335429.0819999995</v>
      </c>
      <c r="G19" s="301">
        <f t="shared" ref="G19" si="26">G7</f>
        <v>3208088</v>
      </c>
      <c r="H19" s="301">
        <f t="shared" si="25"/>
        <v>291580.935</v>
      </c>
      <c r="I19" s="301">
        <f t="shared" si="25"/>
        <v>302295.75100000005</v>
      </c>
      <c r="J19" s="301">
        <f t="shared" si="25"/>
        <v>447369.88</v>
      </c>
      <c r="K19" s="301">
        <f t="shared" si="25"/>
        <v>548221.67999999993</v>
      </c>
      <c r="L19" s="301">
        <f t="shared" si="25"/>
        <v>543410.63199999998</v>
      </c>
      <c r="M19" s="301">
        <f t="shared" si="25"/>
        <v>561087.6370000001</v>
      </c>
      <c r="N19" s="301">
        <f t="shared" si="25"/>
        <v>555587.73100000003</v>
      </c>
      <c r="O19" s="301">
        <f t="shared" si="25"/>
        <v>675343.08199999994</v>
      </c>
      <c r="P19" s="301">
        <f t="shared" si="25"/>
        <v>711561.82200000004</v>
      </c>
      <c r="Q19" s="301">
        <f t="shared" si="25"/>
        <v>802075</v>
      </c>
      <c r="R19" s="301">
        <f t="shared" ref="R19:S19" si="27">R7</f>
        <v>818557.08874000004</v>
      </c>
      <c r="S19" s="301">
        <f t="shared" si="27"/>
        <v>875895.08425999992</v>
      </c>
    </row>
    <row r="20" spans="2:22" ht="13" customHeight="1">
      <c r="B20" s="96" t="str">
        <f>IF('Summary | Sumário'!D$3=Names!B$3,Names!Z21,Names!AA21)</f>
        <v>(÷) Avg of the last two periods of IEP</v>
      </c>
      <c r="C20" s="302">
        <f>C21</f>
        <v>5906176.3870000001</v>
      </c>
      <c r="D20" s="305">
        <f>(D21+C21)/2</f>
        <v>9540976.6059999987</v>
      </c>
      <c r="E20" s="305">
        <f t="shared" ref="E20:G20" si="28">(E21+D21)/2</f>
        <v>20242695.412500001</v>
      </c>
      <c r="F20" s="305">
        <f t="shared" si="28"/>
        <v>29992576.5</v>
      </c>
      <c r="G20" s="305">
        <f t="shared" si="28"/>
        <v>36838463.595954999</v>
      </c>
      <c r="H20" s="305">
        <f>(H21+D21)/2</f>
        <v>14103254.9125</v>
      </c>
      <c r="I20" s="302">
        <f>(I21+H21)/2</f>
        <v>16655040.5</v>
      </c>
      <c r="J20" s="302">
        <f t="shared" ref="J20:S20" si="29">(J21+I21)/2</f>
        <v>21978468</v>
      </c>
      <c r="K20" s="302">
        <f t="shared" si="29"/>
        <v>26493601</v>
      </c>
      <c r="L20" s="302">
        <f t="shared" si="29"/>
        <v>27179014.5</v>
      </c>
      <c r="M20" s="302">
        <f t="shared" si="29"/>
        <v>27600017.5</v>
      </c>
      <c r="N20" s="302">
        <f t="shared" si="29"/>
        <v>29831065</v>
      </c>
      <c r="O20" s="302">
        <f t="shared" si="29"/>
        <v>32093024.5</v>
      </c>
      <c r="P20" s="302">
        <f t="shared" si="29"/>
        <v>32837054.085489981</v>
      </c>
      <c r="Q20" s="302">
        <f t="shared" si="29"/>
        <v>33674355.469277278</v>
      </c>
      <c r="R20" s="302">
        <f t="shared" si="29"/>
        <v>35635379.055952296</v>
      </c>
      <c r="S20" s="302">
        <f t="shared" si="29"/>
        <v>38961002.268119998</v>
      </c>
    </row>
    <row r="21" spans="2:22" ht="13" customHeight="1">
      <c r="B21" s="101" t="str">
        <f>IF('Summary | Sumário'!D$3=Names!B$3,Names!Z22,Names!AA22)</f>
        <v>IEP</v>
      </c>
      <c r="C21" s="301">
        <f>C22+C23+C24+C27</f>
        <v>5906176.3870000001</v>
      </c>
      <c r="D21" s="301">
        <f t="shared" ref="D21:P21" si="30">D22+D23+D24+D27</f>
        <v>13175776.824999999</v>
      </c>
      <c r="E21" s="301">
        <f t="shared" si="30"/>
        <v>27309614</v>
      </c>
      <c r="F21" s="301">
        <f t="shared" si="30"/>
        <v>32675539</v>
      </c>
      <c r="G21" s="301">
        <f t="shared" ref="G21" si="31">G22+G23+G24+G27</f>
        <v>41001388.191909999</v>
      </c>
      <c r="H21" s="301">
        <f t="shared" si="30"/>
        <v>15030733</v>
      </c>
      <c r="I21" s="301">
        <f t="shared" si="30"/>
        <v>18279348</v>
      </c>
      <c r="J21" s="301">
        <f t="shared" si="30"/>
        <v>25677588</v>
      </c>
      <c r="K21" s="301">
        <f t="shared" si="30"/>
        <v>27309614</v>
      </c>
      <c r="L21" s="301">
        <f t="shared" si="30"/>
        <v>27048415</v>
      </c>
      <c r="M21" s="301">
        <f t="shared" si="30"/>
        <v>28151620</v>
      </c>
      <c r="N21" s="301">
        <f t="shared" si="30"/>
        <v>31510510</v>
      </c>
      <c r="O21" s="301">
        <f t="shared" si="30"/>
        <v>32675539</v>
      </c>
      <c r="P21" s="301">
        <f t="shared" si="30"/>
        <v>32998569.170979962</v>
      </c>
      <c r="Q21" s="301">
        <f t="shared" ref="Q21:R21" si="32">Q22+Q23+Q24+Q27</f>
        <v>34350141.767574593</v>
      </c>
      <c r="R21" s="301">
        <f t="shared" si="32"/>
        <v>36920616.344329998</v>
      </c>
      <c r="S21" s="301">
        <f t="shared" ref="S21" si="33">S22+S23+S24+S27</f>
        <v>41001388.191909999</v>
      </c>
    </row>
    <row r="22" spans="2:22" ht="13" customHeight="1">
      <c r="B22" s="95" t="str">
        <f>IF('Summary | Sumário'!D$3=Names!B$3,Names!Z23,Names!AA23)</f>
        <v>Amounts due from financial institutions</v>
      </c>
      <c r="C22" s="302">
        <f t="shared" ref="C22:Q22" si="34">C10</f>
        <v>256097</v>
      </c>
      <c r="D22" s="302">
        <f t="shared" si="34"/>
        <v>502369</v>
      </c>
      <c r="E22" s="302">
        <f t="shared" si="34"/>
        <v>2051862</v>
      </c>
      <c r="F22" s="302">
        <f t="shared" si="34"/>
        <v>4258856</v>
      </c>
      <c r="G22" s="302">
        <f t="shared" ref="G22" si="35">G10</f>
        <v>3718505.7949100002</v>
      </c>
      <c r="H22" s="302">
        <f t="shared" si="34"/>
        <v>578499</v>
      </c>
      <c r="I22" s="302">
        <f t="shared" si="34"/>
        <v>646905</v>
      </c>
      <c r="J22" s="302">
        <f t="shared" si="34"/>
        <v>1408183</v>
      </c>
      <c r="K22" s="302">
        <f t="shared" si="34"/>
        <v>2051862</v>
      </c>
      <c r="L22" s="302">
        <f t="shared" si="34"/>
        <v>1807258</v>
      </c>
      <c r="M22" s="302">
        <f t="shared" si="34"/>
        <v>1825289</v>
      </c>
      <c r="N22" s="302">
        <f t="shared" si="34"/>
        <v>3417500</v>
      </c>
      <c r="O22" s="302">
        <f t="shared" si="34"/>
        <v>4258856</v>
      </c>
      <c r="P22" s="302">
        <f t="shared" si="34"/>
        <v>3770074</v>
      </c>
      <c r="Q22" s="302">
        <f t="shared" si="34"/>
        <v>2556811</v>
      </c>
      <c r="R22" s="302">
        <f t="shared" ref="R22:S22" si="36">R10</f>
        <v>3474243.8523399998</v>
      </c>
      <c r="S22" s="302">
        <f t="shared" si="36"/>
        <v>3718505.7949100002</v>
      </c>
    </row>
    <row r="23" spans="2:22" ht="13" customHeight="1">
      <c r="B23" s="100" t="str">
        <f>IF('Summary | Sumário'!D$3=Names!B$3,Names!Z24,Names!AA24)</f>
        <v>Securities</v>
      </c>
      <c r="C23" s="301">
        <f t="shared" ref="C23:Q23" si="37">C11</f>
        <v>1155094</v>
      </c>
      <c r="D23" s="301">
        <f t="shared" si="37"/>
        <v>5812622</v>
      </c>
      <c r="E23" s="301">
        <f t="shared" si="37"/>
        <v>12757687</v>
      </c>
      <c r="F23" s="301">
        <f t="shared" si="37"/>
        <v>12448565</v>
      </c>
      <c r="G23" s="301">
        <f t="shared" ref="G23" si="38">G11</f>
        <v>16868112</v>
      </c>
      <c r="H23" s="301">
        <f t="shared" si="37"/>
        <v>6619726</v>
      </c>
      <c r="I23" s="301">
        <f t="shared" si="37"/>
        <v>8230481</v>
      </c>
      <c r="J23" s="301">
        <f t="shared" si="37"/>
        <v>13241180</v>
      </c>
      <c r="K23" s="301">
        <f t="shared" si="37"/>
        <v>12757687</v>
      </c>
      <c r="L23" s="301">
        <f t="shared" si="37"/>
        <v>12335401</v>
      </c>
      <c r="M23" s="301">
        <f t="shared" si="37"/>
        <v>12710051</v>
      </c>
      <c r="N23" s="301">
        <f t="shared" si="37"/>
        <v>13373465</v>
      </c>
      <c r="O23" s="301">
        <f t="shared" si="37"/>
        <v>12448565</v>
      </c>
      <c r="P23" s="301">
        <f t="shared" si="37"/>
        <v>12535351</v>
      </c>
      <c r="Q23" s="301">
        <f t="shared" si="37"/>
        <v>14169684</v>
      </c>
      <c r="R23" s="301">
        <f t="shared" ref="R23:S23" si="39">R11</f>
        <v>14908297</v>
      </c>
      <c r="S23" s="301">
        <f t="shared" si="39"/>
        <v>16868112</v>
      </c>
    </row>
    <row r="24" spans="2:22" ht="13" customHeight="1">
      <c r="B24" s="98" t="str">
        <f>IF('Summary | Sumário'!D$3=Names!B$3,Names!Z25,Names!AA25)</f>
        <v>Net loans and advances to customers excluding non int. CC Receivables</v>
      </c>
      <c r="C24" s="302">
        <f>SUM(C25,-C26)</f>
        <v>4494985.3870000001</v>
      </c>
      <c r="D24" s="302">
        <f t="shared" ref="D24:P24" si="40">SUM(D25,-D26)</f>
        <v>6833272.8250000002</v>
      </c>
      <c r="E24" s="302">
        <f t="shared" si="40"/>
        <v>12413117</v>
      </c>
      <c r="F24" s="302">
        <f t="shared" si="40"/>
        <v>15968118</v>
      </c>
      <c r="G24" s="302">
        <f t="shared" ref="G24" si="41">SUM(G25,-G26)</f>
        <v>20410532.397</v>
      </c>
      <c r="H24" s="302">
        <f t="shared" si="40"/>
        <v>7813905</v>
      </c>
      <c r="I24" s="302">
        <f t="shared" si="40"/>
        <v>9390278</v>
      </c>
      <c r="J24" s="302">
        <f t="shared" si="40"/>
        <v>11020582</v>
      </c>
      <c r="K24" s="302">
        <f t="shared" si="40"/>
        <v>12413117</v>
      </c>
      <c r="L24" s="302">
        <f t="shared" si="40"/>
        <v>12895346</v>
      </c>
      <c r="M24" s="302">
        <f t="shared" si="40"/>
        <v>13613068</v>
      </c>
      <c r="N24" s="302">
        <f t="shared" si="40"/>
        <v>14718964</v>
      </c>
      <c r="O24" s="302">
        <f t="shared" si="40"/>
        <v>15968118</v>
      </c>
      <c r="P24" s="302">
        <f t="shared" si="40"/>
        <v>16692022.17097996</v>
      </c>
      <c r="Q24" s="302">
        <f t="shared" ref="Q24:R24" si="42">SUM(Q25,-Q26)</f>
        <v>17620021.767574593</v>
      </c>
      <c r="R24" s="302">
        <f t="shared" si="42"/>
        <v>18528686.954999998</v>
      </c>
      <c r="S24" s="302">
        <f t="shared" ref="S24" si="43">SUM(S25,-S26)</f>
        <v>20410532.397</v>
      </c>
    </row>
    <row r="25" spans="2:22" ht="13" customHeight="1">
      <c r="B25" s="103" t="str">
        <f>IF('Summary | Sumário'!D$3=Names!B$3,Names!Z26,Names!AA26)</f>
        <v>Net loans and advances to customers</v>
      </c>
      <c r="C25" s="301">
        <f t="shared" ref="C25:Q25" si="44">C12</f>
        <v>4561824</v>
      </c>
      <c r="D25" s="301">
        <f t="shared" si="44"/>
        <v>8507703</v>
      </c>
      <c r="E25" s="301">
        <f t="shared" si="44"/>
        <v>16535430</v>
      </c>
      <c r="F25" s="301">
        <f t="shared" si="44"/>
        <v>21379916</v>
      </c>
      <c r="G25" s="301">
        <f t="shared" ref="G25" si="45">G12</f>
        <v>27900543</v>
      </c>
      <c r="H25" s="301">
        <f t="shared" si="44"/>
        <v>9908120</v>
      </c>
      <c r="I25" s="301">
        <f t="shared" si="44"/>
        <v>12040483</v>
      </c>
      <c r="J25" s="301">
        <f t="shared" si="44"/>
        <v>14301537</v>
      </c>
      <c r="K25" s="301">
        <f t="shared" si="44"/>
        <v>16535430</v>
      </c>
      <c r="L25" s="301">
        <f t="shared" si="44"/>
        <v>17374632</v>
      </c>
      <c r="M25" s="301">
        <f t="shared" si="44"/>
        <v>18510189</v>
      </c>
      <c r="N25" s="301">
        <f t="shared" si="44"/>
        <v>19820903</v>
      </c>
      <c r="O25" s="301">
        <f t="shared" si="44"/>
        <v>21379916</v>
      </c>
      <c r="P25" s="301">
        <f t="shared" si="44"/>
        <v>22371167</v>
      </c>
      <c r="Q25" s="301">
        <f t="shared" si="44"/>
        <v>23523982</v>
      </c>
      <c r="R25" s="301">
        <f t="shared" ref="R25:S25" si="46">R12</f>
        <v>25296620</v>
      </c>
      <c r="S25" s="301">
        <f t="shared" si="46"/>
        <v>27900543</v>
      </c>
    </row>
    <row r="26" spans="2:22" ht="13" customHeight="1">
      <c r="B26" s="99" t="str">
        <f>IF('Summary | Sumário'!D$3=Names!B$3,Names!Z27,Names!AA27)</f>
        <v>(-) Non int. CC receivables</v>
      </c>
      <c r="C26" s="302">
        <v>66838.612999999998</v>
      </c>
      <c r="D26" s="302">
        <v>1674430.175</v>
      </c>
      <c r="E26" s="302">
        <v>4122313</v>
      </c>
      <c r="F26" s="302">
        <v>5411798</v>
      </c>
      <c r="G26" s="302">
        <v>7490010.6029999992</v>
      </c>
      <c r="H26" s="302">
        <v>2094215</v>
      </c>
      <c r="I26" s="302">
        <v>2650205</v>
      </c>
      <c r="J26" s="302">
        <v>3280955</v>
      </c>
      <c r="K26" s="302">
        <v>4122313</v>
      </c>
      <c r="L26" s="302">
        <v>4479286</v>
      </c>
      <c r="M26" s="302">
        <v>4897121</v>
      </c>
      <c r="N26" s="302">
        <v>5101939</v>
      </c>
      <c r="O26" s="302">
        <v>5411798</v>
      </c>
      <c r="P26" s="302">
        <v>5679144.8290200401</v>
      </c>
      <c r="Q26" s="302">
        <v>5903960.2324254084</v>
      </c>
      <c r="R26" s="302">
        <v>6767933.0449999999</v>
      </c>
      <c r="S26" s="302">
        <v>7490010.6029999992</v>
      </c>
    </row>
    <row r="27" spans="2:22" ht="13" customHeight="1">
      <c r="B27" s="100" t="str">
        <f>IF('Summary | Sumário'!D$3=Names!B$3,Names!Z28,Names!AA28)</f>
        <v>Derivative financial assets</v>
      </c>
      <c r="C27" s="301">
        <f t="shared" ref="C27:Q27" si="47">C13</f>
        <v>0</v>
      </c>
      <c r="D27" s="301">
        <f t="shared" si="47"/>
        <v>27513</v>
      </c>
      <c r="E27" s="301">
        <f t="shared" si="47"/>
        <v>86948</v>
      </c>
      <c r="F27" s="301">
        <f t="shared" si="47"/>
        <v>0</v>
      </c>
      <c r="G27" s="301">
        <f t="shared" ref="G27" si="48">G13</f>
        <v>4238</v>
      </c>
      <c r="H27" s="301">
        <f t="shared" si="47"/>
        <v>18603</v>
      </c>
      <c r="I27" s="301">
        <f t="shared" si="47"/>
        <v>11684</v>
      </c>
      <c r="J27" s="301">
        <f t="shared" si="47"/>
        <v>7643</v>
      </c>
      <c r="K27" s="301">
        <f t="shared" si="47"/>
        <v>86948</v>
      </c>
      <c r="L27" s="301">
        <f t="shared" si="47"/>
        <v>10410</v>
      </c>
      <c r="M27" s="301">
        <f t="shared" si="47"/>
        <v>3212</v>
      </c>
      <c r="N27" s="301">
        <f t="shared" si="47"/>
        <v>581</v>
      </c>
      <c r="O27" s="301">
        <f t="shared" si="47"/>
        <v>0</v>
      </c>
      <c r="P27" s="301">
        <f t="shared" si="47"/>
        <v>1122</v>
      </c>
      <c r="Q27" s="301">
        <f t="shared" si="47"/>
        <v>3625</v>
      </c>
      <c r="R27" s="301">
        <f t="shared" ref="R27:S27" si="49">R13</f>
        <v>9388.5369900000005</v>
      </c>
      <c r="S27" s="301">
        <f t="shared" si="49"/>
        <v>4238</v>
      </c>
    </row>
    <row r="28" spans="2:22" ht="13" customHeight="1">
      <c r="B28" s="436" t="str">
        <f>IF('Summary | Sumário'!D$3=Names!B$3,Names!Z29,Names!AA29)</f>
        <v>(=) NIM 2.0 - IEP (%)</v>
      </c>
      <c r="C28" s="464">
        <f t="shared" ref="C28:Q28" si="50">C17/C20</f>
        <v>9.9142145718649363E-2</v>
      </c>
      <c r="D28" s="464">
        <f t="shared" si="50"/>
        <v>7.5040839606477505E-2</v>
      </c>
      <c r="E28" s="464">
        <f t="shared" si="50"/>
        <v>7.8520632436058474E-2</v>
      </c>
      <c r="F28" s="464">
        <f t="shared" si="50"/>
        <v>7.786690423211888E-2</v>
      </c>
      <c r="G28" s="464">
        <f>G17/G20</f>
        <v>8.7085282252440624E-2</v>
      </c>
      <c r="H28" s="464">
        <f t="shared" si="50"/>
        <v>8.2698905127656999E-2</v>
      </c>
      <c r="I28" s="464">
        <f t="shared" si="50"/>
        <v>7.2601624955520236E-2</v>
      </c>
      <c r="J28" s="464">
        <f t="shared" si="50"/>
        <v>8.1419665829301657E-2</v>
      </c>
      <c r="K28" s="464">
        <f t="shared" si="50"/>
        <v>8.2770428980190339E-2</v>
      </c>
      <c r="L28" s="464">
        <f t="shared" si="50"/>
        <v>7.9975031029914642E-2</v>
      </c>
      <c r="M28" s="464">
        <f t="shared" si="50"/>
        <v>8.1316997280889425E-2</v>
      </c>
      <c r="N28" s="464">
        <f t="shared" si="50"/>
        <v>7.4497874078582174E-2</v>
      </c>
      <c r="O28" s="464">
        <f t="shared" si="50"/>
        <v>8.4173192464300134E-2</v>
      </c>
      <c r="P28" s="464">
        <f t="shared" si="50"/>
        <v>8.6677912110809552E-2</v>
      </c>
      <c r="Q28" s="464">
        <f t="shared" si="50"/>
        <v>9.5274280837448697E-2</v>
      </c>
      <c r="R28" s="464">
        <f t="shared" ref="R28:S28" si="51">R17/R20</f>
        <v>9.1881395447457576E-2</v>
      </c>
      <c r="S28" s="464">
        <f t="shared" si="51"/>
        <v>8.9925313340997362E-2</v>
      </c>
      <c r="U28" s="345"/>
      <c r="V28" s="345"/>
    </row>
    <row r="29" spans="2:22" ht="13" customHeight="1">
      <c r="B29" s="495"/>
      <c r="C29" s="286"/>
      <c r="D29" s="286"/>
      <c r="E29" s="286"/>
      <c r="F29" s="286"/>
      <c r="G29" s="286"/>
      <c r="H29" s="286"/>
      <c r="I29" s="286"/>
      <c r="J29" s="286"/>
      <c r="K29" s="286"/>
      <c r="L29" s="286"/>
      <c r="M29" s="286"/>
      <c r="N29" s="286"/>
      <c r="O29" s="286"/>
      <c r="P29" s="286"/>
      <c r="Q29" s="286"/>
      <c r="R29" s="286"/>
      <c r="S29" s="286"/>
    </row>
    <row r="30" spans="2:22" ht="13" customHeight="1">
      <c r="B30" s="5" t="str">
        <f>IF('Summary | Sumário'!D$3=Names!B$3,Names!Z31,Names!AA31)</f>
        <v>Risk-Adjusted NIM 1.0 - IEP + non-interest credit card receivables</v>
      </c>
      <c r="C30" s="290"/>
      <c r="D30" s="290"/>
      <c r="E30" s="290"/>
      <c r="F30" s="290"/>
      <c r="G30" s="290"/>
      <c r="H30" s="290"/>
      <c r="I30" s="290"/>
      <c r="J30" s="290"/>
      <c r="K30" s="290"/>
      <c r="L30" s="290"/>
      <c r="M30" s="290"/>
      <c r="N30" s="290"/>
      <c r="O30" s="290"/>
      <c r="P30" s="290"/>
      <c r="Q30" s="290"/>
      <c r="R30" s="290"/>
      <c r="S30" s="290"/>
    </row>
    <row r="31" spans="2:22" ht="13" customHeight="1">
      <c r="B31" s="438" t="str">
        <f>IF('Summary | Sumário'!D$3=Names!B$3,Names!Z32,Names!AA32)</f>
        <v>Annualized NII after impairment losses on financial assets</v>
      </c>
      <c r="C31" s="439">
        <f>C32</f>
        <v>446981</v>
      </c>
      <c r="D31" s="439">
        <f>D32</f>
        <v>502274.89517999999</v>
      </c>
      <c r="E31" s="439">
        <f t="shared" ref="E31:G31" si="52">E32</f>
        <v>993888.24599999981</v>
      </c>
      <c r="F31" s="439">
        <f t="shared" si="52"/>
        <v>1252192.0819999995</v>
      </c>
      <c r="G31" s="439">
        <f t="shared" si="52"/>
        <v>1666504</v>
      </c>
      <c r="H31" s="439">
        <f>H32*4</f>
        <v>739647.74</v>
      </c>
      <c r="I31" s="439">
        <f t="shared" ref="I31:S31" si="53">I32*4</f>
        <v>539419.00400000019</v>
      </c>
      <c r="J31" s="439">
        <f t="shared" si="53"/>
        <v>1237459.52</v>
      </c>
      <c r="K31" s="439">
        <f t="shared" si="53"/>
        <v>1459022.7199999997</v>
      </c>
      <c r="L31" s="439">
        <f t="shared" si="53"/>
        <v>921858.52799999993</v>
      </c>
      <c r="M31" s="439">
        <f t="shared" si="53"/>
        <v>1274494.5480000004</v>
      </c>
      <c r="N31" s="439">
        <f t="shared" si="53"/>
        <v>1169898.9240000001</v>
      </c>
      <c r="O31" s="439">
        <f t="shared" si="53"/>
        <v>1642516.3279999997</v>
      </c>
      <c r="P31" s="439">
        <f t="shared" si="53"/>
        <v>1443523.2880000002</v>
      </c>
      <c r="Q31" s="439">
        <f t="shared" si="53"/>
        <v>1614060</v>
      </c>
      <c r="R31" s="439">
        <f t="shared" si="53"/>
        <v>1642632.3549600001</v>
      </c>
      <c r="S31" s="439">
        <f t="shared" si="53"/>
        <v>1965804.3370399997</v>
      </c>
    </row>
    <row r="32" spans="2:22" ht="13" customHeight="1">
      <c r="B32" s="86" t="str">
        <f>IF('Summary | Sumário'!D$3=Names!B$3,Names!Z33,Names!AA33)</f>
        <v>NII after impairment losses on financial assets</v>
      </c>
      <c r="C32" s="287">
        <f>C33+C34</f>
        <v>446981</v>
      </c>
      <c r="D32" s="287">
        <f t="shared" ref="D32:S32" si="54">D33+D34</f>
        <v>502274.89517999999</v>
      </c>
      <c r="E32" s="287">
        <f t="shared" si="54"/>
        <v>993888.24599999981</v>
      </c>
      <c r="F32" s="287">
        <f t="shared" si="54"/>
        <v>1252192.0819999995</v>
      </c>
      <c r="G32" s="287">
        <f t="shared" si="54"/>
        <v>1666504</v>
      </c>
      <c r="H32" s="287">
        <f t="shared" si="54"/>
        <v>184911.935</v>
      </c>
      <c r="I32" s="287">
        <f t="shared" si="54"/>
        <v>134854.75100000005</v>
      </c>
      <c r="J32" s="287">
        <f t="shared" si="54"/>
        <v>309364.88</v>
      </c>
      <c r="K32" s="287">
        <f t="shared" si="54"/>
        <v>364755.67999999993</v>
      </c>
      <c r="L32" s="287">
        <f t="shared" si="54"/>
        <v>230464.63199999998</v>
      </c>
      <c r="M32" s="287">
        <f t="shared" si="54"/>
        <v>318623.6370000001</v>
      </c>
      <c r="N32" s="287">
        <f t="shared" si="54"/>
        <v>292474.73100000003</v>
      </c>
      <c r="O32" s="287">
        <f t="shared" si="54"/>
        <v>410629.08199999994</v>
      </c>
      <c r="P32" s="287">
        <f t="shared" si="54"/>
        <v>360880.82200000004</v>
      </c>
      <c r="Q32" s="287">
        <f t="shared" si="54"/>
        <v>403515</v>
      </c>
      <c r="R32" s="287">
        <f t="shared" si="54"/>
        <v>410658.08874000004</v>
      </c>
      <c r="S32" s="287">
        <f t="shared" si="54"/>
        <v>491451.08425999992</v>
      </c>
    </row>
    <row r="33" spans="2:19" ht="13" customHeight="1">
      <c r="B33" s="496" t="str">
        <f>IF('Summary | Sumário'!D$3=Names!B$3,Names!Z6,Names!AA6)</f>
        <v>Net interest income</v>
      </c>
      <c r="C33" s="301">
        <v>585551</v>
      </c>
      <c r="D33" s="301">
        <v>715962.89517999999</v>
      </c>
      <c r="E33" s="301">
        <v>1589469.2459999998</v>
      </c>
      <c r="F33" s="301">
        <v>2335429.0819999995</v>
      </c>
      <c r="G33" s="301">
        <v>3208088</v>
      </c>
      <c r="H33" s="301">
        <v>291580.935</v>
      </c>
      <c r="I33" s="301">
        <v>302295.75100000005</v>
      </c>
      <c r="J33" s="301">
        <v>447369.88</v>
      </c>
      <c r="K33" s="301">
        <v>548221.67999999993</v>
      </c>
      <c r="L33" s="301">
        <v>543410.63199999998</v>
      </c>
      <c r="M33" s="301">
        <v>561087.6370000001</v>
      </c>
      <c r="N33" s="301">
        <v>555587.73100000003</v>
      </c>
      <c r="O33" s="301">
        <v>675343.08199999994</v>
      </c>
      <c r="P33" s="301">
        <v>711561.82200000004</v>
      </c>
      <c r="Q33" s="301">
        <v>802075</v>
      </c>
      <c r="R33" s="301">
        <v>818557.08874000004</v>
      </c>
      <c r="S33" s="301">
        <v>875895.08425999992</v>
      </c>
    </row>
    <row r="34" spans="2:19" ht="13" customHeight="1">
      <c r="B34" s="95" t="str">
        <f>IF('Summary | Sumário'!D$3=Names!B$3,Names!Z34,Names!AA34)</f>
        <v>Impairment losses on financial assets</v>
      </c>
      <c r="C34" s="302">
        <v>-138570</v>
      </c>
      <c r="D34" s="302">
        <v>-213688</v>
      </c>
      <c r="E34" s="302">
        <v>-595581</v>
      </c>
      <c r="F34" s="302">
        <v>-1083237</v>
      </c>
      <c r="G34" s="302">
        <v>-1541584</v>
      </c>
      <c r="H34" s="302">
        <v>-106669</v>
      </c>
      <c r="I34" s="302">
        <v>-167441</v>
      </c>
      <c r="J34" s="302">
        <v>-138005</v>
      </c>
      <c r="K34" s="302">
        <v>-183466</v>
      </c>
      <c r="L34" s="302">
        <v>-312946</v>
      </c>
      <c r="M34" s="302">
        <v>-242464</v>
      </c>
      <c r="N34" s="302">
        <v>-263113</v>
      </c>
      <c r="O34" s="302">
        <v>-264714</v>
      </c>
      <c r="P34" s="302">
        <v>-350681</v>
      </c>
      <c r="Q34" s="302">
        <v>-398560</v>
      </c>
      <c r="R34" s="302">
        <v>-407899</v>
      </c>
      <c r="S34" s="302">
        <v>-384444</v>
      </c>
    </row>
    <row r="35" spans="2:19" ht="13" customHeight="1">
      <c r="B35" s="102" t="str">
        <f>IF('Summary | Sumário'!D$3=Names!B$3,Names!Z8,Names!AA8)</f>
        <v>(÷) Avg of the last two periods of IEP + non-interest credit card receivables</v>
      </c>
      <c r="C35" s="301">
        <f>C36</f>
        <v>5973015</v>
      </c>
      <c r="D35" s="301">
        <f>(D36+C36)/2</f>
        <v>10411611</v>
      </c>
      <c r="E35" s="301">
        <f t="shared" ref="E35" si="55">(E36+D36)/2</f>
        <v>23141067</v>
      </c>
      <c r="F35" s="301">
        <f t="shared" ref="F35" si="56">(F36+E36)/2</f>
        <v>34759632</v>
      </c>
      <c r="G35" s="301">
        <f t="shared" ref="G35" si="57">(G36+F36)/2</f>
        <v>43289367.897454999</v>
      </c>
      <c r="H35" s="301">
        <f>AVERAGE(H36,D36)</f>
        <v>15987577.5</v>
      </c>
      <c r="I35" s="301">
        <f>AVERAGE(I36,H36)</f>
        <v>19027250.5</v>
      </c>
      <c r="J35" s="301">
        <f t="shared" ref="J35" si="58">AVERAGE(J36,I36)</f>
        <v>24944048</v>
      </c>
      <c r="K35" s="301">
        <f t="shared" ref="K35" si="59">AVERAGE(K36,J36)</f>
        <v>30195235</v>
      </c>
      <c r="L35" s="301">
        <f t="shared" ref="L35" si="60">AVERAGE(L36,K36)</f>
        <v>31479814</v>
      </c>
      <c r="M35" s="301">
        <f t="shared" ref="M35" si="61">AVERAGE(M36,L36)</f>
        <v>32288221</v>
      </c>
      <c r="N35" s="301">
        <f t="shared" ref="N35" si="62">AVERAGE(N36,M36)</f>
        <v>34830595</v>
      </c>
      <c r="O35" s="301">
        <f t="shared" ref="O35" si="63">AVERAGE(O36,N36)</f>
        <v>37349893</v>
      </c>
      <c r="P35" s="301">
        <f t="shared" ref="P35" si="64">AVERAGE(P36,O36)</f>
        <v>38382525.5</v>
      </c>
      <c r="Q35" s="301">
        <f t="shared" ref="Q35" si="65">AVERAGE(Q36,P36)</f>
        <v>39465908</v>
      </c>
      <c r="R35" s="301">
        <f t="shared" ref="R35" si="66">AVERAGE(R36,Q36)</f>
        <v>41971325.694665</v>
      </c>
      <c r="S35" s="301">
        <f t="shared" ref="S35" si="67">AVERAGE(S36,R36)</f>
        <v>46089974.092119999</v>
      </c>
    </row>
    <row r="36" spans="2:19" ht="13" customHeight="1">
      <c r="B36" s="97" t="str">
        <f>IF('Summary | Sumário'!D$3=Names!B$3,Names!Z9,Names!AA9)</f>
        <v>IEP + non-interest credit card receivables</v>
      </c>
      <c r="C36" s="304">
        <f>SUM(C37:C40)</f>
        <v>5973015</v>
      </c>
      <c r="D36" s="304">
        <f>SUM(D37:D40)</f>
        <v>14850207</v>
      </c>
      <c r="E36" s="304">
        <f t="shared" ref="E36:S36" si="68">SUM(E37:E40)</f>
        <v>31431927</v>
      </c>
      <c r="F36" s="304">
        <f t="shared" si="68"/>
        <v>38087337</v>
      </c>
      <c r="G36" s="304">
        <f t="shared" si="68"/>
        <v>48491398.794909999</v>
      </c>
      <c r="H36" s="304">
        <f t="shared" si="68"/>
        <v>17124948</v>
      </c>
      <c r="I36" s="304">
        <f t="shared" si="68"/>
        <v>20929553</v>
      </c>
      <c r="J36" s="304">
        <f t="shared" si="68"/>
        <v>28958543</v>
      </c>
      <c r="K36" s="304">
        <f t="shared" si="68"/>
        <v>31431927</v>
      </c>
      <c r="L36" s="304">
        <f t="shared" si="68"/>
        <v>31527701</v>
      </c>
      <c r="M36" s="304">
        <f t="shared" si="68"/>
        <v>33048741</v>
      </c>
      <c r="N36" s="304">
        <f t="shared" si="68"/>
        <v>36612449</v>
      </c>
      <c r="O36" s="304">
        <f t="shared" si="68"/>
        <v>38087337</v>
      </c>
      <c r="P36" s="304">
        <f t="shared" si="68"/>
        <v>38677714</v>
      </c>
      <c r="Q36" s="304">
        <f t="shared" si="68"/>
        <v>40254102</v>
      </c>
      <c r="R36" s="304">
        <f t="shared" si="68"/>
        <v>43688549.38933</v>
      </c>
      <c r="S36" s="304">
        <f t="shared" si="68"/>
        <v>48491398.794909999</v>
      </c>
    </row>
    <row r="37" spans="2:19" ht="13" customHeight="1">
      <c r="B37" s="100" t="str">
        <f>IF('Summary | Sumário'!D$3=Names!B$3,Names!Z10,Names!AA10)</f>
        <v>Amounts due from financial institutions</v>
      </c>
      <c r="C37" s="303">
        <v>256097</v>
      </c>
      <c r="D37" s="303">
        <v>502369</v>
      </c>
      <c r="E37" s="303">
        <v>2051862</v>
      </c>
      <c r="F37" s="303">
        <v>4258856</v>
      </c>
      <c r="G37" s="303">
        <v>3718505.7949100002</v>
      </c>
      <c r="H37" s="303">
        <v>578499</v>
      </c>
      <c r="I37" s="303">
        <v>646905</v>
      </c>
      <c r="J37" s="303">
        <v>1408183</v>
      </c>
      <c r="K37" s="303">
        <v>2051862</v>
      </c>
      <c r="L37" s="303">
        <v>1807258</v>
      </c>
      <c r="M37" s="303">
        <v>1825289</v>
      </c>
      <c r="N37" s="303">
        <v>3417500</v>
      </c>
      <c r="O37" s="303">
        <v>4258856</v>
      </c>
      <c r="P37" s="303">
        <v>3770074</v>
      </c>
      <c r="Q37" s="303">
        <v>2556811</v>
      </c>
      <c r="R37" s="303">
        <v>3474243.8523399998</v>
      </c>
      <c r="S37" s="303">
        <v>3718505.7949100002</v>
      </c>
    </row>
    <row r="38" spans="2:19" ht="13" customHeight="1">
      <c r="B38" s="95" t="str">
        <f>IF('Summary | Sumário'!D$3=Names!B$3,Names!Z11,Names!AA11)</f>
        <v>Securities</v>
      </c>
      <c r="C38" s="304">
        <v>1155094</v>
      </c>
      <c r="D38" s="304">
        <v>5812622</v>
      </c>
      <c r="E38" s="304">
        <v>12757687</v>
      </c>
      <c r="F38" s="304">
        <v>12448565</v>
      </c>
      <c r="G38" s="304">
        <v>16868112</v>
      </c>
      <c r="H38" s="304">
        <v>6619726</v>
      </c>
      <c r="I38" s="304">
        <v>8230481</v>
      </c>
      <c r="J38" s="304">
        <v>13241180</v>
      </c>
      <c r="K38" s="304">
        <v>12757687</v>
      </c>
      <c r="L38" s="304">
        <v>12335401</v>
      </c>
      <c r="M38" s="304">
        <v>12710051</v>
      </c>
      <c r="N38" s="304">
        <v>13373465</v>
      </c>
      <c r="O38" s="304">
        <v>12448565</v>
      </c>
      <c r="P38" s="304">
        <v>12535351</v>
      </c>
      <c r="Q38" s="304">
        <v>14169684</v>
      </c>
      <c r="R38" s="304">
        <v>14908297</v>
      </c>
      <c r="S38" s="304">
        <v>16868112</v>
      </c>
    </row>
    <row r="39" spans="2:19" ht="13" customHeight="1">
      <c r="B39" s="100" t="str">
        <f>IF('Summary | Sumário'!D$3=Names!B$3,Names!Z12,Names!AA12)</f>
        <v>Net loans and advances to customers</v>
      </c>
      <c r="C39" s="303">
        <v>4561824</v>
      </c>
      <c r="D39" s="303">
        <v>8507703</v>
      </c>
      <c r="E39" s="303">
        <v>16535430</v>
      </c>
      <c r="F39" s="303">
        <v>21379916</v>
      </c>
      <c r="G39" s="303">
        <v>27900543</v>
      </c>
      <c r="H39" s="303">
        <v>9908120</v>
      </c>
      <c r="I39" s="303">
        <v>12040483</v>
      </c>
      <c r="J39" s="303">
        <v>14301537</v>
      </c>
      <c r="K39" s="303">
        <v>16535430</v>
      </c>
      <c r="L39" s="303">
        <v>17374632</v>
      </c>
      <c r="M39" s="303">
        <v>18510189</v>
      </c>
      <c r="N39" s="303">
        <v>19820903</v>
      </c>
      <c r="O39" s="303">
        <v>21379916</v>
      </c>
      <c r="P39" s="303">
        <v>22371167</v>
      </c>
      <c r="Q39" s="303">
        <v>23523982</v>
      </c>
      <c r="R39" s="303">
        <v>25296620</v>
      </c>
      <c r="S39" s="303">
        <v>27900543</v>
      </c>
    </row>
    <row r="40" spans="2:19" ht="13" customHeight="1">
      <c r="B40" s="95" t="str">
        <f>IF('Summary | Sumário'!D$3=Names!B$3,Names!Z13,Names!AA13)</f>
        <v>Derivative financial assets</v>
      </c>
      <c r="C40" s="304">
        <v>0</v>
      </c>
      <c r="D40" s="304">
        <v>27513</v>
      </c>
      <c r="E40" s="304">
        <v>86948</v>
      </c>
      <c r="F40" s="304">
        <v>0</v>
      </c>
      <c r="G40" s="304">
        <v>4238</v>
      </c>
      <c r="H40" s="304">
        <v>18603</v>
      </c>
      <c r="I40" s="304">
        <v>11684</v>
      </c>
      <c r="J40" s="304">
        <v>7643</v>
      </c>
      <c r="K40" s="304">
        <v>86948</v>
      </c>
      <c r="L40" s="304">
        <v>10410</v>
      </c>
      <c r="M40" s="304">
        <v>3212</v>
      </c>
      <c r="N40" s="304">
        <v>581</v>
      </c>
      <c r="O40" s="304">
        <v>0</v>
      </c>
      <c r="P40" s="304">
        <v>1122</v>
      </c>
      <c r="Q40" s="304">
        <v>3625</v>
      </c>
      <c r="R40" s="304">
        <v>9388.5369900000005</v>
      </c>
      <c r="S40" s="304">
        <v>4238</v>
      </c>
    </row>
    <row r="41" spans="2:19" ht="13" customHeight="1">
      <c r="B41" s="435" t="str">
        <f>IF('Summary | Sumário'!D$3=Names!B$3,Names!Z35,Names!AA35)</f>
        <v>(=) Risk-Adjusted NIM 1.0 - IEP + non-interest credit card receivables (%)</v>
      </c>
      <c r="C41" s="497">
        <f t="shared" ref="C41:S41" si="69">C31/C35</f>
        <v>7.4833396534246102E-2</v>
      </c>
      <c r="D41" s="497">
        <f t="shared" si="69"/>
        <v>4.8241803807307054E-2</v>
      </c>
      <c r="E41" s="497">
        <f t="shared" si="69"/>
        <v>4.2949110600647752E-2</v>
      </c>
      <c r="F41" s="497">
        <f t="shared" si="69"/>
        <v>3.6024319302344725E-2</v>
      </c>
      <c r="G41" s="497">
        <f t="shared" si="69"/>
        <v>3.8496843011144415E-2</v>
      </c>
      <c r="H41" s="497">
        <f t="shared" si="69"/>
        <v>4.6263903333697676E-2</v>
      </c>
      <c r="I41" s="497">
        <f t="shared" si="69"/>
        <v>2.8349813547679955E-2</v>
      </c>
      <c r="J41" s="497">
        <f t="shared" si="69"/>
        <v>4.9609410629742216E-2</v>
      </c>
      <c r="K41" s="497">
        <f t="shared" si="69"/>
        <v>4.831963453836341E-2</v>
      </c>
      <c r="L41" s="497">
        <f t="shared" si="69"/>
        <v>2.9284116100558914E-2</v>
      </c>
      <c r="M41" s="497">
        <f t="shared" si="69"/>
        <v>3.9472430147204467E-2</v>
      </c>
      <c r="N41" s="497">
        <f t="shared" si="69"/>
        <v>3.3588255497788655E-2</v>
      </c>
      <c r="O41" s="497">
        <f t="shared" si="69"/>
        <v>4.3976466759891378E-2</v>
      </c>
      <c r="P41" s="497">
        <f t="shared" si="69"/>
        <v>3.7608866774543018E-2</v>
      </c>
      <c r="Q41" s="497">
        <f t="shared" si="69"/>
        <v>4.0897576713552368E-2</v>
      </c>
      <c r="R41" s="497">
        <f t="shared" si="69"/>
        <v>3.9137013848690422E-2</v>
      </c>
      <c r="S41" s="497">
        <f t="shared" si="69"/>
        <v>4.2651452420236727E-2</v>
      </c>
    </row>
    <row r="43" spans="2:19" ht="13" customHeight="1">
      <c r="B43" s="26" t="str">
        <f>IF('Summary | Sumário'!D$3=Names!B$3,Names!Z36,Names!AA36)</f>
        <v>Risk Adjusted NIM 2.0 - IEP</v>
      </c>
      <c r="C43" s="498"/>
      <c r="D43" s="498"/>
      <c r="E43" s="498"/>
      <c r="F43" s="498"/>
      <c r="G43" s="498"/>
      <c r="H43" s="498"/>
      <c r="I43" s="498"/>
      <c r="J43" s="498"/>
      <c r="K43" s="498"/>
      <c r="L43" s="498"/>
      <c r="M43" s="498"/>
      <c r="N43" s="498"/>
      <c r="O43" s="498"/>
      <c r="P43" s="498"/>
      <c r="Q43" s="498"/>
      <c r="R43" s="498"/>
      <c r="S43" s="498"/>
    </row>
    <row r="44" spans="2:19" ht="13" customHeight="1">
      <c r="B44" s="441" t="str">
        <f>IF('Summary | Sumário'!D$3=Names!B$3,Names!Z32,Names!AA32)</f>
        <v>Annualized NII after impairment losses on financial assets</v>
      </c>
      <c r="C44" s="439">
        <f>C45</f>
        <v>446981</v>
      </c>
      <c r="D44" s="439">
        <f>D45</f>
        <v>502274.89517999999</v>
      </c>
      <c r="E44" s="439">
        <f t="shared" ref="E44:G44" si="70">E45</f>
        <v>993888.24599999981</v>
      </c>
      <c r="F44" s="439">
        <f t="shared" si="70"/>
        <v>1252192.0819999995</v>
      </c>
      <c r="G44" s="439">
        <f t="shared" si="70"/>
        <v>1666504</v>
      </c>
      <c r="H44" s="439">
        <f>H45*4</f>
        <v>739647.74</v>
      </c>
      <c r="I44" s="439">
        <f t="shared" ref="I44:S44" si="71">I45*4</f>
        <v>539419.00400000019</v>
      </c>
      <c r="J44" s="439">
        <f t="shared" si="71"/>
        <v>1237459.52</v>
      </c>
      <c r="K44" s="439">
        <f t="shared" si="71"/>
        <v>1459022.7199999997</v>
      </c>
      <c r="L44" s="439">
        <f t="shared" si="71"/>
        <v>921858.52799999993</v>
      </c>
      <c r="M44" s="439">
        <f t="shared" si="71"/>
        <v>1274494.5480000004</v>
      </c>
      <c r="N44" s="439">
        <f t="shared" si="71"/>
        <v>1169898.9240000001</v>
      </c>
      <c r="O44" s="439">
        <f t="shared" si="71"/>
        <v>1642516.3279999997</v>
      </c>
      <c r="P44" s="439">
        <f t="shared" si="71"/>
        <v>1443523.2880000002</v>
      </c>
      <c r="Q44" s="439">
        <f t="shared" si="71"/>
        <v>1614060</v>
      </c>
      <c r="R44" s="439">
        <f t="shared" si="71"/>
        <v>1642632.3549600001</v>
      </c>
      <c r="S44" s="439">
        <f t="shared" si="71"/>
        <v>1965804.3370399997</v>
      </c>
    </row>
    <row r="45" spans="2:19" ht="13" customHeight="1">
      <c r="B45" s="91" t="str">
        <f>IF('Summary | Sumário'!D$3=Names!B$3,Names!Z33,Names!AA33)</f>
        <v>NII after impairment losses on financial assets</v>
      </c>
      <c r="C45" s="287">
        <f>C46+C47</f>
        <v>446981</v>
      </c>
      <c r="D45" s="287">
        <f t="shared" ref="D45" si="72">D46+D47</f>
        <v>502274.89517999999</v>
      </c>
      <c r="E45" s="287">
        <f t="shared" ref="E45" si="73">E46+E47</f>
        <v>993888.24599999981</v>
      </c>
      <c r="F45" s="287">
        <f t="shared" ref="F45" si="74">F46+F47</f>
        <v>1252192.0819999995</v>
      </c>
      <c r="G45" s="287">
        <f t="shared" ref="G45" si="75">G46+G47</f>
        <v>1666504</v>
      </c>
      <c r="H45" s="287">
        <f t="shared" ref="H45" si="76">H46+H47</f>
        <v>184911.935</v>
      </c>
      <c r="I45" s="287">
        <f t="shared" ref="I45" si="77">I46+I47</f>
        <v>134854.75100000005</v>
      </c>
      <c r="J45" s="287">
        <f t="shared" ref="J45" si="78">J46+J47</f>
        <v>309364.88</v>
      </c>
      <c r="K45" s="287">
        <f t="shared" ref="K45" si="79">K46+K47</f>
        <v>364755.67999999993</v>
      </c>
      <c r="L45" s="287">
        <f t="shared" ref="L45" si="80">L46+L47</f>
        <v>230464.63199999998</v>
      </c>
      <c r="M45" s="287">
        <f t="shared" ref="M45" si="81">M46+M47</f>
        <v>318623.6370000001</v>
      </c>
      <c r="N45" s="287">
        <f t="shared" ref="N45" si="82">N46+N47</f>
        <v>292474.73100000003</v>
      </c>
      <c r="O45" s="287">
        <f t="shared" ref="O45" si="83">O46+O47</f>
        <v>410629.08199999994</v>
      </c>
      <c r="P45" s="287">
        <f t="shared" ref="P45" si="84">P46+P47</f>
        <v>360880.82200000004</v>
      </c>
      <c r="Q45" s="287">
        <f t="shared" ref="Q45" si="85">Q46+Q47</f>
        <v>403515</v>
      </c>
      <c r="R45" s="287">
        <f t="shared" ref="R45" si="86">R46+R47</f>
        <v>410658.08874000004</v>
      </c>
      <c r="S45" s="287">
        <f t="shared" ref="S45" si="87">S46+S47</f>
        <v>491451.08425999992</v>
      </c>
    </row>
    <row r="46" spans="2:19" ht="13" customHeight="1">
      <c r="B46" s="95" t="str">
        <f>IF('Summary | Sumário'!D$3=Names!B$3,Names!Z6,Names!AA6)</f>
        <v>Net interest income</v>
      </c>
      <c r="C46" s="301">
        <v>585551</v>
      </c>
      <c r="D46" s="301">
        <v>715962.89517999999</v>
      </c>
      <c r="E46" s="301">
        <v>1589469.2459999998</v>
      </c>
      <c r="F46" s="301">
        <v>2335429.0819999995</v>
      </c>
      <c r="G46" s="301">
        <v>3208088</v>
      </c>
      <c r="H46" s="301">
        <v>291580.935</v>
      </c>
      <c r="I46" s="301">
        <v>302295.75100000005</v>
      </c>
      <c r="J46" s="301">
        <v>447369.88</v>
      </c>
      <c r="K46" s="301">
        <v>548221.67999999993</v>
      </c>
      <c r="L46" s="301">
        <v>543410.63199999998</v>
      </c>
      <c r="M46" s="301">
        <v>561087.6370000001</v>
      </c>
      <c r="N46" s="301">
        <v>555587.73100000003</v>
      </c>
      <c r="O46" s="301">
        <v>675343.08199999994</v>
      </c>
      <c r="P46" s="301">
        <v>711561.82200000004</v>
      </c>
      <c r="Q46" s="301">
        <v>802075</v>
      </c>
      <c r="R46" s="301">
        <v>818557.08874000004</v>
      </c>
      <c r="S46" s="301">
        <v>875895.08425999992</v>
      </c>
    </row>
    <row r="47" spans="2:19" ht="13" customHeight="1">
      <c r="B47" s="100" t="str">
        <f>IF('Summary | Sumário'!D$3=Names!B$3,Names!Z34,Names!AA34)</f>
        <v>Impairment losses on financial assets</v>
      </c>
      <c r="C47" s="302">
        <v>-138570</v>
      </c>
      <c r="D47" s="302">
        <v>-213688</v>
      </c>
      <c r="E47" s="302">
        <v>-595581</v>
      </c>
      <c r="F47" s="302">
        <v>-1083237</v>
      </c>
      <c r="G47" s="302">
        <v>-1541584</v>
      </c>
      <c r="H47" s="302">
        <v>-106669</v>
      </c>
      <c r="I47" s="302">
        <v>-167441</v>
      </c>
      <c r="J47" s="302">
        <v>-138005</v>
      </c>
      <c r="K47" s="302">
        <v>-183466</v>
      </c>
      <c r="L47" s="302">
        <v>-312946</v>
      </c>
      <c r="M47" s="302">
        <v>-242464</v>
      </c>
      <c r="N47" s="302">
        <v>-263113</v>
      </c>
      <c r="O47" s="302">
        <v>-264714</v>
      </c>
      <c r="P47" s="302">
        <v>-350681</v>
      </c>
      <c r="Q47" s="302">
        <v>-398560</v>
      </c>
      <c r="R47" s="302">
        <v>-407899</v>
      </c>
      <c r="S47" s="302">
        <v>-384444</v>
      </c>
    </row>
    <row r="48" spans="2:19" ht="13" customHeight="1">
      <c r="B48" s="96" t="str">
        <f>IF('Summary | Sumário'!D$3=Names!B$3,Names!Z21,Names!AA21)</f>
        <v>(÷) Avg of the last two periods of IEP</v>
      </c>
      <c r="C48" s="302">
        <f>C49</f>
        <v>5906176.3870000001</v>
      </c>
      <c r="D48" s="305">
        <f>(D49+C49)/2</f>
        <v>9540976.6059999987</v>
      </c>
      <c r="E48" s="305">
        <f t="shared" ref="E48" si="88">(E49+D49)/2</f>
        <v>20242695.412500001</v>
      </c>
      <c r="F48" s="305">
        <f t="shared" ref="F48" si="89">(F49+E49)/2</f>
        <v>29992576.5</v>
      </c>
      <c r="G48" s="305">
        <f t="shared" ref="G48" si="90">(G49+F49)/2</f>
        <v>36838463.595954999</v>
      </c>
      <c r="H48" s="305">
        <f>(H49+D49)/2</f>
        <v>14103254.9125</v>
      </c>
      <c r="I48" s="302">
        <f>(I49+H49)/2</f>
        <v>16655040.5</v>
      </c>
      <c r="J48" s="302">
        <f t="shared" ref="J48" si="91">(J49+I49)/2</f>
        <v>21978468</v>
      </c>
      <c r="K48" s="302">
        <f t="shared" ref="K48" si="92">(K49+J49)/2</f>
        <v>26493601</v>
      </c>
      <c r="L48" s="302">
        <f t="shared" ref="L48" si="93">(L49+K49)/2</f>
        <v>27179014.5</v>
      </c>
      <c r="M48" s="302">
        <f t="shared" ref="M48" si="94">(M49+L49)/2</f>
        <v>27600017.5</v>
      </c>
      <c r="N48" s="302">
        <f t="shared" ref="N48" si="95">(N49+M49)/2</f>
        <v>29831065</v>
      </c>
      <c r="O48" s="302">
        <f t="shared" ref="O48" si="96">(O49+N49)/2</f>
        <v>32093024.5</v>
      </c>
      <c r="P48" s="302">
        <f t="shared" ref="P48" si="97">(P49+O49)/2</f>
        <v>32837054.085489981</v>
      </c>
      <c r="Q48" s="302">
        <f t="shared" ref="Q48" si="98">(Q49+P49)/2</f>
        <v>33674355.469277278</v>
      </c>
      <c r="R48" s="302">
        <f t="shared" ref="R48" si="99">(R49+Q49)/2</f>
        <v>35635379.055952296</v>
      </c>
      <c r="S48" s="302">
        <f t="shared" ref="S48" si="100">(S49+R49)/2</f>
        <v>38961002.268119998</v>
      </c>
    </row>
    <row r="49" spans="2:19" ht="13" customHeight="1">
      <c r="B49" s="101" t="str">
        <f>IF('Summary | Sumário'!D$3=Names!B$3,Names!Z22,Names!AA22)</f>
        <v>IEP</v>
      </c>
      <c r="C49" s="301">
        <f>C50+C51+C52+C55</f>
        <v>5906176.3870000001</v>
      </c>
      <c r="D49" s="301">
        <f t="shared" ref="D49:S49" si="101">D50+D51+D52+D55</f>
        <v>13175776.824999999</v>
      </c>
      <c r="E49" s="301">
        <f t="shared" si="101"/>
        <v>27309614</v>
      </c>
      <c r="F49" s="301">
        <f t="shared" si="101"/>
        <v>32675539</v>
      </c>
      <c r="G49" s="301">
        <f t="shared" si="101"/>
        <v>41001388.191909999</v>
      </c>
      <c r="H49" s="301">
        <f t="shared" si="101"/>
        <v>15030733</v>
      </c>
      <c r="I49" s="301">
        <f t="shared" si="101"/>
        <v>18279348</v>
      </c>
      <c r="J49" s="301">
        <f t="shared" si="101"/>
        <v>25677588</v>
      </c>
      <c r="K49" s="301">
        <f t="shared" si="101"/>
        <v>27309614</v>
      </c>
      <c r="L49" s="301">
        <f t="shared" si="101"/>
        <v>27048415</v>
      </c>
      <c r="M49" s="301">
        <f t="shared" si="101"/>
        <v>28151620</v>
      </c>
      <c r="N49" s="301">
        <f t="shared" si="101"/>
        <v>31510510</v>
      </c>
      <c r="O49" s="301">
        <f t="shared" si="101"/>
        <v>32675539</v>
      </c>
      <c r="P49" s="301">
        <f t="shared" si="101"/>
        <v>32998569.170979962</v>
      </c>
      <c r="Q49" s="301">
        <f t="shared" si="101"/>
        <v>34350141.767574593</v>
      </c>
      <c r="R49" s="301">
        <f t="shared" si="101"/>
        <v>36920616.344329998</v>
      </c>
      <c r="S49" s="301">
        <f t="shared" si="101"/>
        <v>41001388.191909999</v>
      </c>
    </row>
    <row r="50" spans="2:19" ht="13" customHeight="1">
      <c r="B50" s="95" t="str">
        <f>IF('Summary | Sumário'!D$3=Names!B$3,Names!Z23,Names!AA23)</f>
        <v>Amounts due from financial institutions</v>
      </c>
      <c r="C50" s="302">
        <f t="shared" ref="C50:S50" si="102">C37</f>
        <v>256097</v>
      </c>
      <c r="D50" s="302">
        <f t="shared" si="102"/>
        <v>502369</v>
      </c>
      <c r="E50" s="302">
        <f t="shared" si="102"/>
        <v>2051862</v>
      </c>
      <c r="F50" s="302">
        <f t="shared" si="102"/>
        <v>4258856</v>
      </c>
      <c r="G50" s="302">
        <f t="shared" si="102"/>
        <v>3718505.7949100002</v>
      </c>
      <c r="H50" s="302">
        <f t="shared" si="102"/>
        <v>578499</v>
      </c>
      <c r="I50" s="302">
        <f t="shared" si="102"/>
        <v>646905</v>
      </c>
      <c r="J50" s="302">
        <f t="shared" si="102"/>
        <v>1408183</v>
      </c>
      <c r="K50" s="302">
        <f t="shared" si="102"/>
        <v>2051862</v>
      </c>
      <c r="L50" s="302">
        <f t="shared" si="102"/>
        <v>1807258</v>
      </c>
      <c r="M50" s="302">
        <f t="shared" si="102"/>
        <v>1825289</v>
      </c>
      <c r="N50" s="302">
        <f t="shared" si="102"/>
        <v>3417500</v>
      </c>
      <c r="O50" s="302">
        <f t="shared" si="102"/>
        <v>4258856</v>
      </c>
      <c r="P50" s="302">
        <f t="shared" si="102"/>
        <v>3770074</v>
      </c>
      <c r="Q50" s="302">
        <f t="shared" si="102"/>
        <v>2556811</v>
      </c>
      <c r="R50" s="302">
        <f t="shared" si="102"/>
        <v>3474243.8523399998</v>
      </c>
      <c r="S50" s="302">
        <f t="shared" si="102"/>
        <v>3718505.7949100002</v>
      </c>
    </row>
    <row r="51" spans="2:19" ht="13" customHeight="1">
      <c r="B51" s="100" t="str">
        <f>IF('Summary | Sumário'!D$3=Names!B$3,Names!Z24,Names!AA24)</f>
        <v>Securities</v>
      </c>
      <c r="C51" s="301">
        <f t="shared" ref="C51:F51" si="103">C38</f>
        <v>1155094</v>
      </c>
      <c r="D51" s="301">
        <f t="shared" si="103"/>
        <v>5812622</v>
      </c>
      <c r="E51" s="301">
        <f t="shared" si="103"/>
        <v>12757687</v>
      </c>
      <c r="F51" s="301">
        <f t="shared" si="103"/>
        <v>12448565</v>
      </c>
      <c r="G51" s="301">
        <f t="shared" ref="G51:S51" si="104">G38</f>
        <v>16868112</v>
      </c>
      <c r="H51" s="301">
        <f t="shared" si="104"/>
        <v>6619726</v>
      </c>
      <c r="I51" s="301">
        <f t="shared" si="104"/>
        <v>8230481</v>
      </c>
      <c r="J51" s="301">
        <f t="shared" si="104"/>
        <v>13241180</v>
      </c>
      <c r="K51" s="301">
        <f t="shared" si="104"/>
        <v>12757687</v>
      </c>
      <c r="L51" s="301">
        <f t="shared" si="104"/>
        <v>12335401</v>
      </c>
      <c r="M51" s="301">
        <f t="shared" si="104"/>
        <v>12710051</v>
      </c>
      <c r="N51" s="301">
        <f t="shared" si="104"/>
        <v>13373465</v>
      </c>
      <c r="O51" s="301">
        <f t="shared" si="104"/>
        <v>12448565</v>
      </c>
      <c r="P51" s="301">
        <f t="shared" si="104"/>
        <v>12535351</v>
      </c>
      <c r="Q51" s="301">
        <f t="shared" si="104"/>
        <v>14169684</v>
      </c>
      <c r="R51" s="301">
        <f t="shared" si="104"/>
        <v>14908297</v>
      </c>
      <c r="S51" s="301">
        <f t="shared" si="104"/>
        <v>16868112</v>
      </c>
    </row>
    <row r="52" spans="2:19" ht="13" customHeight="1">
      <c r="B52" s="98" t="str">
        <f>IF('Summary | Sumário'!D$3=Names!B$3,Names!Z25,Names!AA25)</f>
        <v>Net loans and advances to customers excluding non int. CC Receivables</v>
      </c>
      <c r="C52" s="302">
        <f>SUM(C53,-C54)</f>
        <v>4494985.3870000001</v>
      </c>
      <c r="D52" s="302">
        <f t="shared" ref="D52:S52" si="105">SUM(D53,-D54)</f>
        <v>6833272.8250000002</v>
      </c>
      <c r="E52" s="302">
        <f t="shared" si="105"/>
        <v>12413117</v>
      </c>
      <c r="F52" s="302">
        <f t="shared" si="105"/>
        <v>15968118</v>
      </c>
      <c r="G52" s="302">
        <f t="shared" si="105"/>
        <v>20410532.397</v>
      </c>
      <c r="H52" s="302">
        <f t="shared" si="105"/>
        <v>7813905</v>
      </c>
      <c r="I52" s="302">
        <f t="shared" si="105"/>
        <v>9390278</v>
      </c>
      <c r="J52" s="302">
        <f t="shared" si="105"/>
        <v>11020582</v>
      </c>
      <c r="K52" s="302">
        <f t="shared" si="105"/>
        <v>12413117</v>
      </c>
      <c r="L52" s="302">
        <f t="shared" si="105"/>
        <v>12895346</v>
      </c>
      <c r="M52" s="302">
        <f t="shared" si="105"/>
        <v>13613068</v>
      </c>
      <c r="N52" s="302">
        <f t="shared" si="105"/>
        <v>14718964</v>
      </c>
      <c r="O52" s="302">
        <f t="shared" si="105"/>
        <v>15968118</v>
      </c>
      <c r="P52" s="302">
        <f t="shared" si="105"/>
        <v>16692022.17097996</v>
      </c>
      <c r="Q52" s="302">
        <f t="shared" si="105"/>
        <v>17620021.767574593</v>
      </c>
      <c r="R52" s="302">
        <f t="shared" si="105"/>
        <v>18528686.954999998</v>
      </c>
      <c r="S52" s="302">
        <f t="shared" si="105"/>
        <v>20410532.397</v>
      </c>
    </row>
    <row r="53" spans="2:19" ht="13" customHeight="1">
      <c r="B53" s="103" t="str">
        <f>IF('Summary | Sumário'!D$3=Names!B$3,Names!Z26,Names!AA26)</f>
        <v>Net loans and advances to customers</v>
      </c>
      <c r="C53" s="301">
        <f t="shared" ref="C53:S53" si="106">C39</f>
        <v>4561824</v>
      </c>
      <c r="D53" s="301">
        <f t="shared" si="106"/>
        <v>8507703</v>
      </c>
      <c r="E53" s="301">
        <f t="shared" si="106"/>
        <v>16535430</v>
      </c>
      <c r="F53" s="301">
        <f t="shared" si="106"/>
        <v>21379916</v>
      </c>
      <c r="G53" s="301">
        <f t="shared" si="106"/>
        <v>27900543</v>
      </c>
      <c r="H53" s="301">
        <f t="shared" si="106"/>
        <v>9908120</v>
      </c>
      <c r="I53" s="301">
        <f t="shared" si="106"/>
        <v>12040483</v>
      </c>
      <c r="J53" s="301">
        <f t="shared" si="106"/>
        <v>14301537</v>
      </c>
      <c r="K53" s="301">
        <f t="shared" si="106"/>
        <v>16535430</v>
      </c>
      <c r="L53" s="301">
        <f t="shared" si="106"/>
        <v>17374632</v>
      </c>
      <c r="M53" s="301">
        <f t="shared" si="106"/>
        <v>18510189</v>
      </c>
      <c r="N53" s="301">
        <f t="shared" si="106"/>
        <v>19820903</v>
      </c>
      <c r="O53" s="301">
        <f t="shared" si="106"/>
        <v>21379916</v>
      </c>
      <c r="P53" s="301">
        <f t="shared" si="106"/>
        <v>22371167</v>
      </c>
      <c r="Q53" s="301">
        <f t="shared" si="106"/>
        <v>23523982</v>
      </c>
      <c r="R53" s="301">
        <f t="shared" si="106"/>
        <v>25296620</v>
      </c>
      <c r="S53" s="301">
        <f t="shared" si="106"/>
        <v>27900543</v>
      </c>
    </row>
    <row r="54" spans="2:19" ht="13" customHeight="1">
      <c r="B54" s="99" t="str">
        <f>IF('Summary | Sumário'!D$3=Names!B$3,Names!Z27,Names!AA27)</f>
        <v>(-) Non int. CC receivables</v>
      </c>
      <c r="C54" s="302">
        <v>66838.612999999998</v>
      </c>
      <c r="D54" s="302">
        <v>1674430.175</v>
      </c>
      <c r="E54" s="302">
        <v>4122313</v>
      </c>
      <c r="F54" s="302">
        <v>5411798</v>
      </c>
      <c r="G54" s="302">
        <v>7490010.6029999992</v>
      </c>
      <c r="H54" s="302">
        <v>2094215</v>
      </c>
      <c r="I54" s="302">
        <v>2650205</v>
      </c>
      <c r="J54" s="302">
        <v>3280955</v>
      </c>
      <c r="K54" s="302">
        <v>4122313</v>
      </c>
      <c r="L54" s="302">
        <v>4479286</v>
      </c>
      <c r="M54" s="302">
        <v>4897121</v>
      </c>
      <c r="N54" s="302">
        <v>5101939</v>
      </c>
      <c r="O54" s="302">
        <v>5411798</v>
      </c>
      <c r="P54" s="302">
        <v>5679144.8290200401</v>
      </c>
      <c r="Q54" s="302">
        <v>5903960.2324254084</v>
      </c>
      <c r="R54" s="302">
        <v>6767933.0449999999</v>
      </c>
      <c r="S54" s="302">
        <v>7490010.6029999992</v>
      </c>
    </row>
    <row r="55" spans="2:19" ht="13" customHeight="1">
      <c r="B55" s="100" t="str">
        <f>IF('Summary | Sumário'!D$3=Names!B$3,Names!Z28,Names!AA28)</f>
        <v>Derivative financial assets</v>
      </c>
      <c r="C55" s="301">
        <f t="shared" ref="C55:S55" si="107">C40</f>
        <v>0</v>
      </c>
      <c r="D55" s="301">
        <f t="shared" si="107"/>
        <v>27513</v>
      </c>
      <c r="E55" s="301">
        <f t="shared" si="107"/>
        <v>86948</v>
      </c>
      <c r="F55" s="301">
        <f t="shared" si="107"/>
        <v>0</v>
      </c>
      <c r="G55" s="301">
        <f t="shared" si="107"/>
        <v>4238</v>
      </c>
      <c r="H55" s="301">
        <f t="shared" si="107"/>
        <v>18603</v>
      </c>
      <c r="I55" s="301">
        <f t="shared" si="107"/>
        <v>11684</v>
      </c>
      <c r="J55" s="301">
        <f t="shared" si="107"/>
        <v>7643</v>
      </c>
      <c r="K55" s="301">
        <f t="shared" si="107"/>
        <v>86948</v>
      </c>
      <c r="L55" s="301">
        <f t="shared" si="107"/>
        <v>10410</v>
      </c>
      <c r="M55" s="301">
        <f t="shared" si="107"/>
        <v>3212</v>
      </c>
      <c r="N55" s="301">
        <f t="shared" si="107"/>
        <v>581</v>
      </c>
      <c r="O55" s="301">
        <f t="shared" si="107"/>
        <v>0</v>
      </c>
      <c r="P55" s="301">
        <f t="shared" si="107"/>
        <v>1122</v>
      </c>
      <c r="Q55" s="301">
        <f t="shared" si="107"/>
        <v>3625</v>
      </c>
      <c r="R55" s="301">
        <f t="shared" si="107"/>
        <v>9388.5369900000005</v>
      </c>
      <c r="S55" s="301">
        <f t="shared" si="107"/>
        <v>4238</v>
      </c>
    </row>
    <row r="56" spans="2:19" ht="13" customHeight="1">
      <c r="B56" s="436" t="str">
        <f>IF('Summary | Sumário'!D$3=Names!B$3,Names!Z37,Names!AA37)</f>
        <v>(=) Risk-adjusted NIM 2.0 - IEP (%)</v>
      </c>
      <c r="C56" s="464">
        <f t="shared" ref="C56:F56" si="108">C44/C48</f>
        <v>7.5680265998124177E-2</v>
      </c>
      <c r="D56" s="464">
        <f t="shared" si="108"/>
        <v>5.2643970939425237E-2</v>
      </c>
      <c r="E56" s="464">
        <f t="shared" si="108"/>
        <v>4.9098611906508612E-2</v>
      </c>
      <c r="F56" s="464">
        <f t="shared" si="108"/>
        <v>4.1750067120775683E-2</v>
      </c>
      <c r="G56" s="464">
        <f>G44/G48</f>
        <v>4.5238151576522001E-2</v>
      </c>
      <c r="H56" s="464">
        <f t="shared" ref="H56:S56" si="109">H44/H48</f>
        <v>5.2445179824725088E-2</v>
      </c>
      <c r="I56" s="464">
        <f t="shared" si="109"/>
        <v>3.2387732950874555E-2</v>
      </c>
      <c r="J56" s="464">
        <f t="shared" si="109"/>
        <v>5.6303265541529104E-2</v>
      </c>
      <c r="K56" s="464">
        <f t="shared" si="109"/>
        <v>5.5070759161806648E-2</v>
      </c>
      <c r="L56" s="464">
        <f t="shared" si="109"/>
        <v>3.3918026277222083E-2</v>
      </c>
      <c r="M56" s="464">
        <f t="shared" si="109"/>
        <v>4.617730941656107E-2</v>
      </c>
      <c r="N56" s="464">
        <f t="shared" si="109"/>
        <v>3.9217470914967335E-2</v>
      </c>
      <c r="O56" s="464">
        <f t="shared" si="109"/>
        <v>5.1179854612954906E-2</v>
      </c>
      <c r="P56" s="464">
        <f t="shared" si="109"/>
        <v>4.3960194609475138E-2</v>
      </c>
      <c r="Q56" s="464">
        <f t="shared" si="109"/>
        <v>4.7931429644513433E-2</v>
      </c>
      <c r="R56" s="464">
        <f t="shared" si="109"/>
        <v>4.6095548819078042E-2</v>
      </c>
      <c r="S56" s="464">
        <f t="shared" si="109"/>
        <v>5.0455692169103339E-2</v>
      </c>
    </row>
  </sheetData>
  <sheetProtection algorithmName="SHA-512" hashValue="aVEyfMMgk4ZhFZNEc5FCTTQpMduMHh2cq5Szoekw0FbcOPlP5wN1yAL5Q95edwd3ALda4QMy2Lt3fPDcTxB7nw==" saltValue="v+H3W8UdNLPX7Hw97ONrsw=="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322FF-BABF-5346-86FD-35375D07C9C5}">
  <sheetPr>
    <tabColor theme="5" tint="0.59999389629810485"/>
  </sheetPr>
  <dimension ref="A1:X40"/>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9" width="10.83203125" style="212" customWidth="1"/>
    <col min="20" max="16384" width="10.83203125" style="211"/>
  </cols>
  <sheetData>
    <row r="1" spans="2:23" ht="13" customHeight="1">
      <c r="T1" s="212"/>
    </row>
    <row r="2" spans="2:23" s="12" customFormat="1" ht="13" customHeight="1">
      <c r="B2" s="400" t="str">
        <f>IF('Summary | Sumário'!D$3=Names!B$3,Names!AV1,Names!AW1)</f>
        <v> Efficiency Ratio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28">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13"/>
      <c r="V2" s="14"/>
      <c r="W2" s="15"/>
    </row>
    <row r="3" spans="2:23" ht="13" customHeight="1">
      <c r="B3" s="78"/>
      <c r="C3" s="254"/>
      <c r="D3" s="254"/>
      <c r="E3" s="254"/>
      <c r="F3" s="254"/>
      <c r="G3" s="254"/>
      <c r="H3" s="254"/>
      <c r="I3" s="254"/>
      <c r="J3" s="254"/>
      <c r="K3" s="254"/>
      <c r="L3" s="254"/>
      <c r="M3" s="254"/>
      <c r="N3" s="254"/>
      <c r="O3" s="254"/>
      <c r="P3" s="254"/>
      <c r="Q3" s="254"/>
      <c r="R3" s="254"/>
      <c r="S3" s="254"/>
      <c r="T3" s="223"/>
    </row>
    <row r="4" spans="2:23" ht="13" customHeight="1">
      <c r="B4" s="5" t="str">
        <f>IF('Summary | Sumário'!D$3=Names!B$3,Names!AV3,Names!AW3)</f>
        <v>Efficiency ratio </v>
      </c>
      <c r="C4" s="290"/>
      <c r="D4" s="290"/>
      <c r="E4" s="290"/>
      <c r="F4" s="290"/>
      <c r="G4" s="290"/>
      <c r="H4" s="290"/>
      <c r="I4" s="290"/>
      <c r="J4" s="290"/>
      <c r="K4" s="290"/>
      <c r="L4" s="290"/>
      <c r="M4" s="290"/>
      <c r="N4" s="290"/>
      <c r="O4" s="290"/>
      <c r="P4" s="290"/>
      <c r="Q4" s="290"/>
      <c r="R4" s="290"/>
      <c r="S4" s="290"/>
    </row>
    <row r="5" spans="2:23" ht="13" customHeight="1">
      <c r="B5" s="438" t="str">
        <f>IF('Summary | Sumário'!D$3=Names!B$3,Names!AV4,Names!AW4)</f>
        <v>Total operational expenses</v>
      </c>
      <c r="C5" s="439">
        <f>SUM(C6:C8)</f>
        <v>572970</v>
      </c>
      <c r="D5" s="439">
        <f t="shared" ref="D5:P5" si="0">SUM(D6:D8)</f>
        <v>914082</v>
      </c>
      <c r="E5" s="439">
        <f t="shared" si="0"/>
        <v>1701818.2949999999</v>
      </c>
      <c r="F5" s="439">
        <f t="shared" si="0"/>
        <v>2392061</v>
      </c>
      <c r="G5" s="439">
        <f t="shared" ref="G5" si="1">SUM(G6:G8)</f>
        <v>2412527</v>
      </c>
      <c r="H5" s="439">
        <f t="shared" si="0"/>
        <v>320122.31299999997</v>
      </c>
      <c r="I5" s="439">
        <f t="shared" si="0"/>
        <v>391145</v>
      </c>
      <c r="J5" s="439">
        <f t="shared" si="0"/>
        <v>387488.18799999997</v>
      </c>
      <c r="K5" s="439">
        <f t="shared" si="0"/>
        <v>603062.79399999999</v>
      </c>
      <c r="L5" s="439">
        <f t="shared" si="0"/>
        <v>558404</v>
      </c>
      <c r="M5" s="439">
        <f t="shared" si="0"/>
        <v>556595</v>
      </c>
      <c r="N5" s="439">
        <f t="shared" si="0"/>
        <v>591798</v>
      </c>
      <c r="O5" s="439">
        <f t="shared" si="0"/>
        <v>685264</v>
      </c>
      <c r="P5" s="439">
        <f t="shared" si="0"/>
        <v>595604</v>
      </c>
      <c r="Q5" s="439">
        <f t="shared" ref="Q5:R5" si="2">SUM(Q6:Q8)</f>
        <v>575247</v>
      </c>
      <c r="R5" s="439">
        <f t="shared" si="2"/>
        <v>614129</v>
      </c>
      <c r="S5" s="439">
        <f t="shared" ref="S5" si="3">SUM(S6:S8)</f>
        <v>627547</v>
      </c>
    </row>
    <row r="6" spans="2:23" ht="13" customHeight="1">
      <c r="B6" s="95" t="str">
        <f>IF('Summary | Sumário'!D$3=Names!B$3,Names!AV5,Names!AW5)</f>
        <v>Personnel expenses</v>
      </c>
      <c r="C6" s="287">
        <v>169198</v>
      </c>
      <c r="D6" s="287">
        <v>229096</v>
      </c>
      <c r="E6" s="287">
        <v>443328</v>
      </c>
      <c r="F6" s="287">
        <v>733605</v>
      </c>
      <c r="G6" s="287">
        <v>790739</v>
      </c>
      <c r="H6" s="287">
        <v>81861</v>
      </c>
      <c r="I6" s="287">
        <v>93046</v>
      </c>
      <c r="J6" s="287">
        <v>121250</v>
      </c>
      <c r="K6" s="287">
        <v>147171</v>
      </c>
      <c r="L6" s="287">
        <v>145120</v>
      </c>
      <c r="M6" s="287">
        <v>172466</v>
      </c>
      <c r="N6" s="287">
        <v>176232</v>
      </c>
      <c r="O6" s="287">
        <v>239787</v>
      </c>
      <c r="P6" s="287">
        <v>172412</v>
      </c>
      <c r="Q6" s="287">
        <v>186249</v>
      </c>
      <c r="R6" s="287">
        <v>210661</v>
      </c>
      <c r="S6" s="287">
        <v>221417</v>
      </c>
    </row>
    <row r="7" spans="2:23" ht="13" customHeight="1">
      <c r="B7" s="100" t="str">
        <f>IF('Summary | Sumário'!D$3=Names!B$3,Names!AV6,Names!AW6)</f>
        <v>Administrative expenses</v>
      </c>
      <c r="C7" s="282">
        <v>386309</v>
      </c>
      <c r="D7" s="282">
        <v>641327</v>
      </c>
      <c r="E7" s="282">
        <v>1164239.7749999999</v>
      </c>
      <c r="F7" s="282">
        <v>1494484</v>
      </c>
      <c r="G7" s="282">
        <v>1461348</v>
      </c>
      <c r="H7" s="282">
        <v>219095.31299999999</v>
      </c>
      <c r="I7" s="282">
        <v>272761</v>
      </c>
      <c r="J7" s="282">
        <v>235355.18799999999</v>
      </c>
      <c r="K7" s="282">
        <v>437028.27399999998</v>
      </c>
      <c r="L7" s="282">
        <v>376806</v>
      </c>
      <c r="M7" s="282">
        <v>348618</v>
      </c>
      <c r="N7" s="282">
        <v>379946</v>
      </c>
      <c r="O7" s="282">
        <v>389114</v>
      </c>
      <c r="P7" s="282">
        <v>385615</v>
      </c>
      <c r="Q7" s="282">
        <v>347868</v>
      </c>
      <c r="R7" s="282">
        <v>362877</v>
      </c>
      <c r="S7" s="282">
        <v>364988</v>
      </c>
    </row>
    <row r="8" spans="2:23" ht="13" customHeight="1">
      <c r="B8" s="95" t="str">
        <f>IF('Summary | Sumário'!D$3=Names!B$3,Names!AV7,Names!AW7)</f>
        <v>Depreciation and amortization</v>
      </c>
      <c r="C8" s="287">
        <v>17463</v>
      </c>
      <c r="D8" s="287">
        <v>43659</v>
      </c>
      <c r="E8" s="287">
        <v>94250.52</v>
      </c>
      <c r="F8" s="287">
        <v>163972</v>
      </c>
      <c r="G8" s="287">
        <v>160440</v>
      </c>
      <c r="H8" s="287">
        <v>19166</v>
      </c>
      <c r="I8" s="287">
        <v>25338</v>
      </c>
      <c r="J8" s="287">
        <v>30883</v>
      </c>
      <c r="K8" s="287">
        <v>18863.520000000004</v>
      </c>
      <c r="L8" s="287">
        <v>36478</v>
      </c>
      <c r="M8" s="287">
        <v>35511</v>
      </c>
      <c r="N8" s="287">
        <v>35620</v>
      </c>
      <c r="O8" s="287">
        <v>56363</v>
      </c>
      <c r="P8" s="287">
        <v>37577</v>
      </c>
      <c r="Q8" s="287">
        <v>41130</v>
      </c>
      <c r="R8" s="287">
        <v>40591</v>
      </c>
      <c r="S8" s="287">
        <v>41142</v>
      </c>
    </row>
    <row r="9" spans="2:23" ht="13" customHeight="1">
      <c r="B9" s="84" t="str">
        <f>IF('Summary | Sumário'!D$3=Names!B$3,Names!AV8,Names!AW8)</f>
        <v>(÷) Total net revenues excluding tax expenses</v>
      </c>
      <c r="C9" s="282">
        <f t="shared" ref="C9:Q9" si="4">SUM(C10:C13)</f>
        <v>712223.66099999996</v>
      </c>
      <c r="D9" s="282">
        <f t="shared" si="4"/>
        <v>1011378.89518</v>
      </c>
      <c r="E9" s="282">
        <f t="shared" si="4"/>
        <v>2075102.0209999997</v>
      </c>
      <c r="F9" s="282">
        <f t="shared" si="4"/>
        <v>3314109.0819999995</v>
      </c>
      <c r="G9" s="282">
        <f t="shared" ref="G9" si="5">SUM(G10:G13)</f>
        <v>4425992</v>
      </c>
      <c r="H9" s="282">
        <f t="shared" si="4"/>
        <v>389231.24800000002</v>
      </c>
      <c r="I9" s="282">
        <f t="shared" si="4"/>
        <v>437040.75100000005</v>
      </c>
      <c r="J9" s="282">
        <f t="shared" si="4"/>
        <v>565864.06799999997</v>
      </c>
      <c r="K9" s="282">
        <f t="shared" si="4"/>
        <v>682964.95399999991</v>
      </c>
      <c r="L9" s="282">
        <f t="shared" si="4"/>
        <v>776827.63199999998</v>
      </c>
      <c r="M9" s="282">
        <f t="shared" si="4"/>
        <v>815420.6370000001</v>
      </c>
      <c r="N9" s="282">
        <f t="shared" si="4"/>
        <v>788759.73100000003</v>
      </c>
      <c r="O9" s="282">
        <f t="shared" si="4"/>
        <v>933101.08199999994</v>
      </c>
      <c r="P9" s="282">
        <f t="shared" si="4"/>
        <v>955242.82200000004</v>
      </c>
      <c r="Q9" s="282">
        <f t="shared" si="4"/>
        <v>1077571</v>
      </c>
      <c r="R9" s="282">
        <f t="shared" ref="R9:S9" si="6">SUM(R10:R13)</f>
        <v>1171423.5890200001</v>
      </c>
      <c r="S9" s="282">
        <f t="shared" si="6"/>
        <v>1221755.5839799999</v>
      </c>
    </row>
    <row r="10" spans="2:23" ht="13" customHeight="1">
      <c r="B10" s="86" t="str">
        <f>IF('Summary | Sumário'!D$3=Names!B$3,Names!AV9,Names!AW9)</f>
        <v>Net interest income</v>
      </c>
      <c r="C10" s="287">
        <v>585551</v>
      </c>
      <c r="D10" s="287">
        <v>715962.89517999999</v>
      </c>
      <c r="E10" s="287">
        <v>1589469.2459999998</v>
      </c>
      <c r="F10" s="287">
        <v>2335429.0819999995</v>
      </c>
      <c r="G10" s="287">
        <v>3208088</v>
      </c>
      <c r="H10" s="287">
        <v>291580.935</v>
      </c>
      <c r="I10" s="287">
        <v>302295.75100000005</v>
      </c>
      <c r="J10" s="287">
        <v>447369.88</v>
      </c>
      <c r="K10" s="287">
        <v>548221.67999999993</v>
      </c>
      <c r="L10" s="287">
        <v>543410.63199999998</v>
      </c>
      <c r="M10" s="287">
        <v>561087.6370000001</v>
      </c>
      <c r="N10" s="287">
        <v>555587.73100000003</v>
      </c>
      <c r="O10" s="287">
        <v>675343.08199999994</v>
      </c>
      <c r="P10" s="287">
        <v>711561.82200000004</v>
      </c>
      <c r="Q10" s="287">
        <v>802075</v>
      </c>
      <c r="R10" s="287">
        <v>818557.08874000004</v>
      </c>
      <c r="S10" s="287">
        <v>875895.08425999992</v>
      </c>
    </row>
    <row r="11" spans="2:23" ht="13" customHeight="1">
      <c r="B11" s="101" t="str">
        <f>IF('Summary | Sumário'!D$3=Names!B$3,Names!AV10,Names!AW10)</f>
        <v>Net result from services and commissions</v>
      </c>
      <c r="C11" s="282">
        <v>73829.660999999993</v>
      </c>
      <c r="D11" s="282">
        <v>185534</v>
      </c>
      <c r="E11" s="282">
        <v>442272</v>
      </c>
      <c r="F11" s="282">
        <v>838806</v>
      </c>
      <c r="G11" s="282">
        <v>1168800</v>
      </c>
      <c r="H11" s="282">
        <v>77686</v>
      </c>
      <c r="I11" s="282">
        <v>89070</v>
      </c>
      <c r="J11" s="282">
        <v>122853</v>
      </c>
      <c r="K11" s="282">
        <v>152663</v>
      </c>
      <c r="L11" s="282">
        <v>177703</v>
      </c>
      <c r="M11" s="282">
        <v>204561</v>
      </c>
      <c r="N11" s="282">
        <v>217029</v>
      </c>
      <c r="O11" s="282">
        <v>239513</v>
      </c>
      <c r="P11" s="282">
        <v>246675</v>
      </c>
      <c r="Q11" s="282">
        <v>266801</v>
      </c>
      <c r="R11" s="282">
        <v>315509</v>
      </c>
      <c r="S11" s="282">
        <v>339815</v>
      </c>
    </row>
    <row r="12" spans="2:23" ht="13" customHeight="1">
      <c r="B12" s="97" t="str">
        <f>IF('Summary | Sumário'!D$3=Names!B$3,Names!AV12,Names!AW12)</f>
        <v>Other revenues</v>
      </c>
      <c r="C12" s="287">
        <v>52843</v>
      </c>
      <c r="D12" s="287">
        <v>109882</v>
      </c>
      <c r="E12" s="287">
        <v>190082</v>
      </c>
      <c r="F12" s="287">
        <v>388462</v>
      </c>
      <c r="G12" s="287">
        <v>375688</v>
      </c>
      <c r="H12" s="287">
        <v>47499</v>
      </c>
      <c r="I12" s="287">
        <v>76048</v>
      </c>
      <c r="J12" s="287">
        <v>36287</v>
      </c>
      <c r="K12" s="287">
        <v>30248</v>
      </c>
      <c r="L12" s="287">
        <v>112407</v>
      </c>
      <c r="M12" s="287">
        <v>111372</v>
      </c>
      <c r="N12" s="287">
        <v>77687</v>
      </c>
      <c r="O12" s="287">
        <v>86996</v>
      </c>
      <c r="P12" s="287">
        <v>65877</v>
      </c>
      <c r="Q12" s="287">
        <v>81158</v>
      </c>
      <c r="R12" s="287">
        <v>131429.50028000001</v>
      </c>
      <c r="S12" s="287">
        <v>97223.499719999993</v>
      </c>
    </row>
    <row r="13" spans="2:23" ht="13" customHeight="1">
      <c r="B13" s="101" t="str">
        <f>IF('Summary | Sumário'!D$3=Names!B$3,Names!AV13,Names!AW13)</f>
        <v>Tax expenses</v>
      </c>
      <c r="C13" s="282">
        <v>0</v>
      </c>
      <c r="D13" s="282">
        <v>0</v>
      </c>
      <c r="E13" s="282">
        <v>-146721.22500000001</v>
      </c>
      <c r="F13" s="282">
        <v>-248588</v>
      </c>
      <c r="G13" s="282">
        <v>-326584</v>
      </c>
      <c r="H13" s="282">
        <v>-27534.687000000002</v>
      </c>
      <c r="I13" s="282">
        <v>-30373</v>
      </c>
      <c r="J13" s="282">
        <v>-40645.811999999998</v>
      </c>
      <c r="K13" s="282">
        <v>-48167.726000000002</v>
      </c>
      <c r="L13" s="282">
        <v>-56693</v>
      </c>
      <c r="M13" s="282">
        <v>-61600</v>
      </c>
      <c r="N13" s="282">
        <v>-61544</v>
      </c>
      <c r="O13" s="282">
        <v>-68751</v>
      </c>
      <c r="P13" s="282">
        <v>-68871</v>
      </c>
      <c r="Q13" s="282">
        <v>-72463</v>
      </c>
      <c r="R13" s="282">
        <v>-94072</v>
      </c>
      <c r="S13" s="282">
        <v>-91178</v>
      </c>
    </row>
    <row r="14" spans="2:23" ht="13" customHeight="1">
      <c r="B14" s="436" t="str">
        <f>IF('Summary | Sumário'!D$3=Names!B$3,Names!AV14,Names!AW14)</f>
        <v> (=) Efficiency ratio (%)</v>
      </c>
      <c r="C14" s="464">
        <f>C5/C9</f>
        <v>0.80448043413149117</v>
      </c>
      <c r="D14" s="464">
        <f t="shared" ref="D14:P14" si="7">D5/D9</f>
        <v>0.90379777979974207</v>
      </c>
      <c r="E14" s="464">
        <f t="shared" si="7"/>
        <v>0.82011307288876678</v>
      </c>
      <c r="F14" s="464">
        <f t="shared" si="7"/>
        <v>0.72178100986236648</v>
      </c>
      <c r="G14" s="464">
        <f t="shared" ref="G14" si="8">G5/G9</f>
        <v>0.54508164497360145</v>
      </c>
      <c r="H14" s="464">
        <f t="shared" si="7"/>
        <v>0.82244761859407534</v>
      </c>
      <c r="I14" s="464">
        <f t="shared" si="7"/>
        <v>0.89498519098050877</v>
      </c>
      <c r="J14" s="464">
        <f t="shared" si="7"/>
        <v>0.68477256272790943</v>
      </c>
      <c r="K14" s="464">
        <f t="shared" si="7"/>
        <v>0.88300693976751266</v>
      </c>
      <c r="L14" s="464">
        <f t="shared" si="7"/>
        <v>0.71882612950101654</v>
      </c>
      <c r="M14" s="464">
        <f t="shared" si="7"/>
        <v>0.68258635450748339</v>
      </c>
      <c r="N14" s="464">
        <f t="shared" si="7"/>
        <v>0.75028931719132097</v>
      </c>
      <c r="O14" s="464">
        <f t="shared" si="7"/>
        <v>0.73439417574268773</v>
      </c>
      <c r="P14" s="464">
        <f t="shared" si="7"/>
        <v>0.62351057373347107</v>
      </c>
      <c r="Q14" s="464">
        <f t="shared" ref="Q14:R14" si="9">Q5/Q9</f>
        <v>0.53383674950420901</v>
      </c>
      <c r="R14" s="464">
        <f t="shared" si="9"/>
        <v>0.52425869323134722</v>
      </c>
      <c r="S14" s="464">
        <f t="shared" ref="S14" si="10">S5/S9</f>
        <v>0.5136436519943689</v>
      </c>
      <c r="U14" s="293"/>
      <c r="V14" s="293"/>
    </row>
    <row r="15" spans="2:23" ht="13" customHeight="1">
      <c r="B15" s="186"/>
      <c r="C15" s="294"/>
      <c r="D15" s="294"/>
      <c r="E15" s="294"/>
      <c r="F15" s="294"/>
      <c r="G15" s="294"/>
      <c r="H15" s="294"/>
      <c r="I15" s="294"/>
      <c r="J15" s="294"/>
      <c r="K15" s="294"/>
      <c r="L15" s="294"/>
      <c r="M15" s="294"/>
      <c r="N15" s="294"/>
      <c r="O15" s="294"/>
      <c r="P15" s="294"/>
      <c r="Q15" s="294"/>
      <c r="R15" s="294"/>
      <c r="S15" s="294"/>
    </row>
    <row r="16" spans="2:23" ht="13" customHeight="1">
      <c r="B16" s="5" t="str">
        <f>IF('Summary | Sumário'!D$3=Names!B$3,Names!AV17,Names!AW17)</f>
        <v>Personnel efficiency ratio </v>
      </c>
      <c r="C16" s="290"/>
      <c r="D16" s="290"/>
      <c r="E16" s="290"/>
      <c r="F16" s="290"/>
      <c r="G16" s="290"/>
      <c r="H16" s="290"/>
      <c r="I16" s="290"/>
      <c r="J16" s="290"/>
      <c r="K16" s="290"/>
      <c r="L16" s="290"/>
      <c r="M16" s="290"/>
      <c r="N16" s="290"/>
      <c r="O16" s="290"/>
      <c r="P16" s="290"/>
      <c r="Q16" s="290"/>
      <c r="R16" s="290"/>
      <c r="S16" s="290"/>
    </row>
    <row r="17" spans="1:24" ht="13" customHeight="1">
      <c r="B17" s="466" t="str">
        <f>IF('Summary | Sumário'!D$3=Names!B$3,Names!AV18,Names!AW18)</f>
        <v>Personnel expenses</v>
      </c>
      <c r="C17" s="467">
        <f>C6</f>
        <v>169198</v>
      </c>
      <c r="D17" s="467">
        <f t="shared" ref="D17:Q17" si="11">D6</f>
        <v>229096</v>
      </c>
      <c r="E17" s="467">
        <f t="shared" si="11"/>
        <v>443328</v>
      </c>
      <c r="F17" s="467">
        <f t="shared" si="11"/>
        <v>733605</v>
      </c>
      <c r="G17" s="467">
        <f t="shared" ref="G17" si="12">G6</f>
        <v>790739</v>
      </c>
      <c r="H17" s="467">
        <f t="shared" si="11"/>
        <v>81861</v>
      </c>
      <c r="I17" s="467">
        <f t="shared" si="11"/>
        <v>93046</v>
      </c>
      <c r="J17" s="467">
        <f t="shared" si="11"/>
        <v>121250</v>
      </c>
      <c r="K17" s="467">
        <f t="shared" si="11"/>
        <v>147171</v>
      </c>
      <c r="L17" s="467">
        <f t="shared" si="11"/>
        <v>145120</v>
      </c>
      <c r="M17" s="467">
        <f t="shared" si="11"/>
        <v>172466</v>
      </c>
      <c r="N17" s="467">
        <f t="shared" si="11"/>
        <v>176232</v>
      </c>
      <c r="O17" s="467">
        <f t="shared" si="11"/>
        <v>239787</v>
      </c>
      <c r="P17" s="467">
        <f t="shared" si="11"/>
        <v>172412</v>
      </c>
      <c r="Q17" s="467">
        <f t="shared" si="11"/>
        <v>186249</v>
      </c>
      <c r="R17" s="467">
        <f t="shared" ref="R17:S17" si="13">R6</f>
        <v>210661</v>
      </c>
      <c r="S17" s="467">
        <f t="shared" si="13"/>
        <v>221417</v>
      </c>
    </row>
    <row r="18" spans="1:24" ht="13" customHeight="1">
      <c r="B18" s="96" t="str">
        <f>IF('Summary | Sumário'!D$3=Names!B$3,Names!AV19,Names!AW19)</f>
        <v>(÷) Total net revenues excluding tax expenses</v>
      </c>
      <c r="C18" s="287">
        <f>C9</f>
        <v>712223.66099999996</v>
      </c>
      <c r="D18" s="287">
        <f t="shared" ref="D18:Q18" si="14">D9</f>
        <v>1011378.89518</v>
      </c>
      <c r="E18" s="287">
        <f t="shared" si="14"/>
        <v>2075102.0209999997</v>
      </c>
      <c r="F18" s="287">
        <f t="shared" si="14"/>
        <v>3314109.0819999995</v>
      </c>
      <c r="G18" s="287">
        <f t="shared" ref="G18" si="15">G9</f>
        <v>4425992</v>
      </c>
      <c r="H18" s="287">
        <f t="shared" si="14"/>
        <v>389231.24800000002</v>
      </c>
      <c r="I18" s="287">
        <f t="shared" si="14"/>
        <v>437040.75100000005</v>
      </c>
      <c r="J18" s="287">
        <f t="shared" si="14"/>
        <v>565864.06799999997</v>
      </c>
      <c r="K18" s="287">
        <f t="shared" si="14"/>
        <v>682964.95399999991</v>
      </c>
      <c r="L18" s="287">
        <f t="shared" si="14"/>
        <v>776827.63199999998</v>
      </c>
      <c r="M18" s="287">
        <f t="shared" si="14"/>
        <v>815420.6370000001</v>
      </c>
      <c r="N18" s="287">
        <f t="shared" si="14"/>
        <v>788759.73100000003</v>
      </c>
      <c r="O18" s="287">
        <f t="shared" si="14"/>
        <v>933101.08199999994</v>
      </c>
      <c r="P18" s="287">
        <f t="shared" si="14"/>
        <v>955242.82200000004</v>
      </c>
      <c r="Q18" s="287">
        <f t="shared" si="14"/>
        <v>1077571</v>
      </c>
      <c r="R18" s="287">
        <f t="shared" ref="R18:S18" si="16">R9</f>
        <v>1171423.5890200001</v>
      </c>
      <c r="S18" s="287">
        <f t="shared" si="16"/>
        <v>1221755.5839799999</v>
      </c>
    </row>
    <row r="19" spans="1:24" ht="13" customHeight="1">
      <c r="B19" s="187" t="str">
        <f>IF('Summary | Sumário'!D$3=Names!B$3,Names!AV20,Names!AW20)</f>
        <v>Net interest income</v>
      </c>
      <c r="C19" s="295">
        <f t="shared" ref="C19:Q22" si="17">C10</f>
        <v>585551</v>
      </c>
      <c r="D19" s="295">
        <f t="shared" si="17"/>
        <v>715962.89517999999</v>
      </c>
      <c r="E19" s="295">
        <f t="shared" si="17"/>
        <v>1589469.2459999998</v>
      </c>
      <c r="F19" s="295">
        <f t="shared" si="17"/>
        <v>2335429.0819999995</v>
      </c>
      <c r="G19" s="295">
        <f t="shared" ref="G19" si="18">G10</f>
        <v>3208088</v>
      </c>
      <c r="H19" s="295">
        <f t="shared" si="17"/>
        <v>291580.935</v>
      </c>
      <c r="I19" s="295">
        <f t="shared" si="17"/>
        <v>302295.75100000005</v>
      </c>
      <c r="J19" s="295">
        <f t="shared" si="17"/>
        <v>447369.88</v>
      </c>
      <c r="K19" s="295">
        <f t="shared" si="17"/>
        <v>548221.67999999993</v>
      </c>
      <c r="L19" s="295">
        <f t="shared" si="17"/>
        <v>543410.63199999998</v>
      </c>
      <c r="M19" s="295">
        <f t="shared" si="17"/>
        <v>561087.6370000001</v>
      </c>
      <c r="N19" s="295">
        <f t="shared" si="17"/>
        <v>555587.73100000003</v>
      </c>
      <c r="O19" s="295">
        <f t="shared" si="17"/>
        <v>675343.08199999994</v>
      </c>
      <c r="P19" s="295">
        <f t="shared" si="17"/>
        <v>711561.82200000004</v>
      </c>
      <c r="Q19" s="295">
        <f t="shared" si="17"/>
        <v>802075</v>
      </c>
      <c r="R19" s="295">
        <f t="shared" ref="R19:S19" si="19">R10</f>
        <v>818557.08874000004</v>
      </c>
      <c r="S19" s="295">
        <f t="shared" si="19"/>
        <v>875895.08425999992</v>
      </c>
    </row>
    <row r="20" spans="1:24" ht="13" customHeight="1">
      <c r="B20" s="97" t="str">
        <f>IF('Summary | Sumário'!D$3=Names!B$3,Names!AV21,Names!AW21)</f>
        <v>Net result from services and commissions</v>
      </c>
      <c r="C20" s="287">
        <f t="shared" si="17"/>
        <v>73829.660999999993</v>
      </c>
      <c r="D20" s="287">
        <f t="shared" si="17"/>
        <v>185534</v>
      </c>
      <c r="E20" s="287">
        <f t="shared" si="17"/>
        <v>442272</v>
      </c>
      <c r="F20" s="287">
        <f t="shared" si="17"/>
        <v>838806</v>
      </c>
      <c r="G20" s="287">
        <f t="shared" ref="G20" si="20">G11</f>
        <v>1168800</v>
      </c>
      <c r="H20" s="287">
        <f t="shared" si="17"/>
        <v>77686</v>
      </c>
      <c r="I20" s="287">
        <f t="shared" si="17"/>
        <v>89070</v>
      </c>
      <c r="J20" s="287">
        <f t="shared" si="17"/>
        <v>122853</v>
      </c>
      <c r="K20" s="287">
        <f t="shared" si="17"/>
        <v>152663</v>
      </c>
      <c r="L20" s="287">
        <f t="shared" si="17"/>
        <v>177703</v>
      </c>
      <c r="M20" s="287">
        <f t="shared" si="17"/>
        <v>204561</v>
      </c>
      <c r="N20" s="287">
        <f t="shared" si="17"/>
        <v>217029</v>
      </c>
      <c r="O20" s="287">
        <f t="shared" si="17"/>
        <v>239513</v>
      </c>
      <c r="P20" s="287">
        <f t="shared" si="17"/>
        <v>246675</v>
      </c>
      <c r="Q20" s="287">
        <f t="shared" si="17"/>
        <v>266801</v>
      </c>
      <c r="R20" s="287">
        <f t="shared" ref="R20:S20" si="21">R11</f>
        <v>315509</v>
      </c>
      <c r="S20" s="287">
        <f t="shared" si="21"/>
        <v>339815</v>
      </c>
    </row>
    <row r="21" spans="1:24" ht="13" customHeight="1">
      <c r="B21" s="187" t="str">
        <f>IF('Summary | Sumário'!D$3=Names!B$3,Names!AV23,Names!AW23)</f>
        <v>Other revenues</v>
      </c>
      <c r="C21" s="295">
        <f t="shared" si="17"/>
        <v>52843</v>
      </c>
      <c r="D21" s="295">
        <f t="shared" si="17"/>
        <v>109882</v>
      </c>
      <c r="E21" s="295">
        <f t="shared" si="17"/>
        <v>190082</v>
      </c>
      <c r="F21" s="295">
        <f t="shared" si="17"/>
        <v>388462</v>
      </c>
      <c r="G21" s="295">
        <f t="shared" ref="G21" si="22">G12</f>
        <v>375688</v>
      </c>
      <c r="H21" s="295">
        <f t="shared" si="17"/>
        <v>47499</v>
      </c>
      <c r="I21" s="295">
        <f t="shared" si="17"/>
        <v>76048</v>
      </c>
      <c r="J21" s="295">
        <f t="shared" si="17"/>
        <v>36287</v>
      </c>
      <c r="K21" s="295">
        <f t="shared" si="17"/>
        <v>30248</v>
      </c>
      <c r="L21" s="295">
        <f t="shared" si="17"/>
        <v>112407</v>
      </c>
      <c r="M21" s="295">
        <f t="shared" si="17"/>
        <v>111372</v>
      </c>
      <c r="N21" s="295">
        <f t="shared" si="17"/>
        <v>77687</v>
      </c>
      <c r="O21" s="295">
        <f t="shared" si="17"/>
        <v>86996</v>
      </c>
      <c r="P21" s="295">
        <f t="shared" si="17"/>
        <v>65877</v>
      </c>
      <c r="Q21" s="295">
        <f t="shared" si="17"/>
        <v>81158</v>
      </c>
      <c r="R21" s="295">
        <f t="shared" ref="R21:S21" si="23">R12</f>
        <v>131429.50028000001</v>
      </c>
      <c r="S21" s="295">
        <f t="shared" si="23"/>
        <v>97223.499719999993</v>
      </c>
    </row>
    <row r="22" spans="1:24" ht="13" customHeight="1">
      <c r="B22" s="97" t="str">
        <f>IF('Summary | Sumário'!D$3=Names!B$3,Names!AV24,Names!AW24)</f>
        <v>Tax expenses</v>
      </c>
      <c r="C22" s="287">
        <f t="shared" si="17"/>
        <v>0</v>
      </c>
      <c r="D22" s="287">
        <f t="shared" si="17"/>
        <v>0</v>
      </c>
      <c r="E22" s="287">
        <f t="shared" si="17"/>
        <v>-146721.22500000001</v>
      </c>
      <c r="F22" s="287">
        <f t="shared" si="17"/>
        <v>-248588</v>
      </c>
      <c r="G22" s="287">
        <f t="shared" ref="G22" si="24">G13</f>
        <v>-326584</v>
      </c>
      <c r="H22" s="287">
        <f t="shared" si="17"/>
        <v>-27534.687000000002</v>
      </c>
      <c r="I22" s="287">
        <f t="shared" si="17"/>
        <v>-30373</v>
      </c>
      <c r="J22" s="287">
        <f t="shared" si="17"/>
        <v>-40645.811999999998</v>
      </c>
      <c r="K22" s="287">
        <f t="shared" si="17"/>
        <v>-48167.726000000002</v>
      </c>
      <c r="L22" s="287">
        <f t="shared" si="17"/>
        <v>-56693</v>
      </c>
      <c r="M22" s="287">
        <f t="shared" si="17"/>
        <v>-61600</v>
      </c>
      <c r="N22" s="287">
        <f t="shared" si="17"/>
        <v>-61544</v>
      </c>
      <c r="O22" s="287">
        <f t="shared" si="17"/>
        <v>-68751</v>
      </c>
      <c r="P22" s="287">
        <f t="shared" si="17"/>
        <v>-68871</v>
      </c>
      <c r="Q22" s="287">
        <f t="shared" si="17"/>
        <v>-72463</v>
      </c>
      <c r="R22" s="287">
        <f t="shared" ref="R22:S22" si="25">R13</f>
        <v>-94072</v>
      </c>
      <c r="S22" s="287">
        <f t="shared" si="25"/>
        <v>-91178</v>
      </c>
    </row>
    <row r="23" spans="1:24" ht="13" customHeight="1">
      <c r="B23" s="468" t="str">
        <f>IF('Summary | Sumário'!D$3=Names!B$3,Names!AV25,Names!AW25)</f>
        <v> (=) Personnel efficiency ratio (%)</v>
      </c>
      <c r="C23" s="469">
        <f t="shared" ref="C23:P23" si="26">C17/C18</f>
        <v>0.23756301463284299</v>
      </c>
      <c r="D23" s="469">
        <f t="shared" si="26"/>
        <v>0.22651847007270867</v>
      </c>
      <c r="E23" s="469">
        <f t="shared" si="26"/>
        <v>0.21364154413302461</v>
      </c>
      <c r="F23" s="469">
        <f t="shared" si="26"/>
        <v>0.22135813331686832</v>
      </c>
      <c r="G23" s="469">
        <f t="shared" ref="G23" si="27">G17/G18</f>
        <v>0.17865802739815165</v>
      </c>
      <c r="H23" s="469">
        <f t="shared" si="26"/>
        <v>0.21031456343916149</v>
      </c>
      <c r="I23" s="469">
        <f t="shared" si="26"/>
        <v>0.21290005517128538</v>
      </c>
      <c r="J23" s="469">
        <f t="shared" si="26"/>
        <v>0.21427407544809862</v>
      </c>
      <c r="K23" s="469">
        <f t="shared" si="26"/>
        <v>0.215488363111528</v>
      </c>
      <c r="L23" s="469">
        <f t="shared" si="26"/>
        <v>0.18681106853315435</v>
      </c>
      <c r="M23" s="469">
        <f t="shared" si="26"/>
        <v>0.21150556188339389</v>
      </c>
      <c r="N23" s="469">
        <f t="shared" si="26"/>
        <v>0.22342925617737958</v>
      </c>
      <c r="O23" s="469">
        <f t="shared" si="26"/>
        <v>0.25697858959293329</v>
      </c>
      <c r="P23" s="469">
        <f t="shared" si="26"/>
        <v>0.18049023350839688</v>
      </c>
      <c r="Q23" s="469">
        <f>Q17/Q18</f>
        <v>0.17284151113940521</v>
      </c>
      <c r="R23" s="469">
        <f>R17/R18</f>
        <v>0.17983332585630843</v>
      </c>
      <c r="S23" s="469">
        <f>S17/S18</f>
        <v>0.18122855577930766</v>
      </c>
    </row>
    <row r="24" spans="1:24" ht="13" customHeight="1">
      <c r="B24" s="104"/>
      <c r="C24" s="211"/>
      <c r="D24" s="211"/>
      <c r="E24" s="211"/>
      <c r="F24" s="211"/>
      <c r="G24" s="211"/>
      <c r="H24" s="211"/>
      <c r="I24" s="211"/>
      <c r="J24" s="211"/>
      <c r="K24" s="211"/>
      <c r="L24" s="211"/>
      <c r="M24" s="211"/>
      <c r="N24" s="211"/>
      <c r="O24" s="211"/>
      <c r="P24" s="211"/>
      <c r="Q24" s="211"/>
      <c r="R24" s="211"/>
      <c r="S24" s="211"/>
    </row>
    <row r="25" spans="1:24" ht="13" customHeight="1">
      <c r="B25" s="465" t="str">
        <f>IF('Summary | Sumário'!D$3=Names!B$3,Names!AV27,Names!AW27)</f>
        <v>Administrative efficiency ratio </v>
      </c>
      <c r="C25" s="396"/>
      <c r="D25" s="396"/>
      <c r="E25" s="396"/>
      <c r="F25" s="396"/>
      <c r="G25" s="396"/>
      <c r="H25" s="396"/>
      <c r="I25" s="396"/>
      <c r="J25" s="396"/>
      <c r="K25" s="396"/>
      <c r="L25" s="396"/>
      <c r="M25" s="396"/>
      <c r="N25" s="396"/>
      <c r="O25" s="396"/>
      <c r="P25" s="396"/>
      <c r="Q25" s="396"/>
      <c r="R25" s="396"/>
      <c r="S25" s="396"/>
    </row>
    <row r="26" spans="1:24" ht="13" customHeight="1">
      <c r="B26" s="470" t="str">
        <f>IF('Summary | Sumário'!D$3=Names!B$3,Names!AV37,Names!AW37)</f>
        <v>Administrative expenses + D&amp;A</v>
      </c>
      <c r="C26" s="442">
        <f t="shared" ref="C26:Q26" si="28">SUM(C27:C28)</f>
        <v>403772</v>
      </c>
      <c r="D26" s="442">
        <f t="shared" si="28"/>
        <v>684986</v>
      </c>
      <c r="E26" s="442">
        <f t="shared" si="28"/>
        <v>1258490.2949999999</v>
      </c>
      <c r="F26" s="442">
        <f t="shared" si="28"/>
        <v>1658456</v>
      </c>
      <c r="G26" s="442">
        <f t="shared" ref="G26" si="29">SUM(G27:G28)</f>
        <v>1621788</v>
      </c>
      <c r="H26" s="442">
        <f t="shared" si="28"/>
        <v>238261.31299999999</v>
      </c>
      <c r="I26" s="442">
        <f t="shared" si="28"/>
        <v>298099</v>
      </c>
      <c r="J26" s="442">
        <f t="shared" si="28"/>
        <v>266238.18799999997</v>
      </c>
      <c r="K26" s="442">
        <f t="shared" si="28"/>
        <v>455891.79399999999</v>
      </c>
      <c r="L26" s="442">
        <f t="shared" si="28"/>
        <v>413284</v>
      </c>
      <c r="M26" s="442">
        <f t="shared" si="28"/>
        <v>384129</v>
      </c>
      <c r="N26" s="442">
        <f t="shared" si="28"/>
        <v>415566</v>
      </c>
      <c r="O26" s="442">
        <f t="shared" si="28"/>
        <v>445477</v>
      </c>
      <c r="P26" s="442">
        <f t="shared" si="28"/>
        <v>423192</v>
      </c>
      <c r="Q26" s="442">
        <f t="shared" si="28"/>
        <v>388998</v>
      </c>
      <c r="R26" s="442">
        <f t="shared" ref="R26:S26" si="30">SUM(R27:R28)</f>
        <v>403468</v>
      </c>
      <c r="S26" s="442">
        <f t="shared" si="30"/>
        <v>406130</v>
      </c>
    </row>
    <row r="27" spans="1:24" ht="13" customHeight="1">
      <c r="B27" s="199" t="str">
        <f>IF('Summary | Sumário'!D$3=Names!B$3,Names!AV28,Names!AW28)</f>
        <v>Administrative expenses</v>
      </c>
      <c r="C27" s="297">
        <f t="shared" ref="C27:Q27" si="31">C7</f>
        <v>386309</v>
      </c>
      <c r="D27" s="297">
        <f t="shared" si="31"/>
        <v>641327</v>
      </c>
      <c r="E27" s="297">
        <f t="shared" si="31"/>
        <v>1164239.7749999999</v>
      </c>
      <c r="F27" s="297">
        <f t="shared" si="31"/>
        <v>1494484</v>
      </c>
      <c r="G27" s="297">
        <f t="shared" ref="G27" si="32">G7</f>
        <v>1461348</v>
      </c>
      <c r="H27" s="297">
        <f t="shared" si="31"/>
        <v>219095.31299999999</v>
      </c>
      <c r="I27" s="297">
        <f t="shared" si="31"/>
        <v>272761</v>
      </c>
      <c r="J27" s="297">
        <f t="shared" si="31"/>
        <v>235355.18799999999</v>
      </c>
      <c r="K27" s="297">
        <f t="shared" si="31"/>
        <v>437028.27399999998</v>
      </c>
      <c r="L27" s="297">
        <f t="shared" si="31"/>
        <v>376806</v>
      </c>
      <c r="M27" s="297">
        <f t="shared" si="31"/>
        <v>348618</v>
      </c>
      <c r="N27" s="297">
        <f t="shared" si="31"/>
        <v>379946</v>
      </c>
      <c r="O27" s="297">
        <f t="shared" si="31"/>
        <v>389114</v>
      </c>
      <c r="P27" s="297">
        <f t="shared" si="31"/>
        <v>385615</v>
      </c>
      <c r="Q27" s="297">
        <f t="shared" si="31"/>
        <v>347868</v>
      </c>
      <c r="R27" s="297">
        <f t="shared" ref="R27:S27" si="33">R7</f>
        <v>362877</v>
      </c>
      <c r="S27" s="297">
        <f t="shared" si="33"/>
        <v>364988</v>
      </c>
    </row>
    <row r="28" spans="1:24" ht="13" customHeight="1">
      <c r="B28" s="97" t="str">
        <f>IF('Summary | Sumário'!D$3=Names!B$3,Names!AV7,Names!AW7)</f>
        <v>Depreciation and amortization</v>
      </c>
      <c r="C28" s="298">
        <f t="shared" ref="C28:Q28" si="34">C8</f>
        <v>17463</v>
      </c>
      <c r="D28" s="298">
        <f t="shared" si="34"/>
        <v>43659</v>
      </c>
      <c r="E28" s="298">
        <f t="shared" si="34"/>
        <v>94250.52</v>
      </c>
      <c r="F28" s="298">
        <f t="shared" si="34"/>
        <v>163972</v>
      </c>
      <c r="G28" s="298">
        <f t="shared" ref="G28" si="35">G8</f>
        <v>160440</v>
      </c>
      <c r="H28" s="298">
        <f t="shared" si="34"/>
        <v>19166</v>
      </c>
      <c r="I28" s="298">
        <f t="shared" si="34"/>
        <v>25338</v>
      </c>
      <c r="J28" s="298">
        <f t="shared" si="34"/>
        <v>30883</v>
      </c>
      <c r="K28" s="298">
        <f t="shared" si="34"/>
        <v>18863.520000000004</v>
      </c>
      <c r="L28" s="298">
        <f t="shared" si="34"/>
        <v>36478</v>
      </c>
      <c r="M28" s="298">
        <f t="shared" si="34"/>
        <v>35511</v>
      </c>
      <c r="N28" s="298">
        <f t="shared" si="34"/>
        <v>35620</v>
      </c>
      <c r="O28" s="298">
        <f t="shared" si="34"/>
        <v>56363</v>
      </c>
      <c r="P28" s="298">
        <f t="shared" si="34"/>
        <v>37577</v>
      </c>
      <c r="Q28" s="298">
        <f t="shared" si="34"/>
        <v>41130</v>
      </c>
      <c r="R28" s="298">
        <f t="shared" ref="R28:S28" si="36">R8</f>
        <v>40591</v>
      </c>
      <c r="S28" s="298">
        <f t="shared" si="36"/>
        <v>41142</v>
      </c>
    </row>
    <row r="29" spans="1:24" ht="13" customHeight="1">
      <c r="B29" s="186" t="str">
        <f>IF('Summary | Sumário'!D$3=Names!B$3,Names!AV29,Names!AW29)</f>
        <v>(÷) Total net revenues excluding tax expenses</v>
      </c>
      <c r="C29" s="299">
        <f>C9</f>
        <v>712223.66099999996</v>
      </c>
      <c r="D29" s="299">
        <f t="shared" ref="D29:Q29" si="37">D9</f>
        <v>1011378.89518</v>
      </c>
      <c r="E29" s="299">
        <f t="shared" si="37"/>
        <v>2075102.0209999997</v>
      </c>
      <c r="F29" s="299">
        <f t="shared" si="37"/>
        <v>3314109.0819999995</v>
      </c>
      <c r="G29" s="299">
        <f t="shared" ref="G29" si="38">G9</f>
        <v>4425992</v>
      </c>
      <c r="H29" s="299">
        <f t="shared" si="37"/>
        <v>389231.24800000002</v>
      </c>
      <c r="I29" s="299">
        <f t="shared" si="37"/>
        <v>437040.75100000005</v>
      </c>
      <c r="J29" s="299">
        <f t="shared" si="37"/>
        <v>565864.06799999997</v>
      </c>
      <c r="K29" s="299">
        <f t="shared" si="37"/>
        <v>682964.95399999991</v>
      </c>
      <c r="L29" s="299">
        <f t="shared" si="37"/>
        <v>776827.63199999998</v>
      </c>
      <c r="M29" s="299">
        <f t="shared" si="37"/>
        <v>815420.6370000001</v>
      </c>
      <c r="N29" s="299">
        <f t="shared" si="37"/>
        <v>788759.73100000003</v>
      </c>
      <c r="O29" s="299">
        <f t="shared" si="37"/>
        <v>933101.08199999994</v>
      </c>
      <c r="P29" s="299">
        <f t="shared" si="37"/>
        <v>955242.82200000004</v>
      </c>
      <c r="Q29" s="299">
        <f t="shared" si="37"/>
        <v>1077571</v>
      </c>
      <c r="R29" s="299">
        <f t="shared" ref="R29:S29" si="39">R9</f>
        <v>1171423.5890200001</v>
      </c>
      <c r="S29" s="299">
        <f t="shared" si="39"/>
        <v>1221755.5839799999</v>
      </c>
    </row>
    <row r="30" spans="1:24" ht="13" customHeight="1">
      <c r="B30" s="97" t="str">
        <f>IF('Summary | Sumário'!D$3=Names!B$3,Names!AV30,Names!AW30)</f>
        <v>Net interest income</v>
      </c>
      <c r="C30" s="298">
        <f>C10</f>
        <v>585551</v>
      </c>
      <c r="D30" s="298">
        <f t="shared" ref="D30:Q30" si="40">D10</f>
        <v>715962.89517999999</v>
      </c>
      <c r="E30" s="298">
        <f t="shared" si="40"/>
        <v>1589469.2459999998</v>
      </c>
      <c r="F30" s="298">
        <f t="shared" si="40"/>
        <v>2335429.0819999995</v>
      </c>
      <c r="G30" s="298">
        <f t="shared" ref="G30" si="41">G10</f>
        <v>3208088</v>
      </c>
      <c r="H30" s="298">
        <f t="shared" si="40"/>
        <v>291580.935</v>
      </c>
      <c r="I30" s="298">
        <f t="shared" si="40"/>
        <v>302295.75100000005</v>
      </c>
      <c r="J30" s="298">
        <f t="shared" si="40"/>
        <v>447369.88</v>
      </c>
      <c r="K30" s="298">
        <f t="shared" si="40"/>
        <v>548221.67999999993</v>
      </c>
      <c r="L30" s="298">
        <f t="shared" si="40"/>
        <v>543410.63199999998</v>
      </c>
      <c r="M30" s="298">
        <f t="shared" si="40"/>
        <v>561087.6370000001</v>
      </c>
      <c r="N30" s="298">
        <f t="shared" si="40"/>
        <v>555587.73100000003</v>
      </c>
      <c r="O30" s="298">
        <f t="shared" si="40"/>
        <v>675343.08199999994</v>
      </c>
      <c r="P30" s="298">
        <f t="shared" si="40"/>
        <v>711561.82200000004</v>
      </c>
      <c r="Q30" s="298">
        <f t="shared" si="40"/>
        <v>802075</v>
      </c>
      <c r="R30" s="298">
        <f t="shared" ref="R30:S30" si="42">R10</f>
        <v>818557.08874000004</v>
      </c>
      <c r="S30" s="298">
        <f t="shared" si="42"/>
        <v>875895.08425999992</v>
      </c>
    </row>
    <row r="31" spans="1:24" ht="13" customHeight="1">
      <c r="B31" s="187" t="str">
        <f>IF('Summary | Sumário'!D$3=Names!B$3,Names!AV31,Names!AW31)</f>
        <v>Net result from services and commissions</v>
      </c>
      <c r="C31" s="299">
        <f>C11</f>
        <v>73829.660999999993</v>
      </c>
      <c r="D31" s="299">
        <f t="shared" ref="D31:Q31" si="43">D11</f>
        <v>185534</v>
      </c>
      <c r="E31" s="299">
        <f t="shared" si="43"/>
        <v>442272</v>
      </c>
      <c r="F31" s="299">
        <f t="shared" si="43"/>
        <v>838806</v>
      </c>
      <c r="G31" s="299">
        <f t="shared" ref="G31" si="44">G11</f>
        <v>1168800</v>
      </c>
      <c r="H31" s="299">
        <f t="shared" si="43"/>
        <v>77686</v>
      </c>
      <c r="I31" s="299">
        <f t="shared" si="43"/>
        <v>89070</v>
      </c>
      <c r="J31" s="299">
        <f t="shared" si="43"/>
        <v>122853</v>
      </c>
      <c r="K31" s="299">
        <f t="shared" si="43"/>
        <v>152663</v>
      </c>
      <c r="L31" s="299">
        <f t="shared" si="43"/>
        <v>177703</v>
      </c>
      <c r="M31" s="299">
        <f t="shared" si="43"/>
        <v>204561</v>
      </c>
      <c r="N31" s="299">
        <f t="shared" si="43"/>
        <v>217029</v>
      </c>
      <c r="O31" s="299">
        <f t="shared" si="43"/>
        <v>239513</v>
      </c>
      <c r="P31" s="299">
        <f t="shared" si="43"/>
        <v>246675</v>
      </c>
      <c r="Q31" s="299">
        <f t="shared" si="43"/>
        <v>266801</v>
      </c>
      <c r="R31" s="299">
        <f t="shared" ref="R31:S31" si="45">R11</f>
        <v>315509</v>
      </c>
      <c r="S31" s="299">
        <f t="shared" si="45"/>
        <v>339815</v>
      </c>
    </row>
    <row r="32" spans="1:24" s="212" customFormat="1" ht="13" customHeight="1">
      <c r="A32" s="211"/>
      <c r="B32" s="97" t="str">
        <f>IF('Summary | Sumário'!D$3=Names!B$3,Names!AV33,Names!AW33)</f>
        <v>Other revenues</v>
      </c>
      <c r="C32" s="298">
        <f>C12</f>
        <v>52843</v>
      </c>
      <c r="D32" s="298">
        <f t="shared" ref="D32:Q32" si="46">D12</f>
        <v>109882</v>
      </c>
      <c r="E32" s="298">
        <f t="shared" si="46"/>
        <v>190082</v>
      </c>
      <c r="F32" s="298">
        <f t="shared" si="46"/>
        <v>388462</v>
      </c>
      <c r="G32" s="298">
        <f t="shared" ref="G32" si="47">G12</f>
        <v>375688</v>
      </c>
      <c r="H32" s="298">
        <f t="shared" si="46"/>
        <v>47499</v>
      </c>
      <c r="I32" s="298">
        <f t="shared" si="46"/>
        <v>76048</v>
      </c>
      <c r="J32" s="298">
        <f t="shared" si="46"/>
        <v>36287</v>
      </c>
      <c r="K32" s="298">
        <f t="shared" si="46"/>
        <v>30248</v>
      </c>
      <c r="L32" s="298">
        <f t="shared" si="46"/>
        <v>112407</v>
      </c>
      <c r="M32" s="298">
        <f t="shared" si="46"/>
        <v>111372</v>
      </c>
      <c r="N32" s="298">
        <f t="shared" si="46"/>
        <v>77687</v>
      </c>
      <c r="O32" s="298">
        <f t="shared" si="46"/>
        <v>86996</v>
      </c>
      <c r="P32" s="298">
        <f t="shared" si="46"/>
        <v>65877</v>
      </c>
      <c r="Q32" s="298">
        <f t="shared" si="46"/>
        <v>81158</v>
      </c>
      <c r="R32" s="298">
        <f t="shared" ref="R32:S32" si="48">R12</f>
        <v>131429.50028000001</v>
      </c>
      <c r="S32" s="298">
        <f t="shared" si="48"/>
        <v>97223.499719999993</v>
      </c>
      <c r="T32" s="211"/>
      <c r="U32" s="211"/>
      <c r="V32" s="211"/>
      <c r="W32" s="211"/>
      <c r="X32" s="211"/>
    </row>
    <row r="33" spans="2:19" ht="13" customHeight="1">
      <c r="B33" s="187" t="str">
        <f>IF('Summary | Sumário'!D$3=Names!B$3,Names!AV34,Names!AW34)</f>
        <v>Tax expenses</v>
      </c>
      <c r="C33" s="299">
        <f>C13</f>
        <v>0</v>
      </c>
      <c r="D33" s="299">
        <f t="shared" ref="D33:Q33" si="49">D13</f>
        <v>0</v>
      </c>
      <c r="E33" s="299">
        <f t="shared" si="49"/>
        <v>-146721.22500000001</v>
      </c>
      <c r="F33" s="299">
        <f t="shared" si="49"/>
        <v>-248588</v>
      </c>
      <c r="G33" s="299">
        <f t="shared" ref="G33" si="50">G13</f>
        <v>-326584</v>
      </c>
      <c r="H33" s="299">
        <f t="shared" si="49"/>
        <v>-27534.687000000002</v>
      </c>
      <c r="I33" s="299">
        <f t="shared" si="49"/>
        <v>-30373</v>
      </c>
      <c r="J33" s="299">
        <f t="shared" si="49"/>
        <v>-40645.811999999998</v>
      </c>
      <c r="K33" s="299">
        <f t="shared" si="49"/>
        <v>-48167.726000000002</v>
      </c>
      <c r="L33" s="299">
        <f t="shared" si="49"/>
        <v>-56693</v>
      </c>
      <c r="M33" s="299">
        <f t="shared" si="49"/>
        <v>-61600</v>
      </c>
      <c r="N33" s="299">
        <f t="shared" si="49"/>
        <v>-61544</v>
      </c>
      <c r="O33" s="299">
        <f t="shared" si="49"/>
        <v>-68751</v>
      </c>
      <c r="P33" s="299">
        <f t="shared" si="49"/>
        <v>-68871</v>
      </c>
      <c r="Q33" s="299">
        <f t="shared" si="49"/>
        <v>-72463</v>
      </c>
      <c r="R33" s="299">
        <f t="shared" ref="R33:S33" si="51">R13</f>
        <v>-94072</v>
      </c>
      <c r="S33" s="299">
        <f t="shared" si="51"/>
        <v>-91178</v>
      </c>
    </row>
    <row r="34" spans="2:19" ht="13" customHeight="1">
      <c r="B34" s="436" t="str">
        <f>IF('Summary | Sumário'!D$3=Names!B$3,Names!AV35,Names!AW35)</f>
        <v> (=) Administrative efficiency ratio (%)</v>
      </c>
      <c r="C34" s="464">
        <f t="shared" ref="C34:Q34" si="52">C26/C29</f>
        <v>0.56691741949864827</v>
      </c>
      <c r="D34" s="464">
        <f t="shared" si="52"/>
        <v>0.67727930972703332</v>
      </c>
      <c r="E34" s="464">
        <f t="shared" si="52"/>
        <v>0.60647152875574217</v>
      </c>
      <c r="F34" s="464">
        <f t="shared" si="52"/>
        <v>0.50042287654549822</v>
      </c>
      <c r="G34" s="464">
        <f t="shared" ref="G34" si="53">G26/G29</f>
        <v>0.36642361757544978</v>
      </c>
      <c r="H34" s="464">
        <f t="shared" si="52"/>
        <v>0.6121330551549139</v>
      </c>
      <c r="I34" s="464">
        <f t="shared" si="52"/>
        <v>0.68208513580922336</v>
      </c>
      <c r="J34" s="464">
        <f t="shared" si="52"/>
        <v>0.47049848727981075</v>
      </c>
      <c r="K34" s="464">
        <f t="shared" si="52"/>
        <v>0.66751857665598469</v>
      </c>
      <c r="L34" s="464">
        <f t="shared" si="52"/>
        <v>0.53201506096786222</v>
      </c>
      <c r="M34" s="464">
        <f t="shared" si="52"/>
        <v>0.47108079262408947</v>
      </c>
      <c r="N34" s="464">
        <f t="shared" si="52"/>
        <v>0.52686006101394134</v>
      </c>
      <c r="O34" s="464">
        <f t="shared" si="52"/>
        <v>0.47741558614975438</v>
      </c>
      <c r="P34" s="464">
        <f t="shared" si="52"/>
        <v>0.44302034022507419</v>
      </c>
      <c r="Q34" s="464">
        <f t="shared" si="52"/>
        <v>0.36099523836480379</v>
      </c>
      <c r="R34" s="464">
        <f t="shared" ref="R34:S34" si="54">R26/R29</f>
        <v>0.34442536737503882</v>
      </c>
      <c r="S34" s="464">
        <f t="shared" si="54"/>
        <v>0.33241509621506127</v>
      </c>
    </row>
    <row r="35" spans="2:19" ht="13" customHeight="1">
      <c r="B35" s="104"/>
    </row>
    <row r="36" spans="2:19" ht="13" customHeight="1">
      <c r="B36" s="28"/>
    </row>
    <row r="37" spans="2:19" ht="13" customHeight="1">
      <c r="G37" s="490"/>
    </row>
    <row r="38" spans="2:19" ht="13" customHeight="1">
      <c r="B38" s="28"/>
      <c r="G38" s="489"/>
    </row>
    <row r="39" spans="2:19" ht="13" customHeight="1">
      <c r="D39" s="300"/>
    </row>
    <row r="40" spans="2:19" ht="13" customHeight="1">
      <c r="S40" s="488"/>
    </row>
  </sheetData>
  <sheetProtection algorithmName="SHA-512" hashValue="lwiA73oiUitxu4oWFBRqq1GnZCQLXF3r0sVCilOiBqhcuRPnlyiX8qMF8/NXeLWotR7lrkFcujC4gdZoY7iv2Q==" saltValue="n4gvc3yI5XZINdHwWaEGpQ=="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04061-A401-1843-A502-21FD0465969E}">
  <sheetPr>
    <tabColor theme="5" tint="0.59999389629810485"/>
  </sheetPr>
  <dimension ref="A1:X32"/>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6" width="10.83203125" style="212" customWidth="1"/>
    <col min="7" max="7" width="10.83203125" style="211"/>
    <col min="8" max="16" width="10.83203125" style="212" customWidth="1"/>
    <col min="17" max="18" width="10.83203125" style="212"/>
    <col min="19" max="16384" width="10.83203125" style="211"/>
  </cols>
  <sheetData>
    <row r="1" spans="2:23" ht="13" customHeight="1">
      <c r="G1" s="212"/>
      <c r="S1" s="212"/>
      <c r="T1" s="212"/>
    </row>
    <row r="2" spans="2:23" s="12" customFormat="1" ht="13" customHeight="1">
      <c r="B2" s="400" t="str">
        <f>IF('Summary | Sumário'!D$3=Names!B$3,Names!AF1,Names!AG1)</f>
        <v>Monthly Cost-to-serve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28">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13"/>
      <c r="V2" s="14"/>
      <c r="W2" s="15"/>
    </row>
    <row r="3" spans="2:23" ht="13" customHeight="1">
      <c r="B3" s="78"/>
      <c r="C3" s="254"/>
      <c r="D3" s="254"/>
      <c r="E3" s="254"/>
      <c r="F3" s="254"/>
      <c r="G3" s="223"/>
      <c r="H3" s="254"/>
      <c r="I3" s="254"/>
      <c r="J3" s="254"/>
      <c r="K3" s="254"/>
      <c r="L3" s="254"/>
      <c r="M3" s="254"/>
      <c r="N3" s="254"/>
      <c r="O3" s="254"/>
      <c r="P3" s="254"/>
      <c r="Q3" s="254"/>
      <c r="R3" s="254"/>
      <c r="S3" s="223"/>
      <c r="T3" s="223"/>
    </row>
    <row r="4" spans="2:23" ht="13" customHeight="1">
      <c r="B4" s="5" t="str">
        <f>IF('Summary | Sumário'!D$3=Names!B$3,Names!AF3,Names!AG3)</f>
        <v>Cost-to-serve</v>
      </c>
      <c r="C4" s="290"/>
      <c r="D4" s="290"/>
      <c r="E4" s="290"/>
      <c r="F4" s="290"/>
      <c r="G4" s="290"/>
      <c r="H4" s="290"/>
      <c r="I4" s="290"/>
      <c r="J4" s="290"/>
      <c r="K4" s="290"/>
      <c r="L4" s="290"/>
      <c r="M4" s="290"/>
      <c r="N4" s="290"/>
      <c r="O4" s="290"/>
      <c r="P4" s="290"/>
      <c r="Q4" s="290"/>
      <c r="R4" s="290"/>
      <c r="S4" s="290"/>
    </row>
    <row r="5" spans="2:23" ht="13" customHeight="1">
      <c r="B5" s="438" t="str">
        <f>IF('Summary | Sumário'!D$3=Names!B$3,Names!AF4,Names!AG4)</f>
        <v>Monthly average of cost-to-serve</v>
      </c>
      <c r="C5" s="439">
        <f>C6/12</f>
        <v>42794.025094127275</v>
      </c>
      <c r="D5" s="439">
        <f t="shared" ref="D5:G5" si="0">D6/12</f>
        <v>67177.751913504922</v>
      </c>
      <c r="E5" s="439">
        <f t="shared" si="0"/>
        <v>122553.85644408879</v>
      </c>
      <c r="F5" s="439">
        <f t="shared" si="0"/>
        <v>177431.74372495562</v>
      </c>
      <c r="G5" s="439">
        <f t="shared" si="0"/>
        <v>186292.69927320103</v>
      </c>
      <c r="H5" s="439">
        <f>H6/3</f>
        <v>90358.630407251316</v>
      </c>
      <c r="I5" s="439">
        <f t="shared" ref="I5:S5" si="1">I6/3</f>
        <v>113372.35140666667</v>
      </c>
      <c r="J5" s="439">
        <f t="shared" si="1"/>
        <v>108504.75255999999</v>
      </c>
      <c r="K5" s="439">
        <f t="shared" si="1"/>
        <v>177979.69140243714</v>
      </c>
      <c r="L5" s="439">
        <f t="shared" si="1"/>
        <v>163822.55539315593</v>
      </c>
      <c r="M5" s="439">
        <f t="shared" si="1"/>
        <v>161347.50881999999</v>
      </c>
      <c r="N5" s="439">
        <f t="shared" si="1"/>
        <v>176821.34316666666</v>
      </c>
      <c r="O5" s="439">
        <f t="shared" si="1"/>
        <v>207735.56752000001</v>
      </c>
      <c r="P5" s="439">
        <f t="shared" si="1"/>
        <v>180808.90153333335</v>
      </c>
      <c r="Q5" s="439">
        <f t="shared" si="1"/>
        <v>175584.57369999998</v>
      </c>
      <c r="R5" s="439">
        <f t="shared" si="1"/>
        <v>189620.87386666666</v>
      </c>
      <c r="S5" s="439">
        <f t="shared" si="1"/>
        <v>199156.44799280408</v>
      </c>
    </row>
    <row r="6" spans="2:23" ht="13" customHeight="1">
      <c r="B6" s="85" t="str">
        <f>IF('Summary | Sumário'!D$3=Names!B$3,Names!AF5,Names!AG5)</f>
        <v>Total cost-to-serve</v>
      </c>
      <c r="C6" s="287">
        <f>SUM(C7:C10)</f>
        <v>513528.30112952727</v>
      </c>
      <c r="D6" s="287">
        <f t="shared" ref="D6:P6" si="2">SUM(D7:D10)</f>
        <v>806133.02296205901</v>
      </c>
      <c r="E6" s="287">
        <f t="shared" si="2"/>
        <v>1470646.2773290654</v>
      </c>
      <c r="F6" s="287">
        <f t="shared" si="2"/>
        <v>2129180.9246994676</v>
      </c>
      <c r="G6" s="287">
        <f t="shared" ref="G6" si="3">SUM(G7:G10)</f>
        <v>2235512.3912784122</v>
      </c>
      <c r="H6" s="287">
        <f t="shared" si="2"/>
        <v>271075.89122175396</v>
      </c>
      <c r="I6" s="287">
        <f t="shared" si="2"/>
        <v>340117.05421999999</v>
      </c>
      <c r="J6" s="287">
        <f t="shared" si="2"/>
        <v>325514.25767999998</v>
      </c>
      <c r="K6" s="287">
        <f t="shared" si="2"/>
        <v>533939.07420731138</v>
      </c>
      <c r="L6" s="287">
        <f t="shared" si="2"/>
        <v>491467.66617946781</v>
      </c>
      <c r="M6" s="287">
        <f t="shared" si="2"/>
        <v>484042.52645999996</v>
      </c>
      <c r="N6" s="287">
        <f t="shared" si="2"/>
        <v>530464.02949999995</v>
      </c>
      <c r="O6" s="287">
        <f t="shared" si="2"/>
        <v>623206.70256000001</v>
      </c>
      <c r="P6" s="287">
        <f t="shared" si="2"/>
        <v>542426.70460000006</v>
      </c>
      <c r="Q6" s="287">
        <f t="shared" ref="Q6:R6" si="4">SUM(Q7:Q10)</f>
        <v>526753.72109999997</v>
      </c>
      <c r="R6" s="287">
        <f t="shared" si="4"/>
        <v>568862.62159999995</v>
      </c>
      <c r="S6" s="287">
        <f t="shared" ref="S6" si="5">SUM(S7:S10)</f>
        <v>597469.34397841222</v>
      </c>
    </row>
    <row r="7" spans="2:23" ht="13" customHeight="1">
      <c r="B7" s="100" t="str">
        <f>IF('Summary | Sumário'!D$3=Names!B$3,Names!AF6,Names!AG6)</f>
        <v>Personnel expenses</v>
      </c>
      <c r="C7" s="282">
        <v>169198</v>
      </c>
      <c r="D7" s="282">
        <v>229096</v>
      </c>
      <c r="E7" s="282">
        <v>443328</v>
      </c>
      <c r="F7" s="282">
        <v>733605</v>
      </c>
      <c r="G7" s="282">
        <v>790739</v>
      </c>
      <c r="H7" s="282">
        <v>81861</v>
      </c>
      <c r="I7" s="282">
        <v>93046</v>
      </c>
      <c r="J7" s="282">
        <v>121250</v>
      </c>
      <c r="K7" s="282">
        <v>147171</v>
      </c>
      <c r="L7" s="282">
        <v>145120</v>
      </c>
      <c r="M7" s="282">
        <v>172466</v>
      </c>
      <c r="N7" s="282">
        <v>176232</v>
      </c>
      <c r="O7" s="282">
        <v>239787</v>
      </c>
      <c r="P7" s="282">
        <v>172412</v>
      </c>
      <c r="Q7" s="282">
        <v>186249</v>
      </c>
      <c r="R7" s="282">
        <v>210661</v>
      </c>
      <c r="S7" s="282">
        <v>221417</v>
      </c>
    </row>
    <row r="8" spans="2:23" ht="13" customHeight="1">
      <c r="B8" s="95" t="str">
        <f>IF('Summary | Sumário'!D$3=Names!B$3,Names!AF7,Names!AG7)</f>
        <v>Administrative expenses</v>
      </c>
      <c r="C8" s="287">
        <v>386309</v>
      </c>
      <c r="D8" s="287">
        <v>641327</v>
      </c>
      <c r="E8" s="287">
        <v>1164239.7749999999</v>
      </c>
      <c r="F8" s="287">
        <v>1494484</v>
      </c>
      <c r="G8" s="287">
        <v>1461348</v>
      </c>
      <c r="H8" s="287">
        <v>219095.31299999999</v>
      </c>
      <c r="I8" s="287">
        <v>272761</v>
      </c>
      <c r="J8" s="287">
        <v>235355.18799999999</v>
      </c>
      <c r="K8" s="287">
        <v>437028.27399999998</v>
      </c>
      <c r="L8" s="287">
        <v>376806</v>
      </c>
      <c r="M8" s="287">
        <v>348618</v>
      </c>
      <c r="N8" s="287">
        <v>379946</v>
      </c>
      <c r="O8" s="287">
        <v>389114</v>
      </c>
      <c r="P8" s="287">
        <v>385615</v>
      </c>
      <c r="Q8" s="287">
        <v>347868</v>
      </c>
      <c r="R8" s="287">
        <v>362877</v>
      </c>
      <c r="S8" s="287">
        <v>364988</v>
      </c>
    </row>
    <row r="9" spans="2:23" ht="13" customHeight="1">
      <c r="B9" s="100" t="str">
        <f>IF('Summary | Sumário'!D$3=Names!B$3,Names!AF8,Names!AG8)</f>
        <v>Depreciation and amortization</v>
      </c>
      <c r="C9" s="282">
        <v>17463</v>
      </c>
      <c r="D9" s="282">
        <v>43659</v>
      </c>
      <c r="E9" s="282">
        <v>94250.52</v>
      </c>
      <c r="F9" s="282">
        <v>163972</v>
      </c>
      <c r="G9" s="282">
        <v>160440</v>
      </c>
      <c r="H9" s="282">
        <v>19166</v>
      </c>
      <c r="I9" s="282">
        <v>25338</v>
      </c>
      <c r="J9" s="282">
        <v>30883</v>
      </c>
      <c r="K9" s="282">
        <v>18863.520000000004</v>
      </c>
      <c r="L9" s="282">
        <v>36478</v>
      </c>
      <c r="M9" s="282">
        <v>35511</v>
      </c>
      <c r="N9" s="282">
        <v>35620</v>
      </c>
      <c r="O9" s="282">
        <v>56363</v>
      </c>
      <c r="P9" s="282">
        <v>37577</v>
      </c>
      <c r="Q9" s="282">
        <v>41130</v>
      </c>
      <c r="R9" s="282">
        <v>40591</v>
      </c>
      <c r="S9" s="282">
        <v>41142</v>
      </c>
    </row>
    <row r="10" spans="2:23" ht="13" customHeight="1">
      <c r="B10" s="95" t="str">
        <f>IF('Summary | Sumário'!D$3=Names!B$3,Names!AF9,Names!AG9)</f>
        <v>CAC expenses</v>
      </c>
      <c r="C10" s="287">
        <v>-59441.698870472712</v>
      </c>
      <c r="D10" s="287">
        <v>-107948.97703794103</v>
      </c>
      <c r="E10" s="287">
        <v>-231172.01767093461</v>
      </c>
      <c r="F10" s="287">
        <v>-262880.07530053222</v>
      </c>
      <c r="G10" s="287">
        <f>SUM(P10:S10)</f>
        <v>-177014.60872158778</v>
      </c>
      <c r="H10" s="287">
        <v>-49046.421778246004</v>
      </c>
      <c r="I10" s="287">
        <v>-51027.945780000002</v>
      </c>
      <c r="J10" s="287">
        <v>-61973.930319999999</v>
      </c>
      <c r="K10" s="287">
        <v>-69123.719792688615</v>
      </c>
      <c r="L10" s="287">
        <v>-66936.333820532222</v>
      </c>
      <c r="M10" s="287">
        <v>-72552.473540000006</v>
      </c>
      <c r="N10" s="287">
        <v>-61333.970500000003</v>
      </c>
      <c r="O10" s="287">
        <v>-62057.297440000002</v>
      </c>
      <c r="P10" s="287">
        <v>-53177.295399999995</v>
      </c>
      <c r="Q10" s="287">
        <v>-48493.278899999998</v>
      </c>
      <c r="R10" s="287">
        <v>-45266.378400000001</v>
      </c>
      <c r="S10" s="287">
        <v>-30077.656021587791</v>
      </c>
    </row>
    <row r="11" spans="2:23" ht="13" customHeight="1">
      <c r="B11" s="84" t="str">
        <f>IF('Summary | Sumário'!D$3=Names!B$3,Names!AF10,Names!AG10)</f>
        <v>(÷) Average active clients</v>
      </c>
      <c r="C11" s="282">
        <f>C12</f>
        <v>2282.6979999999999</v>
      </c>
      <c r="D11" s="282">
        <f>AVERAGE(C12:D12)</f>
        <v>3767.4889999999996</v>
      </c>
      <c r="E11" s="282">
        <f t="shared" ref="E11:G11" si="6">AVERAGE(D12:E12)</f>
        <v>7039.3045000000002</v>
      </c>
      <c r="F11" s="282">
        <f t="shared" si="6"/>
        <v>10705.3665</v>
      </c>
      <c r="G11" s="282">
        <f t="shared" si="6"/>
        <v>14494.899000000001</v>
      </c>
      <c r="H11" s="282">
        <f>AVERAGE(H12,D12)</f>
        <v>5692.4650000000001</v>
      </c>
      <c r="I11" s="282">
        <f>AVERAGE(H12:I12)</f>
        <v>6597.8119999999999</v>
      </c>
      <c r="J11" s="282">
        <f t="shared" ref="J11:S11" si="7">AVERAGE(I12:J12)</f>
        <v>7514.7129999999997</v>
      </c>
      <c r="K11" s="282">
        <f t="shared" si="7"/>
        <v>8396.3904999999995</v>
      </c>
      <c r="L11" s="282">
        <f t="shared" si="7"/>
        <v>9358.8734999999997</v>
      </c>
      <c r="M11" s="282">
        <f t="shared" si="7"/>
        <v>10303.8135</v>
      </c>
      <c r="N11" s="282">
        <f t="shared" si="7"/>
        <v>11182.7415</v>
      </c>
      <c r="O11" s="282">
        <f t="shared" si="7"/>
        <v>12116.839</v>
      </c>
      <c r="P11" s="282">
        <f t="shared" si="7"/>
        <v>13062.486000000001</v>
      </c>
      <c r="Q11" s="282">
        <f t="shared" si="7"/>
        <v>14017.737499999999</v>
      </c>
      <c r="R11" s="282">
        <f t="shared" si="7"/>
        <v>14984.0635</v>
      </c>
      <c r="S11" s="282">
        <f t="shared" si="7"/>
        <v>15939.307000000001</v>
      </c>
    </row>
    <row r="12" spans="2:23" ht="13" customHeight="1">
      <c r="B12" s="86" t="str">
        <f>IF('Summary | Sumário'!D$3=Names!B$3,Names!AF11,Names!AG11)</f>
        <v>Active clients</v>
      </c>
      <c r="C12" s="287">
        <v>2282.6979999999999</v>
      </c>
      <c r="D12" s="287">
        <v>5252.28</v>
      </c>
      <c r="E12" s="287">
        <v>8826.3289999999997</v>
      </c>
      <c r="F12" s="287">
        <v>12584.404</v>
      </c>
      <c r="G12" s="287">
        <f>S12</f>
        <v>16405.394</v>
      </c>
      <c r="H12" s="287">
        <v>6132.65</v>
      </c>
      <c r="I12" s="287">
        <v>7062.9740000000002</v>
      </c>
      <c r="J12" s="287">
        <v>7966.4520000000002</v>
      </c>
      <c r="K12" s="287">
        <v>8826.3289999999997</v>
      </c>
      <c r="L12" s="287">
        <v>9891.4179999999997</v>
      </c>
      <c r="M12" s="287">
        <v>10716.209000000001</v>
      </c>
      <c r="N12" s="287">
        <v>11649.273999999999</v>
      </c>
      <c r="O12" s="287">
        <v>12584.404</v>
      </c>
      <c r="P12" s="287">
        <v>13540.567999999999</v>
      </c>
      <c r="Q12" s="287">
        <v>14494.906999999999</v>
      </c>
      <c r="R12" s="287">
        <v>15473.22</v>
      </c>
      <c r="S12" s="287">
        <v>16405.394</v>
      </c>
    </row>
    <row r="13" spans="2:23" ht="13" customHeight="1">
      <c r="B13" s="117" t="str">
        <f>IF('Summary | Sumário'!D$3=Names!B$3,Names!AF12,Names!AG12)</f>
        <v>Active clients in the previous period</v>
      </c>
      <c r="C13" s="282">
        <f>C12</f>
        <v>2282.6979999999999</v>
      </c>
      <c r="D13" s="282">
        <f>C13</f>
        <v>2282.6979999999999</v>
      </c>
      <c r="E13" s="282">
        <f>D12</f>
        <v>5252.28</v>
      </c>
      <c r="F13" s="282">
        <f t="shared" ref="F13:S13" si="8">E12</f>
        <v>8826.3289999999997</v>
      </c>
      <c r="G13" s="282">
        <f t="shared" si="8"/>
        <v>12584.404</v>
      </c>
      <c r="H13" s="282">
        <f>D12</f>
        <v>5252.28</v>
      </c>
      <c r="I13" s="282">
        <f t="shared" si="8"/>
        <v>6132.65</v>
      </c>
      <c r="J13" s="282">
        <f t="shared" si="8"/>
        <v>7062.9740000000002</v>
      </c>
      <c r="K13" s="282">
        <f t="shared" si="8"/>
        <v>7966.4520000000002</v>
      </c>
      <c r="L13" s="282">
        <f t="shared" si="8"/>
        <v>8826.3289999999997</v>
      </c>
      <c r="M13" s="282">
        <f t="shared" si="8"/>
        <v>9891.4179999999997</v>
      </c>
      <c r="N13" s="282">
        <f t="shared" si="8"/>
        <v>10716.209000000001</v>
      </c>
      <c r="O13" s="282">
        <f t="shared" si="8"/>
        <v>11649.273999999999</v>
      </c>
      <c r="P13" s="282">
        <f t="shared" si="8"/>
        <v>12584.404</v>
      </c>
      <c r="Q13" s="282">
        <f t="shared" si="8"/>
        <v>13540.567999999999</v>
      </c>
      <c r="R13" s="282">
        <f t="shared" si="8"/>
        <v>14494.906999999999</v>
      </c>
      <c r="S13" s="282">
        <f t="shared" si="8"/>
        <v>15473.22</v>
      </c>
    </row>
    <row r="14" spans="2:23" ht="13" customHeight="1">
      <c r="B14" s="436" t="str">
        <f>IF('Summary | Sumário'!D$3=Names!B$3,Names!AF13,Names!AG13)</f>
        <v>(=) Cost-to-serve (R$)</v>
      </c>
      <c r="C14" s="471">
        <f>C5/C11</f>
        <v>18.74712515371165</v>
      </c>
      <c r="D14" s="471">
        <f t="shared" ref="D14:P14" si="9">D5/D11</f>
        <v>17.830908574253282</v>
      </c>
      <c r="E14" s="471">
        <f t="shared" si="9"/>
        <v>17.4099382181988</v>
      </c>
      <c r="F14" s="471">
        <f t="shared" si="9"/>
        <v>16.574093350746622</v>
      </c>
      <c r="G14" s="471">
        <f t="shared" ref="G14" si="10">G5/G11</f>
        <v>12.852293711960394</v>
      </c>
      <c r="H14" s="471">
        <f t="shared" si="9"/>
        <v>15.873374787065236</v>
      </c>
      <c r="I14" s="471">
        <f t="shared" si="9"/>
        <v>17.183325533777968</v>
      </c>
      <c r="J14" s="471">
        <f t="shared" si="9"/>
        <v>14.438974922927862</v>
      </c>
      <c r="K14" s="471">
        <f t="shared" si="9"/>
        <v>21.197166973408056</v>
      </c>
      <c r="L14" s="471">
        <f t="shared" si="9"/>
        <v>17.504516477667522</v>
      </c>
      <c r="M14" s="471">
        <f t="shared" si="9"/>
        <v>15.659009047475479</v>
      </c>
      <c r="N14" s="471">
        <f t="shared" si="9"/>
        <v>15.811985206549455</v>
      </c>
      <c r="O14" s="471">
        <f t="shared" si="9"/>
        <v>17.144369708964526</v>
      </c>
      <c r="P14" s="471">
        <f t="shared" si="9"/>
        <v>13.841844617734584</v>
      </c>
      <c r="Q14" s="471">
        <f t="shared" ref="Q14:R14" si="11">Q5/Q11</f>
        <v>12.525885414818189</v>
      </c>
      <c r="R14" s="471">
        <f t="shared" si="11"/>
        <v>12.654836511248545</v>
      </c>
      <c r="S14" s="471">
        <f t="shared" ref="S14" si="12">S5/S11</f>
        <v>12.494674203389399</v>
      </c>
    </row>
    <row r="15" spans="2:23" ht="13" customHeight="1">
      <c r="B15" s="96"/>
    </row>
    <row r="16" spans="2:23" ht="13" customHeight="1">
      <c r="B16" s="104"/>
      <c r="C16" s="290"/>
      <c r="D16" s="290"/>
      <c r="E16" s="290"/>
      <c r="F16" s="290"/>
      <c r="H16" s="290"/>
      <c r="I16" s="290"/>
      <c r="J16" s="290"/>
      <c r="K16" s="290"/>
      <c r="L16" s="290"/>
      <c r="M16" s="290"/>
      <c r="N16" s="290"/>
      <c r="O16" s="290"/>
      <c r="P16" s="290"/>
      <c r="Q16" s="290"/>
      <c r="R16" s="290"/>
    </row>
    <row r="17" spans="1:24" ht="13" customHeight="1">
      <c r="B17" s="105"/>
      <c r="C17" s="291"/>
      <c r="D17" s="291"/>
      <c r="E17" s="291"/>
      <c r="F17" s="291"/>
      <c r="H17" s="291"/>
      <c r="I17" s="291"/>
      <c r="J17" s="291"/>
      <c r="K17" s="291"/>
      <c r="L17" s="291"/>
      <c r="M17" s="291"/>
      <c r="N17" s="291"/>
      <c r="O17" s="291"/>
      <c r="P17" s="291"/>
      <c r="Q17" s="291"/>
      <c r="R17" s="291"/>
    </row>
    <row r="18" spans="1:24" ht="13" customHeight="1">
      <c r="B18" s="106"/>
      <c r="C18" s="287"/>
      <c r="D18" s="287"/>
      <c r="E18" s="287"/>
      <c r="F18" s="287"/>
      <c r="H18" s="287"/>
      <c r="I18" s="287"/>
      <c r="J18" s="287"/>
      <c r="K18" s="287"/>
      <c r="L18" s="287"/>
      <c r="M18" s="287"/>
      <c r="N18" s="287"/>
      <c r="O18" s="287"/>
      <c r="P18" s="287"/>
      <c r="Q18" s="287"/>
      <c r="R18" s="287"/>
    </row>
    <row r="19" spans="1:24" ht="13" customHeight="1">
      <c r="B19" s="95"/>
      <c r="C19" s="283"/>
      <c r="D19" s="283"/>
      <c r="E19" s="283"/>
      <c r="F19" s="283"/>
      <c r="H19" s="283"/>
      <c r="I19" s="283"/>
      <c r="J19" s="283"/>
      <c r="K19" s="283"/>
      <c r="L19" s="283"/>
      <c r="M19" s="283"/>
      <c r="N19" s="283"/>
      <c r="O19" s="283"/>
      <c r="P19" s="283"/>
      <c r="Q19" s="283"/>
      <c r="R19" s="283"/>
    </row>
    <row r="20" spans="1:24" ht="13" customHeight="1">
      <c r="B20" s="95"/>
      <c r="C20" s="283"/>
      <c r="D20" s="283"/>
      <c r="E20" s="283"/>
      <c r="F20" s="283"/>
      <c r="H20" s="283"/>
      <c r="I20" s="283"/>
      <c r="J20" s="283"/>
      <c r="K20" s="283"/>
      <c r="L20" s="283"/>
      <c r="M20" s="283"/>
      <c r="N20" s="283"/>
      <c r="O20" s="283"/>
      <c r="P20" s="283"/>
      <c r="Q20" s="283"/>
      <c r="R20" s="283"/>
    </row>
    <row r="21" spans="1:24" ht="13" customHeight="1">
      <c r="B21" s="95"/>
      <c r="C21" s="283"/>
      <c r="D21" s="283"/>
      <c r="E21" s="283"/>
      <c r="F21" s="283"/>
      <c r="H21" s="283"/>
      <c r="I21" s="283"/>
      <c r="J21" s="283"/>
      <c r="K21" s="283"/>
      <c r="L21" s="283"/>
      <c r="M21" s="283"/>
      <c r="N21" s="283"/>
      <c r="O21" s="283"/>
      <c r="P21" s="283"/>
      <c r="Q21" s="283"/>
      <c r="R21" s="283"/>
    </row>
    <row r="22" spans="1:24" ht="13" customHeight="1">
      <c r="B22" s="107"/>
      <c r="C22" s="292"/>
      <c r="D22" s="292"/>
      <c r="E22" s="292"/>
      <c r="F22" s="292"/>
      <c r="H22" s="292"/>
      <c r="I22" s="292"/>
      <c r="J22" s="292"/>
      <c r="K22" s="292"/>
      <c r="L22" s="292"/>
      <c r="M22" s="292"/>
      <c r="N22" s="292"/>
      <c r="O22" s="292"/>
      <c r="P22" s="292"/>
      <c r="Q22" s="292"/>
      <c r="R22" s="292"/>
    </row>
    <row r="23" spans="1:24" ht="13" customHeight="1">
      <c r="B23" s="97"/>
      <c r="C23" s="283"/>
      <c r="D23" s="283"/>
      <c r="E23" s="283"/>
      <c r="F23" s="283"/>
      <c r="H23" s="283"/>
      <c r="I23" s="283"/>
      <c r="J23" s="283"/>
      <c r="K23" s="283"/>
      <c r="L23" s="283"/>
      <c r="M23" s="283"/>
      <c r="N23" s="283"/>
      <c r="O23" s="283"/>
      <c r="P23" s="283"/>
      <c r="Q23" s="283"/>
      <c r="R23" s="283"/>
    </row>
    <row r="24" spans="1:24" ht="13" customHeight="1">
      <c r="B24" s="95"/>
      <c r="C24" s="283"/>
      <c r="D24" s="283"/>
      <c r="E24" s="283"/>
      <c r="F24" s="283"/>
      <c r="H24" s="283"/>
      <c r="I24" s="283"/>
      <c r="J24" s="283"/>
      <c r="K24" s="283"/>
      <c r="L24" s="283"/>
      <c r="M24" s="283"/>
      <c r="N24" s="283"/>
      <c r="O24" s="283"/>
      <c r="P24" s="283"/>
      <c r="Q24" s="283"/>
      <c r="R24" s="283"/>
    </row>
    <row r="25" spans="1:24" ht="13" customHeight="1">
      <c r="B25" s="95"/>
      <c r="C25" s="283"/>
      <c r="D25" s="283"/>
      <c r="E25" s="283"/>
      <c r="F25" s="283"/>
      <c r="H25" s="283"/>
      <c r="I25" s="283"/>
      <c r="J25" s="283"/>
      <c r="K25" s="283"/>
      <c r="L25" s="283"/>
      <c r="M25" s="283"/>
      <c r="N25" s="283"/>
      <c r="O25" s="283"/>
      <c r="P25" s="283"/>
      <c r="Q25" s="283"/>
      <c r="R25" s="283"/>
    </row>
    <row r="26" spans="1:24" ht="13" customHeight="1">
      <c r="B26" s="98"/>
      <c r="C26" s="283"/>
      <c r="D26" s="283"/>
      <c r="E26" s="283"/>
      <c r="F26" s="283"/>
      <c r="H26" s="283"/>
      <c r="I26" s="283"/>
      <c r="J26" s="283"/>
      <c r="K26" s="283"/>
      <c r="L26" s="283"/>
      <c r="M26" s="283"/>
      <c r="N26" s="283"/>
      <c r="O26" s="283"/>
      <c r="P26" s="283"/>
      <c r="Q26" s="283"/>
      <c r="R26" s="283"/>
    </row>
    <row r="27" spans="1:24" ht="13" customHeight="1">
      <c r="B27" s="99"/>
      <c r="C27" s="283"/>
      <c r="D27" s="283"/>
      <c r="E27" s="283"/>
      <c r="F27" s="283"/>
      <c r="H27" s="283"/>
      <c r="I27" s="283"/>
      <c r="J27" s="283"/>
      <c r="K27" s="283"/>
      <c r="L27" s="283"/>
      <c r="M27" s="283"/>
      <c r="N27" s="283"/>
      <c r="O27" s="283"/>
      <c r="P27" s="283"/>
      <c r="Q27" s="283"/>
      <c r="R27" s="283"/>
    </row>
    <row r="28" spans="1:24" ht="13" customHeight="1">
      <c r="B28" s="99"/>
      <c r="C28" s="283"/>
      <c r="D28" s="283"/>
      <c r="E28" s="283"/>
      <c r="F28" s="283"/>
      <c r="H28" s="283"/>
      <c r="I28" s="283"/>
      <c r="J28" s="283"/>
      <c r="K28" s="283"/>
      <c r="L28" s="283"/>
      <c r="M28" s="283"/>
      <c r="N28" s="283"/>
      <c r="O28" s="283"/>
      <c r="P28" s="283"/>
      <c r="Q28" s="283"/>
      <c r="R28" s="283"/>
    </row>
    <row r="29" spans="1:24" ht="13" customHeight="1">
      <c r="B29" s="97"/>
      <c r="C29" s="283"/>
      <c r="D29" s="283"/>
      <c r="E29" s="283"/>
      <c r="F29" s="283"/>
      <c r="H29" s="283"/>
      <c r="I29" s="283"/>
      <c r="J29" s="283"/>
      <c r="K29" s="283"/>
      <c r="L29" s="283"/>
      <c r="M29" s="283"/>
      <c r="N29" s="283"/>
      <c r="O29" s="283"/>
      <c r="P29" s="283"/>
      <c r="Q29" s="283"/>
      <c r="R29" s="283"/>
    </row>
    <row r="30" spans="1:24" ht="13" customHeight="1">
      <c r="B30" s="17"/>
    </row>
    <row r="32" spans="1:24" s="212" customFormat="1" ht="13" customHeight="1">
      <c r="A32" s="211"/>
      <c r="B32" s="6"/>
      <c r="G32" s="211"/>
      <c r="S32" s="211"/>
      <c r="T32" s="211"/>
      <c r="U32" s="211"/>
      <c r="V32" s="211"/>
      <c r="W32" s="211"/>
      <c r="X32" s="211"/>
    </row>
  </sheetData>
  <sheetProtection algorithmName="SHA-512" hashValue="2HdUA6FtjsKEVIT6Mxq7Qju+AMLIucmZ3+D1hHTAnc1yNcRQwAmHhk6524FeqV6H9M9r4fI8rBp3ylB/H9phBA==" saltValue="z+eemXnt90f0bWvY23telw=="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ignoredErrors>
    <ignoredError sqref="H11:P11 H13 C11:F11" 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1B5F-B07D-9545-B96E-2FDDC6A4331C}">
  <sheetPr>
    <tabColor theme="5" tint="0.59999389629810485"/>
  </sheetPr>
  <dimension ref="A1:X38"/>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9" width="10.83203125" style="212" customWidth="1"/>
    <col min="20" max="16384" width="10.83203125" style="211"/>
  </cols>
  <sheetData>
    <row r="1" spans="2:23" ht="13" customHeight="1">
      <c r="T1" s="212"/>
    </row>
    <row r="2" spans="2:23" s="12" customFormat="1" ht="13" customHeight="1">
      <c r="B2" s="400" t="str">
        <f>IF('Summary | Sumário'!D$3=Names!B$3,Names!AH1,Names!AI1)</f>
        <v>Monthly ARPAC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28">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13"/>
      <c r="V2" s="14"/>
      <c r="W2" s="15"/>
    </row>
    <row r="3" spans="2:23" ht="13" customHeight="1">
      <c r="B3" s="78"/>
      <c r="C3" s="254"/>
      <c r="D3" s="254"/>
      <c r="E3" s="254"/>
      <c r="F3" s="254"/>
      <c r="G3" s="254"/>
      <c r="H3" s="254"/>
      <c r="I3" s="254"/>
      <c r="J3" s="254"/>
      <c r="K3" s="254"/>
      <c r="L3" s="254"/>
      <c r="M3" s="254"/>
      <c r="N3" s="254"/>
      <c r="O3" s="254"/>
      <c r="P3" s="254"/>
      <c r="Q3" s="254"/>
      <c r="R3" s="254"/>
      <c r="S3" s="254"/>
      <c r="T3" s="223"/>
    </row>
    <row r="4" spans="2:23" ht="13" customHeight="1">
      <c r="B4" s="7" t="str">
        <f>IF('Summary | Sumário'!D$3=Names!B$3,Names!AH3,Names!AI3)</f>
        <v>ARPAC (gross of cost of funding)</v>
      </c>
      <c r="C4" s="281"/>
      <c r="D4" s="281"/>
      <c r="E4" s="281"/>
      <c r="F4" s="281"/>
      <c r="G4" s="281"/>
      <c r="H4" s="281"/>
      <c r="I4" s="281"/>
      <c r="J4" s="281"/>
      <c r="K4" s="281"/>
      <c r="L4" s="281"/>
      <c r="M4" s="281"/>
      <c r="N4" s="281"/>
      <c r="O4" s="281"/>
      <c r="P4" s="281"/>
      <c r="Q4" s="281"/>
      <c r="R4" s="281"/>
      <c r="S4" s="281"/>
    </row>
    <row r="5" spans="2:23" ht="13" customHeight="1">
      <c r="B5" s="108" t="str">
        <f>IF('Summary | Sumário'!D$3=Names!B$3,Names!AH4,Names!AI4)</f>
        <v>Monthly average of total gross revenues</v>
      </c>
      <c r="C5" s="282">
        <f>C6/12</f>
        <v>85464</v>
      </c>
      <c r="D5" s="282">
        <f t="shared" ref="D5:E5" si="0">D6/12</f>
        <v>110608.40793166666</v>
      </c>
      <c r="E5" s="282">
        <f t="shared" si="0"/>
        <v>259727.10383333333</v>
      </c>
      <c r="F5" s="282">
        <f>F6/12</f>
        <v>498851.50683333329</v>
      </c>
      <c r="G5" s="282">
        <f>G6/12</f>
        <v>667684.5</v>
      </c>
      <c r="H5" s="282">
        <f>H6/3</f>
        <v>181362.19833333333</v>
      </c>
      <c r="I5" s="282">
        <f t="shared" ref="I5:S5" si="1">I6/3</f>
        <v>211899.91700000002</v>
      </c>
      <c r="J5" s="282">
        <f t="shared" si="1"/>
        <v>279111.62666666665</v>
      </c>
      <c r="K5" s="282">
        <f t="shared" si="1"/>
        <v>366534.34</v>
      </c>
      <c r="L5" s="282">
        <f t="shared" si="1"/>
        <v>427116.54399999999</v>
      </c>
      <c r="M5" s="282">
        <f t="shared" si="1"/>
        <v>487088.5456666667</v>
      </c>
      <c r="N5" s="282">
        <f t="shared" si="1"/>
        <v>513268.57700000005</v>
      </c>
      <c r="O5" s="282">
        <f t="shared" si="1"/>
        <v>567932.36066666665</v>
      </c>
      <c r="P5" s="282">
        <f t="shared" si="1"/>
        <v>599943.60733333335</v>
      </c>
      <c r="Q5" s="282">
        <f t="shared" si="1"/>
        <v>646180.66666666663</v>
      </c>
      <c r="R5" s="282">
        <f t="shared" si="1"/>
        <v>714488.52967333328</v>
      </c>
      <c r="S5" s="282">
        <f t="shared" si="1"/>
        <v>732315.3963266667</v>
      </c>
    </row>
    <row r="6" spans="2:23" ht="13" customHeight="1">
      <c r="B6" s="85" t="str">
        <f>IF('Summary | Sumário'!D$3=Names!B$3,Names!AH5,Names!AI5)</f>
        <v>Total gross revenues</v>
      </c>
      <c r="C6" s="287">
        <f t="shared" ref="C6:P6" si="2">SUM(C7:C11)</f>
        <v>1025568</v>
      </c>
      <c r="D6" s="287">
        <f t="shared" si="2"/>
        <v>1327300.89518</v>
      </c>
      <c r="E6" s="287">
        <f t="shared" si="2"/>
        <v>3116725.2459999998</v>
      </c>
      <c r="F6" s="287">
        <f t="shared" si="2"/>
        <v>5986218.0819999995</v>
      </c>
      <c r="G6" s="287">
        <f t="shared" ref="G6" si="3">SUM(G7:G11)</f>
        <v>8012214</v>
      </c>
      <c r="H6" s="287">
        <f t="shared" si="2"/>
        <v>544086.59499999997</v>
      </c>
      <c r="I6" s="287">
        <f t="shared" si="2"/>
        <v>635699.75100000005</v>
      </c>
      <c r="J6" s="287">
        <f t="shared" si="2"/>
        <v>837334.88</v>
      </c>
      <c r="K6" s="287">
        <f t="shared" si="2"/>
        <v>1099603.02</v>
      </c>
      <c r="L6" s="287">
        <f t="shared" si="2"/>
        <v>1281349.632</v>
      </c>
      <c r="M6" s="287">
        <f t="shared" si="2"/>
        <v>1461265.6370000001</v>
      </c>
      <c r="N6" s="287">
        <f t="shared" si="2"/>
        <v>1539805.7310000001</v>
      </c>
      <c r="O6" s="287">
        <f t="shared" si="2"/>
        <v>1703797.0819999999</v>
      </c>
      <c r="P6" s="287">
        <f t="shared" si="2"/>
        <v>1799830.8220000002</v>
      </c>
      <c r="Q6" s="287">
        <f>SUM(Q7:Q12)</f>
        <v>1938542</v>
      </c>
      <c r="R6" s="287">
        <f>SUM(R7:R12)</f>
        <v>2143465.5890199998</v>
      </c>
      <c r="S6" s="287">
        <f>SUM(S7:S12)</f>
        <v>2196946.1889800001</v>
      </c>
    </row>
    <row r="7" spans="2:23" ht="13" customHeight="1">
      <c r="B7" s="100" t="str">
        <f>IF('Summary | Sumário'!D$3=Names!B$3,Names!AH6,Names!AI6)</f>
        <v>Interest income</v>
      </c>
      <c r="C7" s="282">
        <v>775515</v>
      </c>
      <c r="D7" s="282">
        <v>942655.89517999999</v>
      </c>
      <c r="E7" s="282">
        <v>1435428.2459999998</v>
      </c>
      <c r="F7" s="282">
        <v>2802658.0819999995</v>
      </c>
      <c r="G7" s="282">
        <v>4549827</v>
      </c>
      <c r="H7" s="282">
        <v>289003.935</v>
      </c>
      <c r="I7" s="282">
        <v>305659.75100000005</v>
      </c>
      <c r="J7" s="282">
        <v>367405.88</v>
      </c>
      <c r="K7" s="282">
        <v>473357.68</v>
      </c>
      <c r="L7" s="282">
        <v>521159.63199999993</v>
      </c>
      <c r="M7" s="282">
        <v>622312.6370000001</v>
      </c>
      <c r="N7" s="282">
        <v>788342.73100000003</v>
      </c>
      <c r="O7" s="282">
        <v>870843.08199999994</v>
      </c>
      <c r="P7" s="282">
        <v>1012926.822</v>
      </c>
      <c r="Q7" s="282">
        <v>1151105</v>
      </c>
      <c r="R7" s="282">
        <v>1106935.08874</v>
      </c>
      <c r="S7" s="282">
        <v>1278860.08926</v>
      </c>
    </row>
    <row r="8" spans="2:23" ht="13" customHeight="1">
      <c r="B8" s="95" t="str">
        <f>IF('Summary | Sumário'!D$3=Names!B$3,Names!AH7,Names!AI7)</f>
        <v>Income from securities and derivatives</v>
      </c>
      <c r="C8" s="283">
        <v>66753</v>
      </c>
      <c r="D8" s="283">
        <v>-42358</v>
      </c>
      <c r="E8" s="283">
        <v>697283</v>
      </c>
      <c r="F8" s="283">
        <v>1505621</v>
      </c>
      <c r="G8" s="283">
        <v>1545835</v>
      </c>
      <c r="H8" s="283">
        <v>68136</v>
      </c>
      <c r="I8" s="283">
        <v>82897</v>
      </c>
      <c r="J8" s="283">
        <v>218551</v>
      </c>
      <c r="K8" s="283">
        <v>327699</v>
      </c>
      <c r="L8" s="283">
        <v>359022</v>
      </c>
      <c r="M8" s="283">
        <v>403816</v>
      </c>
      <c r="N8" s="283">
        <v>346923</v>
      </c>
      <c r="O8" s="283">
        <v>395860</v>
      </c>
      <c r="P8" s="283">
        <v>371406</v>
      </c>
      <c r="Q8" s="283">
        <v>343176</v>
      </c>
      <c r="R8" s="283">
        <v>482020</v>
      </c>
      <c r="S8" s="283">
        <v>349233</v>
      </c>
    </row>
    <row r="9" spans="2:23" ht="13" customHeight="1">
      <c r="B9" s="100" t="str">
        <f>IF('Summary | Sumário'!D$3=Names!B$3,Names!AH8,Names!AI8)</f>
        <v xml:space="preserve">Revenues from services and commissions </v>
      </c>
      <c r="C9" s="284">
        <v>130457</v>
      </c>
      <c r="D9" s="284">
        <v>257145</v>
      </c>
      <c r="E9" s="284">
        <v>542569</v>
      </c>
      <c r="F9" s="284">
        <v>968039</v>
      </c>
      <c r="G9" s="284">
        <v>1304382</v>
      </c>
      <c r="H9" s="284">
        <v>100965</v>
      </c>
      <c r="I9" s="284">
        <v>110911</v>
      </c>
      <c r="J9" s="284">
        <v>149283</v>
      </c>
      <c r="K9" s="284">
        <v>181410</v>
      </c>
      <c r="L9" s="284">
        <v>206219</v>
      </c>
      <c r="M9" s="284">
        <v>238515</v>
      </c>
      <c r="N9" s="284">
        <v>250433</v>
      </c>
      <c r="O9" s="284">
        <v>272872</v>
      </c>
      <c r="P9" s="284">
        <v>282353</v>
      </c>
      <c r="Q9" s="284">
        <v>298524</v>
      </c>
      <c r="R9" s="284">
        <v>347780</v>
      </c>
      <c r="S9" s="284">
        <v>375724.6</v>
      </c>
    </row>
    <row r="10" spans="2:23" ht="13" customHeight="1">
      <c r="B10" s="95" t="str">
        <f>IF('Summary | Sumário'!D$3=Names!B$3,Names!AH10,Names!AI10)</f>
        <v>Other revenues</v>
      </c>
      <c r="C10" s="283">
        <v>52843</v>
      </c>
      <c r="D10" s="283">
        <v>109882</v>
      </c>
      <c r="E10" s="283">
        <v>190082</v>
      </c>
      <c r="F10" s="283">
        <v>388462</v>
      </c>
      <c r="G10" s="283">
        <v>375688</v>
      </c>
      <c r="H10" s="283">
        <v>47499</v>
      </c>
      <c r="I10" s="283">
        <v>76048</v>
      </c>
      <c r="J10" s="283">
        <v>36287</v>
      </c>
      <c r="K10" s="283">
        <v>30248</v>
      </c>
      <c r="L10" s="283">
        <v>112407</v>
      </c>
      <c r="M10" s="283">
        <v>111372</v>
      </c>
      <c r="N10" s="283">
        <v>77687</v>
      </c>
      <c r="O10" s="283">
        <v>86996</v>
      </c>
      <c r="P10" s="283">
        <v>65877</v>
      </c>
      <c r="Q10" s="283">
        <v>81158</v>
      </c>
      <c r="R10" s="283">
        <v>131429.50028000001</v>
      </c>
      <c r="S10" s="283">
        <v>97223.499719999993</v>
      </c>
    </row>
    <row r="11" spans="2:23" ht="13" customHeight="1">
      <c r="B11" s="100" t="str">
        <f>IF('Summary | Sumário'!D$3=Names!B$3,Names!AH11,Names!AI11)</f>
        <v>(+) Cashback expenses</v>
      </c>
      <c r="C11" s="284">
        <v>0</v>
      </c>
      <c r="D11" s="284">
        <v>59976</v>
      </c>
      <c r="E11" s="284">
        <v>251363</v>
      </c>
      <c r="F11" s="284">
        <v>321438</v>
      </c>
      <c r="G11" s="284">
        <v>236482</v>
      </c>
      <c r="H11" s="284">
        <v>38482.660000000003</v>
      </c>
      <c r="I11" s="284">
        <v>60184</v>
      </c>
      <c r="J11" s="284">
        <v>65808</v>
      </c>
      <c r="K11" s="284">
        <v>86888.34</v>
      </c>
      <c r="L11" s="284">
        <v>82542</v>
      </c>
      <c r="M11" s="284">
        <v>85250</v>
      </c>
      <c r="N11" s="284">
        <v>76420</v>
      </c>
      <c r="O11" s="284">
        <v>77226</v>
      </c>
      <c r="P11" s="284">
        <v>67268</v>
      </c>
      <c r="Q11" s="284">
        <v>58005</v>
      </c>
      <c r="R11" s="284">
        <v>48391</v>
      </c>
      <c r="S11" s="284">
        <v>62818</v>
      </c>
    </row>
    <row r="12" spans="2:23" ht="13" customHeight="1">
      <c r="B12" s="95" t="str">
        <f>IF('Summary | Sumário'!D$3=Names!B$3,Names!AH32,Names!AI32)</f>
        <v>(+) Inter rewards</v>
      </c>
      <c r="C12" s="283">
        <v>0</v>
      </c>
      <c r="D12" s="283">
        <v>0</v>
      </c>
      <c r="E12" s="283">
        <v>0</v>
      </c>
      <c r="F12" s="283">
        <v>0</v>
      </c>
      <c r="G12" s="283">
        <v>66571</v>
      </c>
      <c r="H12" s="283">
        <v>0</v>
      </c>
      <c r="I12" s="283">
        <v>0</v>
      </c>
      <c r="J12" s="283">
        <v>0</v>
      </c>
      <c r="K12" s="283">
        <v>0</v>
      </c>
      <c r="L12" s="283">
        <v>0</v>
      </c>
      <c r="M12" s="283">
        <v>0</v>
      </c>
      <c r="N12" s="283">
        <v>0</v>
      </c>
      <c r="O12" s="283">
        <v>0</v>
      </c>
      <c r="P12" s="283">
        <v>0</v>
      </c>
      <c r="Q12" s="283">
        <v>6574</v>
      </c>
      <c r="R12" s="283">
        <v>26910</v>
      </c>
      <c r="S12" s="283">
        <v>33087</v>
      </c>
    </row>
    <row r="13" spans="2:23" ht="13" customHeight="1">
      <c r="B13" s="84" t="str">
        <f>IF('Summary | Sumário'!D$3=Names!B$3,Names!AH12,Names!AI12)</f>
        <v>(÷) Average of active clients</v>
      </c>
      <c r="C13" s="282">
        <f>C14</f>
        <v>2282.6979999999999</v>
      </c>
      <c r="D13" s="282">
        <f>AVERAGE(C14:D14)</f>
        <v>3767.4889999999996</v>
      </c>
      <c r="E13" s="282">
        <f t="shared" ref="E13:G13" si="4">AVERAGE(D14:E14)</f>
        <v>7039.3045000000002</v>
      </c>
      <c r="F13" s="282">
        <f t="shared" si="4"/>
        <v>10705.3665</v>
      </c>
      <c r="G13" s="282">
        <f t="shared" si="4"/>
        <v>14494.899000000001</v>
      </c>
      <c r="H13" s="282">
        <f>AVERAGE(H14,D14)</f>
        <v>5692.4650000000001</v>
      </c>
      <c r="I13" s="282">
        <f>AVERAGE(H14:I14)</f>
        <v>6597.8119999999999</v>
      </c>
      <c r="J13" s="282">
        <f t="shared" ref="J13:P13" si="5">AVERAGE(I14:J14)</f>
        <v>7514.7129999999997</v>
      </c>
      <c r="K13" s="282">
        <f t="shared" si="5"/>
        <v>8396.3904999999995</v>
      </c>
      <c r="L13" s="282">
        <f t="shared" si="5"/>
        <v>9358.8734999999997</v>
      </c>
      <c r="M13" s="282">
        <f t="shared" si="5"/>
        <v>10303.8135</v>
      </c>
      <c r="N13" s="282">
        <f t="shared" si="5"/>
        <v>11182.7415</v>
      </c>
      <c r="O13" s="282">
        <f t="shared" si="5"/>
        <v>12116.839</v>
      </c>
      <c r="P13" s="282">
        <f t="shared" si="5"/>
        <v>13062.486000000001</v>
      </c>
      <c r="Q13" s="282">
        <f>AVERAGE(P14:Q14)</f>
        <v>14017.737499999999</v>
      </c>
      <c r="R13" s="282">
        <f>AVERAGE(Q14:R14)</f>
        <v>14984.0635</v>
      </c>
      <c r="S13" s="282">
        <f>AVERAGE(R14:S14)</f>
        <v>15939.307000000001</v>
      </c>
    </row>
    <row r="14" spans="2:23" ht="13" customHeight="1">
      <c r="B14" s="86" t="str">
        <f>IF('Summary | Sumário'!D$3=Names!B$3,Names!AH13,Names!AI13)</f>
        <v>Active clients</v>
      </c>
      <c r="C14" s="287">
        <v>2282.6979999999999</v>
      </c>
      <c r="D14" s="287">
        <v>5252.28</v>
      </c>
      <c r="E14" s="287">
        <v>8826.3289999999997</v>
      </c>
      <c r="F14" s="287">
        <v>12584.404</v>
      </c>
      <c r="G14" s="287">
        <f>S14</f>
        <v>16405.394</v>
      </c>
      <c r="H14" s="287">
        <v>6132.65</v>
      </c>
      <c r="I14" s="287">
        <v>7062.9740000000002</v>
      </c>
      <c r="J14" s="287">
        <v>7966.4520000000002</v>
      </c>
      <c r="K14" s="287">
        <v>8826.3289999999997</v>
      </c>
      <c r="L14" s="287">
        <v>9891.4179999999997</v>
      </c>
      <c r="M14" s="287">
        <v>10716.209000000001</v>
      </c>
      <c r="N14" s="287">
        <v>11649.273999999999</v>
      </c>
      <c r="O14" s="287">
        <v>12584.404</v>
      </c>
      <c r="P14" s="287">
        <v>13540.567999999999</v>
      </c>
      <c r="Q14" s="287">
        <v>14494.906999999999</v>
      </c>
      <c r="R14" s="287">
        <v>15473.22</v>
      </c>
      <c r="S14" s="287">
        <v>16405.394</v>
      </c>
    </row>
    <row r="15" spans="2:23" ht="13" customHeight="1">
      <c r="B15" s="91" t="str">
        <f>IF('Summary | Sumário'!D$3=Names!B$3,Names!AH14,Names!AI14)</f>
        <v>Active clients in the previus period</v>
      </c>
      <c r="C15" s="282">
        <f>C14</f>
        <v>2282.6979999999999</v>
      </c>
      <c r="D15" s="282">
        <f>C15</f>
        <v>2282.6979999999999</v>
      </c>
      <c r="E15" s="282">
        <f>D14</f>
        <v>5252.28</v>
      </c>
      <c r="F15" s="282">
        <f t="shared" ref="F15:G15" si="6">E14</f>
        <v>8826.3289999999997</v>
      </c>
      <c r="G15" s="282">
        <f t="shared" si="6"/>
        <v>12584.404</v>
      </c>
      <c r="H15" s="282">
        <f>D14</f>
        <v>5252.28</v>
      </c>
      <c r="I15" s="282">
        <f t="shared" ref="I15" si="7">H14</f>
        <v>6132.65</v>
      </c>
      <c r="J15" s="282">
        <f t="shared" ref="J15" si="8">I14</f>
        <v>7062.9740000000002</v>
      </c>
      <c r="K15" s="282">
        <f t="shared" ref="K15" si="9">J14</f>
        <v>7966.4520000000002</v>
      </c>
      <c r="L15" s="282">
        <f t="shared" ref="L15" si="10">K14</f>
        <v>8826.3289999999997</v>
      </c>
      <c r="M15" s="282">
        <f t="shared" ref="M15" si="11">L14</f>
        <v>9891.4179999999997</v>
      </c>
      <c r="N15" s="282">
        <f t="shared" ref="N15" si="12">M14</f>
        <v>10716.209000000001</v>
      </c>
      <c r="O15" s="282">
        <f t="shared" ref="O15" si="13">N14</f>
        <v>11649.273999999999</v>
      </c>
      <c r="P15" s="282">
        <f t="shared" ref="P15" si="14">O14</f>
        <v>12584.404</v>
      </c>
      <c r="Q15" s="282">
        <f>P14</f>
        <v>13540.567999999999</v>
      </c>
      <c r="R15" s="282">
        <f>Q14</f>
        <v>14494.906999999999</v>
      </c>
      <c r="S15" s="282">
        <f>R14</f>
        <v>15473.22</v>
      </c>
    </row>
    <row r="16" spans="2:23" ht="13" customHeight="1">
      <c r="B16" s="8" t="str">
        <f>IF('Summary | Sumário'!D$3=Names!B$3,Names!AH15,Names!AI15)</f>
        <v>(=) Gross ARPAC (R$)</v>
      </c>
      <c r="C16" s="288">
        <f t="shared" ref="C16:P16" si="15">C5/C13</f>
        <v>37.439906636795584</v>
      </c>
      <c r="D16" s="288">
        <f t="shared" si="15"/>
        <v>29.358654512771416</v>
      </c>
      <c r="E16" s="288">
        <f t="shared" si="15"/>
        <v>36.896699643172603</v>
      </c>
      <c r="F16" s="288">
        <f t="shared" si="15"/>
        <v>46.598265162928641</v>
      </c>
      <c r="G16" s="288">
        <f t="shared" ref="G16" si="16">G5/G13</f>
        <v>46.063411687104541</v>
      </c>
      <c r="H16" s="288">
        <f t="shared" si="15"/>
        <v>31.860046277549941</v>
      </c>
      <c r="I16" s="288">
        <f t="shared" si="15"/>
        <v>32.116695201378882</v>
      </c>
      <c r="J16" s="288">
        <f t="shared" si="15"/>
        <v>37.142020815254909</v>
      </c>
      <c r="K16" s="288">
        <f t="shared" si="15"/>
        <v>43.653798617393988</v>
      </c>
      <c r="L16" s="288">
        <f t="shared" si="15"/>
        <v>45.637602004130095</v>
      </c>
      <c r="M16" s="288">
        <f t="shared" si="15"/>
        <v>47.272647711128187</v>
      </c>
      <c r="N16" s="288">
        <f t="shared" si="15"/>
        <v>45.89827789545167</v>
      </c>
      <c r="O16" s="288">
        <f t="shared" si="15"/>
        <v>46.871330110655649</v>
      </c>
      <c r="P16" s="288">
        <f t="shared" si="15"/>
        <v>45.928746437189162</v>
      </c>
      <c r="Q16" s="288">
        <f>Q5/Q13</f>
        <v>46.097358198258931</v>
      </c>
      <c r="R16" s="288">
        <f>R5/R13</f>
        <v>47.683228896709714</v>
      </c>
      <c r="S16" s="288">
        <f>S5/S13</f>
        <v>45.943992190292001</v>
      </c>
    </row>
    <row r="17" spans="2:19" ht="13" customHeight="1">
      <c r="B17" s="102"/>
      <c r="C17" s="286"/>
      <c r="D17" s="286"/>
      <c r="E17" s="286"/>
      <c r="F17" s="286"/>
      <c r="G17" s="286"/>
      <c r="H17" s="286"/>
      <c r="I17" s="286"/>
      <c r="J17" s="286"/>
      <c r="K17" s="286"/>
      <c r="L17" s="286"/>
      <c r="M17" s="286"/>
      <c r="N17" s="286"/>
      <c r="O17" s="286"/>
      <c r="P17" s="286"/>
      <c r="Q17" s="286"/>
      <c r="R17" s="286"/>
      <c r="S17" s="286"/>
    </row>
    <row r="18" spans="2:19" ht="13" customHeight="1">
      <c r="B18" s="7" t="str">
        <f>IF('Summary | Sumário'!D$3=Names!B$3,Names!AH17,Names!AI17)</f>
        <v>ARPAC (net of cost of funding)</v>
      </c>
      <c r="C18" s="281"/>
      <c r="D18" s="281"/>
      <c r="E18" s="281"/>
      <c r="F18" s="281"/>
      <c r="G18" s="281"/>
      <c r="H18" s="281"/>
      <c r="I18" s="281"/>
      <c r="J18" s="281"/>
      <c r="K18" s="281"/>
      <c r="L18" s="281"/>
      <c r="M18" s="281"/>
      <c r="N18" s="281"/>
      <c r="O18" s="281"/>
      <c r="P18" s="281"/>
      <c r="Q18" s="281"/>
      <c r="R18" s="281"/>
      <c r="S18" s="281"/>
    </row>
    <row r="19" spans="2:19" ht="13" customHeight="1">
      <c r="B19" s="118" t="str">
        <f>IF('Summary | Sumário'!D$3=Names!B$3,Names!AH18,Names!AI18)</f>
        <v>Monthly average total revenues net of cost of funding</v>
      </c>
      <c r="C19" s="282">
        <f>C20/12</f>
        <v>64070.916666666664</v>
      </c>
      <c r="D19" s="282">
        <f t="shared" ref="D19" si="17">D20/12</f>
        <v>95247.157931666661</v>
      </c>
      <c r="E19" s="282">
        <f t="shared" ref="E19" si="18">E20/12</f>
        <v>214456.93716666664</v>
      </c>
      <c r="F19" s="282">
        <f>F20/12</f>
        <v>334447.3401666666</v>
      </c>
      <c r="G19" s="282">
        <f>G20/12</f>
        <v>432601</v>
      </c>
      <c r="H19" s="282">
        <f>H20/3</f>
        <v>159509.19833333333</v>
      </c>
      <c r="I19" s="282">
        <f t="shared" ref="I19" si="19">I20/3</f>
        <v>183146.25033333336</v>
      </c>
      <c r="J19" s="282">
        <f t="shared" ref="J19" si="20">J20/3</f>
        <v>232915.96</v>
      </c>
      <c r="K19" s="282">
        <f t="shared" ref="K19" si="21">K20/3</f>
        <v>282256.00666666665</v>
      </c>
      <c r="L19" s="282">
        <f t="shared" ref="L19" si="22">L20/3</f>
        <v>314859.54399999999</v>
      </c>
      <c r="M19" s="282">
        <f t="shared" ref="M19" si="23">M20/3</f>
        <v>332074.87900000002</v>
      </c>
      <c r="N19" s="282">
        <f t="shared" ref="N19" si="24">N20/3</f>
        <v>320042.57700000005</v>
      </c>
      <c r="O19" s="282">
        <f t="shared" ref="O19" si="25">O20/3</f>
        <v>370812.36066666665</v>
      </c>
      <c r="P19" s="282">
        <f t="shared" ref="P19:S19" si="26">P20/3</f>
        <v>375686.60733333341</v>
      </c>
      <c r="Q19" s="282">
        <f t="shared" si="26"/>
        <v>415445.33333333331</v>
      </c>
      <c r="R19" s="282">
        <f t="shared" si="26"/>
        <v>457689.19633999997</v>
      </c>
      <c r="S19" s="282">
        <f t="shared" si="26"/>
        <v>481582.7279933333</v>
      </c>
    </row>
    <row r="20" spans="2:19" ht="13" customHeight="1">
      <c r="B20" s="85" t="str">
        <f>IF('Summary | Sumário'!D$3=Names!B$3,Names!AH19,Names!AI19)</f>
        <v>Total revenues net of cost of funding</v>
      </c>
      <c r="C20" s="287">
        <f t="shared" ref="C20:Q20" si="27">SUM(C21:C27)</f>
        <v>768851</v>
      </c>
      <c r="D20" s="287">
        <f t="shared" si="27"/>
        <v>1142965.89518</v>
      </c>
      <c r="E20" s="287">
        <f t="shared" si="27"/>
        <v>2573483.2459999998</v>
      </c>
      <c r="F20" s="287">
        <f t="shared" si="27"/>
        <v>4013368.0819999995</v>
      </c>
      <c r="G20" s="287">
        <f t="shared" ref="G20" si="28">SUM(G21:G27)</f>
        <v>5191212</v>
      </c>
      <c r="H20" s="287">
        <f t="shared" si="27"/>
        <v>478527.59499999997</v>
      </c>
      <c r="I20" s="287">
        <f t="shared" si="27"/>
        <v>549438.75100000005</v>
      </c>
      <c r="J20" s="287">
        <f t="shared" si="27"/>
        <v>698747.88</v>
      </c>
      <c r="K20" s="287">
        <f t="shared" si="27"/>
        <v>846768.02</v>
      </c>
      <c r="L20" s="287">
        <f t="shared" si="27"/>
        <v>944578.63199999998</v>
      </c>
      <c r="M20" s="287">
        <f t="shared" si="27"/>
        <v>996224.6370000001</v>
      </c>
      <c r="N20" s="287">
        <f t="shared" si="27"/>
        <v>960127.73100000015</v>
      </c>
      <c r="O20" s="287">
        <f t="shared" si="27"/>
        <v>1112437.0819999999</v>
      </c>
      <c r="P20" s="287">
        <f t="shared" si="27"/>
        <v>1127059.8220000002</v>
      </c>
      <c r="Q20" s="287">
        <f t="shared" si="27"/>
        <v>1246336</v>
      </c>
      <c r="R20" s="287">
        <f t="shared" ref="R20:S20" si="29">SUM(R21:R27)</f>
        <v>1373067.5890199998</v>
      </c>
      <c r="S20" s="287">
        <f t="shared" si="29"/>
        <v>1444748.18398</v>
      </c>
    </row>
    <row r="21" spans="2:19" ht="13" customHeight="1">
      <c r="B21" s="100" t="str">
        <f>IF('Summary | Sumário'!D$3=Names!B$3,Names!AH20,Names!AI20)</f>
        <v>Interest income</v>
      </c>
      <c r="C21" s="282">
        <v>775515</v>
      </c>
      <c r="D21" s="282">
        <v>942655.89517999999</v>
      </c>
      <c r="E21" s="282">
        <v>1435428.2459999998</v>
      </c>
      <c r="F21" s="282">
        <v>2802658.0819999995</v>
      </c>
      <c r="G21" s="282">
        <v>4549827</v>
      </c>
      <c r="H21" s="282">
        <v>289003.935</v>
      </c>
      <c r="I21" s="282">
        <v>305659.75100000005</v>
      </c>
      <c r="J21" s="282">
        <v>367405.88</v>
      </c>
      <c r="K21" s="282">
        <v>473357.68</v>
      </c>
      <c r="L21" s="282">
        <v>521159.63199999993</v>
      </c>
      <c r="M21" s="282">
        <v>622312.6370000001</v>
      </c>
      <c r="N21" s="282">
        <v>788342.73100000003</v>
      </c>
      <c r="O21" s="282">
        <v>870843.08199999994</v>
      </c>
      <c r="P21" s="282">
        <v>1012926.822</v>
      </c>
      <c r="Q21" s="282">
        <v>1151105</v>
      </c>
      <c r="R21" s="282">
        <v>1106935.08874</v>
      </c>
      <c r="S21" s="282">
        <v>1278860.08926</v>
      </c>
    </row>
    <row r="22" spans="2:19" ht="13" customHeight="1">
      <c r="B22" s="95" t="str">
        <f>IF('Summary | Sumário'!D$3=Names!B$3,Names!AH21,Names!AI21)</f>
        <v>Income from securities and derivatives</v>
      </c>
      <c r="C22" s="283">
        <v>66753</v>
      </c>
      <c r="D22" s="283">
        <v>-42358</v>
      </c>
      <c r="E22" s="283">
        <v>697283</v>
      </c>
      <c r="F22" s="283">
        <v>1505621</v>
      </c>
      <c r="G22" s="283">
        <v>1545835</v>
      </c>
      <c r="H22" s="283">
        <v>68136</v>
      </c>
      <c r="I22" s="283">
        <v>82897</v>
      </c>
      <c r="J22" s="283">
        <v>218551</v>
      </c>
      <c r="K22" s="283">
        <v>327699</v>
      </c>
      <c r="L22" s="283">
        <v>359022</v>
      </c>
      <c r="M22" s="283">
        <v>403816</v>
      </c>
      <c r="N22" s="283">
        <v>346923</v>
      </c>
      <c r="O22" s="283">
        <v>395860</v>
      </c>
      <c r="P22" s="283">
        <v>371406</v>
      </c>
      <c r="Q22" s="283">
        <v>343176</v>
      </c>
      <c r="R22" s="283">
        <v>482020</v>
      </c>
      <c r="S22" s="283">
        <v>349233</v>
      </c>
    </row>
    <row r="23" spans="2:19" ht="13" customHeight="1">
      <c r="B23" s="100" t="str">
        <f>IF('Summary | Sumário'!D$3=Names!B$3,Names!AH22,Names!AI22)</f>
        <v xml:space="preserve">Revenues from services and commissions </v>
      </c>
      <c r="C23" s="284">
        <v>130457</v>
      </c>
      <c r="D23" s="284">
        <v>257145</v>
      </c>
      <c r="E23" s="284">
        <v>542569</v>
      </c>
      <c r="F23" s="284">
        <v>968039</v>
      </c>
      <c r="G23" s="284">
        <v>1304382</v>
      </c>
      <c r="H23" s="284">
        <v>100965</v>
      </c>
      <c r="I23" s="284">
        <v>110911</v>
      </c>
      <c r="J23" s="284">
        <v>149283</v>
      </c>
      <c r="K23" s="284">
        <v>181410</v>
      </c>
      <c r="L23" s="284">
        <v>206219</v>
      </c>
      <c r="M23" s="284">
        <v>238515</v>
      </c>
      <c r="N23" s="284">
        <v>250433</v>
      </c>
      <c r="O23" s="284">
        <v>272872</v>
      </c>
      <c r="P23" s="284">
        <v>282353</v>
      </c>
      <c r="Q23" s="284">
        <v>298524</v>
      </c>
      <c r="R23" s="284">
        <v>347780</v>
      </c>
      <c r="S23" s="284">
        <v>375724.6</v>
      </c>
    </row>
    <row r="24" spans="2:19" ht="13" customHeight="1">
      <c r="B24" s="95" t="str">
        <f>IF('Summary | Sumário'!D$3=Names!B$3,Names!AH24,Names!AI24)</f>
        <v>Other revenues</v>
      </c>
      <c r="C24" s="283">
        <v>52843</v>
      </c>
      <c r="D24" s="283">
        <v>109882</v>
      </c>
      <c r="E24" s="283">
        <v>190082</v>
      </c>
      <c r="F24" s="283">
        <v>388462</v>
      </c>
      <c r="G24" s="283">
        <v>375688</v>
      </c>
      <c r="H24" s="283">
        <v>47499</v>
      </c>
      <c r="I24" s="283">
        <v>76048</v>
      </c>
      <c r="J24" s="283">
        <v>36287</v>
      </c>
      <c r="K24" s="283">
        <v>30248</v>
      </c>
      <c r="L24" s="283">
        <v>112407</v>
      </c>
      <c r="M24" s="283">
        <v>111372</v>
      </c>
      <c r="N24" s="283">
        <v>77687</v>
      </c>
      <c r="O24" s="283">
        <v>86996</v>
      </c>
      <c r="P24" s="283">
        <v>65877</v>
      </c>
      <c r="Q24" s="283">
        <v>81158</v>
      </c>
      <c r="R24" s="283">
        <v>131429.50028000001</v>
      </c>
      <c r="S24" s="283">
        <v>97223.499719999993</v>
      </c>
    </row>
    <row r="25" spans="2:19" ht="13" customHeight="1">
      <c r="B25" s="100" t="str">
        <f>IF('Summary | Sumário'!D$3=Names!B$3,Names!AH25,Names!AI25)</f>
        <v>(+) Cashback expenses</v>
      </c>
      <c r="C25" s="284">
        <f t="shared" ref="C25:Q26" si="30">C11</f>
        <v>0</v>
      </c>
      <c r="D25" s="284">
        <f t="shared" si="30"/>
        <v>59976</v>
      </c>
      <c r="E25" s="284">
        <f t="shared" si="30"/>
        <v>251363</v>
      </c>
      <c r="F25" s="284">
        <f t="shared" si="30"/>
        <v>321438</v>
      </c>
      <c r="G25" s="284">
        <f t="shared" ref="G25" si="31">G11</f>
        <v>236482</v>
      </c>
      <c r="H25" s="284">
        <f t="shared" si="30"/>
        <v>38482.660000000003</v>
      </c>
      <c r="I25" s="284">
        <f t="shared" si="30"/>
        <v>60184</v>
      </c>
      <c r="J25" s="284">
        <f t="shared" si="30"/>
        <v>65808</v>
      </c>
      <c r="K25" s="284">
        <f t="shared" si="30"/>
        <v>86888.34</v>
      </c>
      <c r="L25" s="284">
        <f t="shared" si="30"/>
        <v>82542</v>
      </c>
      <c r="M25" s="284">
        <f t="shared" si="30"/>
        <v>85250</v>
      </c>
      <c r="N25" s="284">
        <f t="shared" si="30"/>
        <v>76420</v>
      </c>
      <c r="O25" s="284">
        <f t="shared" si="30"/>
        <v>77226</v>
      </c>
      <c r="P25" s="284">
        <f t="shared" si="30"/>
        <v>67268</v>
      </c>
      <c r="Q25" s="284">
        <f t="shared" si="30"/>
        <v>58005</v>
      </c>
      <c r="R25" s="284">
        <f t="shared" ref="R25:S25" si="32">R11</f>
        <v>48391</v>
      </c>
      <c r="S25" s="284">
        <f t="shared" si="32"/>
        <v>62818</v>
      </c>
    </row>
    <row r="26" spans="2:19" ht="13" customHeight="1">
      <c r="B26" s="95" t="str">
        <f>IF('Summary | Sumário'!D$3=Names!B$3,Names!AH32,Names!AI32)</f>
        <v>(+) Inter rewards</v>
      </c>
      <c r="C26" s="283">
        <f t="shared" si="30"/>
        <v>0</v>
      </c>
      <c r="D26" s="283">
        <f t="shared" si="30"/>
        <v>0</v>
      </c>
      <c r="E26" s="283">
        <f t="shared" si="30"/>
        <v>0</v>
      </c>
      <c r="F26" s="283">
        <f t="shared" si="30"/>
        <v>0</v>
      </c>
      <c r="G26" s="283">
        <f t="shared" ref="G26" si="33">G12</f>
        <v>66571</v>
      </c>
      <c r="H26" s="283">
        <f t="shared" si="30"/>
        <v>0</v>
      </c>
      <c r="I26" s="283">
        <f t="shared" si="30"/>
        <v>0</v>
      </c>
      <c r="J26" s="283">
        <f t="shared" si="30"/>
        <v>0</v>
      </c>
      <c r="K26" s="283">
        <f t="shared" si="30"/>
        <v>0</v>
      </c>
      <c r="L26" s="283">
        <f t="shared" si="30"/>
        <v>0</v>
      </c>
      <c r="M26" s="283">
        <f t="shared" si="30"/>
        <v>0</v>
      </c>
      <c r="N26" s="283">
        <f t="shared" si="30"/>
        <v>0</v>
      </c>
      <c r="O26" s="283">
        <f t="shared" si="30"/>
        <v>0</v>
      </c>
      <c r="P26" s="283">
        <f t="shared" si="30"/>
        <v>0</v>
      </c>
      <c r="Q26" s="283">
        <f t="shared" si="30"/>
        <v>6574</v>
      </c>
      <c r="R26" s="283">
        <f t="shared" ref="R26:S26" si="34">R12</f>
        <v>26910</v>
      </c>
      <c r="S26" s="283">
        <f t="shared" si="34"/>
        <v>33087</v>
      </c>
    </row>
    <row r="27" spans="2:19" ht="13" customHeight="1">
      <c r="B27" s="119" t="str">
        <f>IF('Summary | Sumário'!D$3=Names!B$3,Names!AH26,Names!AI26)</f>
        <v>Interest expenses</v>
      </c>
      <c r="C27" s="284">
        <v>-256717</v>
      </c>
      <c r="D27" s="284">
        <v>-184335</v>
      </c>
      <c r="E27" s="284">
        <v>-543242</v>
      </c>
      <c r="F27" s="284">
        <v>-1972850</v>
      </c>
      <c r="G27" s="284">
        <v>-2887573</v>
      </c>
      <c r="H27" s="284">
        <v>-65559</v>
      </c>
      <c r="I27" s="284">
        <v>-86261</v>
      </c>
      <c r="J27" s="284">
        <v>-138587</v>
      </c>
      <c r="K27" s="284">
        <v>-252835</v>
      </c>
      <c r="L27" s="284">
        <v>-336771</v>
      </c>
      <c r="M27" s="284">
        <v>-465041</v>
      </c>
      <c r="N27" s="284">
        <v>-579678</v>
      </c>
      <c r="O27" s="284">
        <v>-591360</v>
      </c>
      <c r="P27" s="284">
        <v>-672771</v>
      </c>
      <c r="Q27" s="284">
        <v>-692206</v>
      </c>
      <c r="R27" s="284">
        <v>-770398</v>
      </c>
      <c r="S27" s="284">
        <v>-752198.00500000012</v>
      </c>
    </row>
    <row r="28" spans="2:19" ht="13" customHeight="1">
      <c r="B28" s="82" t="str">
        <f>IF('Summary | Sumário'!D$3=Names!B$3,Names!AH27,Names!AI27)</f>
        <v>(÷) Average active clients</v>
      </c>
      <c r="C28" s="287">
        <f>C29</f>
        <v>2282.6979999999999</v>
      </c>
      <c r="D28" s="287">
        <f>AVERAGE(C29:D29)</f>
        <v>3767.4889999999996</v>
      </c>
      <c r="E28" s="287">
        <f t="shared" ref="E28" si="35">AVERAGE(D29:E29)</f>
        <v>7039.3045000000002</v>
      </c>
      <c r="F28" s="287">
        <f t="shared" ref="F28:G28" si="36">AVERAGE(E29:F29)</f>
        <v>10705.3665</v>
      </c>
      <c r="G28" s="287">
        <f t="shared" si="36"/>
        <v>14494.899000000001</v>
      </c>
      <c r="H28" s="287">
        <f>AVERAGE(H29,D29)</f>
        <v>5692.4650000000001</v>
      </c>
      <c r="I28" s="287">
        <f>AVERAGE(H29:I29)</f>
        <v>6597.8119999999999</v>
      </c>
      <c r="J28" s="287">
        <f t="shared" ref="J28" si="37">AVERAGE(I29:J29)</f>
        <v>7514.7129999999997</v>
      </c>
      <c r="K28" s="287">
        <f t="shared" ref="K28" si="38">AVERAGE(J29:K29)</f>
        <v>8396.3904999999995</v>
      </c>
      <c r="L28" s="287">
        <f t="shared" ref="L28" si="39">AVERAGE(K29:L29)</f>
        <v>9358.8734999999997</v>
      </c>
      <c r="M28" s="287">
        <f t="shared" ref="M28" si="40">AVERAGE(L29:M29)</f>
        <v>10303.8135</v>
      </c>
      <c r="N28" s="287">
        <f t="shared" ref="N28" si="41">AVERAGE(M29:N29)</f>
        <v>11182.7415</v>
      </c>
      <c r="O28" s="287">
        <f t="shared" ref="O28" si="42">AVERAGE(N29:O29)</f>
        <v>12116.839</v>
      </c>
      <c r="P28" s="287">
        <f t="shared" ref="P28:S28" si="43">AVERAGE(O29:P29)</f>
        <v>13062.486000000001</v>
      </c>
      <c r="Q28" s="287">
        <f t="shared" si="43"/>
        <v>14017.737499999999</v>
      </c>
      <c r="R28" s="287">
        <f t="shared" si="43"/>
        <v>14984.0635</v>
      </c>
      <c r="S28" s="287">
        <f t="shared" si="43"/>
        <v>15939.307000000001</v>
      </c>
    </row>
    <row r="29" spans="2:19" ht="13" customHeight="1">
      <c r="B29" s="91" t="str">
        <f>IF('Summary | Sumário'!D$3=Names!B$3,Names!AH28,Names!AI28)</f>
        <v>Active clients</v>
      </c>
      <c r="C29" s="282">
        <v>2282.6979999999999</v>
      </c>
      <c r="D29" s="282">
        <v>5252.28</v>
      </c>
      <c r="E29" s="282">
        <v>8826.3289999999997</v>
      </c>
      <c r="F29" s="282">
        <v>12584.404</v>
      </c>
      <c r="G29" s="282">
        <f>S29</f>
        <v>16405.394</v>
      </c>
      <c r="H29" s="282">
        <v>6132.65</v>
      </c>
      <c r="I29" s="282">
        <v>7062.9740000000002</v>
      </c>
      <c r="J29" s="282">
        <v>7966.4520000000002</v>
      </c>
      <c r="K29" s="282">
        <v>8826.3289999999997</v>
      </c>
      <c r="L29" s="282">
        <v>9891.4179999999997</v>
      </c>
      <c r="M29" s="282">
        <v>10716.209000000001</v>
      </c>
      <c r="N29" s="282">
        <v>11649.273999999999</v>
      </c>
      <c r="O29" s="282">
        <v>12584.404</v>
      </c>
      <c r="P29" s="282">
        <v>13540.567999999999</v>
      </c>
      <c r="Q29" s="282">
        <v>14494.906999999999</v>
      </c>
      <c r="R29" s="282">
        <v>15473.22</v>
      </c>
      <c r="S29" s="282">
        <v>16405.394</v>
      </c>
    </row>
    <row r="30" spans="2:19" ht="13" customHeight="1">
      <c r="B30" s="86" t="str">
        <f>IF('Summary | Sumário'!D$3=Names!B$3,Names!AH29,Names!AI29)</f>
        <v>Active clients in the previus period</v>
      </c>
      <c r="C30" s="287">
        <f>C29</f>
        <v>2282.6979999999999</v>
      </c>
      <c r="D30" s="287">
        <f>C30</f>
        <v>2282.6979999999999</v>
      </c>
      <c r="E30" s="287">
        <f>D29</f>
        <v>5252.28</v>
      </c>
      <c r="F30" s="287">
        <f t="shared" ref="F30:S30" si="44">E29</f>
        <v>8826.3289999999997</v>
      </c>
      <c r="G30" s="287">
        <f t="shared" si="44"/>
        <v>12584.404</v>
      </c>
      <c r="H30" s="287">
        <f>D29</f>
        <v>5252.28</v>
      </c>
      <c r="I30" s="287">
        <f t="shared" si="44"/>
        <v>6132.65</v>
      </c>
      <c r="J30" s="287">
        <f t="shared" si="44"/>
        <v>7062.9740000000002</v>
      </c>
      <c r="K30" s="287">
        <f t="shared" si="44"/>
        <v>7966.4520000000002</v>
      </c>
      <c r="L30" s="287">
        <f t="shared" si="44"/>
        <v>8826.3289999999997</v>
      </c>
      <c r="M30" s="287">
        <f t="shared" si="44"/>
        <v>9891.4179999999997</v>
      </c>
      <c r="N30" s="287">
        <f t="shared" si="44"/>
        <v>10716.209000000001</v>
      </c>
      <c r="O30" s="287">
        <f t="shared" si="44"/>
        <v>11649.273999999999</v>
      </c>
      <c r="P30" s="287">
        <f t="shared" si="44"/>
        <v>12584.404</v>
      </c>
      <c r="Q30" s="287">
        <f t="shared" si="44"/>
        <v>13540.567999999999</v>
      </c>
      <c r="R30" s="287">
        <f t="shared" si="44"/>
        <v>14494.906999999999</v>
      </c>
      <c r="S30" s="287">
        <f t="shared" si="44"/>
        <v>15473.22</v>
      </c>
    </row>
    <row r="31" spans="2:19" ht="13" customHeight="1">
      <c r="B31" s="116" t="str">
        <f>IF('Summary | Sumário'!D$3=Names!B$3,Names!AH30,Names!AI30)</f>
        <v>(=) Net ARPAC (R$)</v>
      </c>
      <c r="C31" s="289">
        <f t="shared" ref="C31:Q31" si="45">C19/C28</f>
        <v>28.068065362420551</v>
      </c>
      <c r="D31" s="289">
        <f t="shared" si="45"/>
        <v>25.281336702420809</v>
      </c>
      <c r="E31" s="289">
        <f t="shared" si="45"/>
        <v>30.465642900753426</v>
      </c>
      <c r="F31" s="289">
        <f t="shared" si="45"/>
        <v>31.241092041703251</v>
      </c>
      <c r="G31" s="289">
        <f t="shared" ref="G31" si="46">G19/G28</f>
        <v>29.845051007254341</v>
      </c>
      <c r="H31" s="289">
        <f t="shared" si="45"/>
        <v>28.021111826481732</v>
      </c>
      <c r="I31" s="289">
        <f t="shared" si="45"/>
        <v>27.758634276534913</v>
      </c>
      <c r="J31" s="289">
        <f t="shared" si="45"/>
        <v>30.994658079423658</v>
      </c>
      <c r="K31" s="289">
        <f t="shared" si="45"/>
        <v>33.616350581439328</v>
      </c>
      <c r="L31" s="289">
        <f t="shared" si="45"/>
        <v>33.642889178916676</v>
      </c>
      <c r="M31" s="289">
        <f t="shared" si="45"/>
        <v>32.228347203683377</v>
      </c>
      <c r="N31" s="289">
        <f t="shared" si="45"/>
        <v>28.619330689169562</v>
      </c>
      <c r="O31" s="289">
        <f t="shared" si="45"/>
        <v>30.603060803784441</v>
      </c>
      <c r="P31" s="289">
        <f t="shared" si="45"/>
        <v>28.760728037016339</v>
      </c>
      <c r="Q31" s="289">
        <f t="shared" si="45"/>
        <v>29.637117497266114</v>
      </c>
      <c r="R31" s="289">
        <f t="shared" ref="R31:S31" si="47">R19/R28</f>
        <v>30.545065184754453</v>
      </c>
      <c r="S31" s="289">
        <f t="shared" si="47"/>
        <v>30.213529860070661</v>
      </c>
    </row>
    <row r="32" spans="2:19" ht="13" customHeight="1">
      <c r="B32" s="98"/>
      <c r="C32" s="283"/>
      <c r="D32" s="283"/>
      <c r="E32" s="283"/>
      <c r="F32" s="283"/>
      <c r="G32" s="283"/>
      <c r="H32" s="283"/>
      <c r="I32" s="283"/>
      <c r="J32" s="283"/>
      <c r="K32" s="283"/>
      <c r="L32" s="283"/>
      <c r="M32" s="283"/>
      <c r="N32" s="283"/>
      <c r="O32" s="283"/>
      <c r="P32" s="283"/>
      <c r="Q32" s="283"/>
      <c r="R32" s="283"/>
      <c r="S32" s="283"/>
    </row>
    <row r="33" spans="1:24" ht="13" customHeight="1">
      <c r="B33" s="104"/>
      <c r="C33" s="283"/>
      <c r="D33" s="283"/>
      <c r="E33" s="283"/>
      <c r="F33" s="283"/>
      <c r="G33" s="283"/>
      <c r="H33" s="283"/>
      <c r="I33" s="283"/>
      <c r="J33" s="283"/>
      <c r="K33" s="283"/>
      <c r="L33" s="283"/>
      <c r="M33" s="283"/>
      <c r="N33" s="283"/>
      <c r="O33" s="283"/>
      <c r="P33" s="283"/>
      <c r="Q33" s="283"/>
      <c r="R33" s="283"/>
      <c r="S33" s="283"/>
    </row>
    <row r="34" spans="1:24" ht="13" customHeight="1">
      <c r="B34" s="99"/>
      <c r="C34" s="283"/>
      <c r="D34" s="283"/>
      <c r="E34" s="283"/>
      <c r="F34" s="283"/>
      <c r="G34" s="283"/>
      <c r="H34" s="283"/>
      <c r="I34" s="283"/>
      <c r="J34" s="283"/>
      <c r="K34" s="283"/>
      <c r="L34" s="283"/>
      <c r="M34" s="283"/>
      <c r="N34" s="283"/>
      <c r="O34" s="283"/>
      <c r="P34" s="283"/>
      <c r="Q34" s="283"/>
      <c r="R34" s="283"/>
      <c r="S34" s="283"/>
    </row>
    <row r="35" spans="1:24" ht="13" customHeight="1">
      <c r="B35" s="97"/>
      <c r="C35" s="283"/>
      <c r="D35" s="283"/>
      <c r="E35" s="283"/>
      <c r="F35" s="283"/>
      <c r="G35" s="283"/>
      <c r="H35" s="283"/>
      <c r="I35" s="283"/>
      <c r="J35" s="283"/>
      <c r="K35" s="283"/>
      <c r="L35" s="283"/>
      <c r="M35" s="283"/>
      <c r="N35" s="283"/>
      <c r="O35" s="283"/>
      <c r="P35" s="283"/>
      <c r="Q35" s="283"/>
      <c r="R35" s="283"/>
      <c r="S35" s="283"/>
    </row>
    <row r="36" spans="1:24" ht="13" customHeight="1">
      <c r="B36" s="17"/>
    </row>
    <row r="38" spans="1:24" s="212" customFormat="1" ht="13" customHeight="1">
      <c r="A38" s="211"/>
      <c r="B38" s="79"/>
      <c r="T38" s="211"/>
      <c r="U38" s="211"/>
      <c r="V38" s="211"/>
      <c r="W38" s="211"/>
      <c r="X38" s="211"/>
    </row>
  </sheetData>
  <sheetProtection algorithmName="SHA-512" hashValue="CiUQT3kjbY4JvKxkfXpMaCovF1/V5JUqv1eWiZxMkbWf2OGB7OC2t31qxGG0Zf5AcOoX1229rDDkNMOm8PIK+A==" saltValue="koZgGbkk+RyYFBC/eMMrxA=="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ignoredErrors>
    <ignoredError sqref="C25:F25 H25:P25 H13 H28 H15:H20 H30" formula="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663E-DD15-1C4A-B2F4-C7AF4A73C099}">
  <sheetPr>
    <tabColor theme="5" tint="0.59999389629810485"/>
  </sheetPr>
  <dimension ref="A1:Y20"/>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11" customWidth="1"/>
    <col min="3" max="19" width="10.83203125" style="212" customWidth="1"/>
    <col min="20" max="22" width="10.83203125" style="211"/>
    <col min="23" max="23" width="19.33203125" style="211" bestFit="1" customWidth="1"/>
    <col min="24" max="16384" width="10.83203125" style="211"/>
  </cols>
  <sheetData>
    <row r="1" spans="1:25" ht="13" customHeight="1">
      <c r="T1" s="212"/>
    </row>
    <row r="2" spans="1:25" s="218" customFormat="1" ht="13" customHeight="1">
      <c r="B2" s="400" t="str">
        <f>IF('Summary | Sumário'!D$3=Names!B$3,Names!AB1,Names!AC1)</f>
        <v>Cost of Risk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28">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217"/>
      <c r="V2" s="219"/>
      <c r="W2" s="220"/>
    </row>
    <row r="3" spans="1:25" ht="13" customHeight="1">
      <c r="B3" s="78"/>
      <c r="C3" s="254"/>
      <c r="D3" s="254"/>
      <c r="E3" s="254"/>
      <c r="F3" s="254"/>
      <c r="G3" s="254"/>
      <c r="H3" s="254"/>
      <c r="I3" s="254"/>
      <c r="J3" s="254"/>
      <c r="K3" s="254"/>
      <c r="L3" s="254"/>
      <c r="M3" s="254"/>
      <c r="N3" s="254"/>
      <c r="O3" s="254"/>
      <c r="P3" s="254"/>
      <c r="Q3" s="254"/>
      <c r="R3" s="254"/>
      <c r="S3" s="254"/>
      <c r="T3" s="223"/>
    </row>
    <row r="4" spans="1:25" ht="13" customHeight="1">
      <c r="B4" s="5" t="str">
        <f>IF('Summary | Sumário'!D$3=Names!B$3,Names!AB11,Names!AC11)</f>
        <v>Cost of risk</v>
      </c>
      <c r="C4" s="290"/>
      <c r="D4" s="290"/>
      <c r="E4" s="290"/>
      <c r="F4" s="290"/>
      <c r="G4" s="290"/>
      <c r="H4" s="290"/>
      <c r="I4" s="290"/>
      <c r="J4" s="290"/>
      <c r="K4" s="290"/>
      <c r="L4" s="290"/>
      <c r="M4" s="290"/>
      <c r="N4" s="290"/>
      <c r="O4" s="290"/>
      <c r="P4" s="290"/>
      <c r="Q4" s="290"/>
      <c r="R4" s="290"/>
      <c r="S4" s="290"/>
    </row>
    <row r="5" spans="1:25" ht="13" customHeight="1">
      <c r="B5" s="472" t="str">
        <f>IF('Summary | Sumário'!D$3=Names!B$3,Names!AB12,Names!AC12)</f>
        <v>Anuallized impairment losses on financial assets</v>
      </c>
      <c r="C5" s="439">
        <f>C6</f>
        <v>138570</v>
      </c>
      <c r="D5" s="439">
        <f t="shared" ref="D5:G5" si="0">D6</f>
        <v>213688</v>
      </c>
      <c r="E5" s="439">
        <f t="shared" si="0"/>
        <v>595581</v>
      </c>
      <c r="F5" s="439">
        <f t="shared" si="0"/>
        <v>1083237</v>
      </c>
      <c r="G5" s="439">
        <f t="shared" si="0"/>
        <v>1541584</v>
      </c>
      <c r="H5" s="439">
        <f>H6*4</f>
        <v>426676</v>
      </c>
      <c r="I5" s="439">
        <f t="shared" ref="I5:S5" si="1">I6*4</f>
        <v>669764</v>
      </c>
      <c r="J5" s="439">
        <f t="shared" si="1"/>
        <v>552020</v>
      </c>
      <c r="K5" s="439">
        <f t="shared" si="1"/>
        <v>733864</v>
      </c>
      <c r="L5" s="439">
        <f t="shared" si="1"/>
        <v>1251784</v>
      </c>
      <c r="M5" s="439">
        <f t="shared" si="1"/>
        <v>969856</v>
      </c>
      <c r="N5" s="439">
        <f t="shared" si="1"/>
        <v>1052452</v>
      </c>
      <c r="O5" s="439">
        <f t="shared" si="1"/>
        <v>1058856</v>
      </c>
      <c r="P5" s="439">
        <f t="shared" si="1"/>
        <v>1402724</v>
      </c>
      <c r="Q5" s="439">
        <f t="shared" si="1"/>
        <v>1594240</v>
      </c>
      <c r="R5" s="439">
        <f t="shared" si="1"/>
        <v>1631596</v>
      </c>
      <c r="S5" s="439">
        <f t="shared" si="1"/>
        <v>1537776</v>
      </c>
      <c r="U5" s="298"/>
      <c r="V5" s="298"/>
    </row>
    <row r="6" spans="1:25" ht="13" customHeight="1">
      <c r="B6" s="109" t="str">
        <f>IF('Summary | Sumário'!D$3=Names!B$3,Names!AB13,Names!AC13)</f>
        <v>Impairment losses on financial assets</v>
      </c>
      <c r="C6" s="283">
        <v>138570</v>
      </c>
      <c r="D6" s="283">
        <v>213688</v>
      </c>
      <c r="E6" s="283">
        <v>595581</v>
      </c>
      <c r="F6" s="283">
        <v>1083237</v>
      </c>
      <c r="G6" s="283">
        <v>1541584</v>
      </c>
      <c r="H6" s="283">
        <v>106669</v>
      </c>
      <c r="I6" s="283">
        <v>167441</v>
      </c>
      <c r="J6" s="283">
        <v>138005</v>
      </c>
      <c r="K6" s="283">
        <v>183466</v>
      </c>
      <c r="L6" s="283">
        <v>312946</v>
      </c>
      <c r="M6" s="283">
        <v>242464</v>
      </c>
      <c r="N6" s="283">
        <v>263113</v>
      </c>
      <c r="O6" s="283">
        <v>264714</v>
      </c>
      <c r="P6" s="283">
        <v>350681</v>
      </c>
      <c r="Q6" s="283">
        <v>398560</v>
      </c>
      <c r="R6" s="283">
        <v>407899</v>
      </c>
      <c r="S6" s="283">
        <v>384444</v>
      </c>
      <c r="U6" s="298"/>
      <c r="V6" s="298"/>
      <c r="W6" s="298"/>
    </row>
    <row r="7" spans="1:25" ht="13" customHeight="1">
      <c r="B7" s="120" t="str">
        <f>IF('Summary | Sumário'!D$3=Names!B$3,Names!AB14,Names!AC14)</f>
        <v>(÷) Avg of the last two periods of gross loans and advances to customers</v>
      </c>
      <c r="C7" s="284">
        <f t="shared" ref="C7:Q7" si="2">AVERAGE(C8:C9)</f>
        <v>4777387</v>
      </c>
      <c r="D7" s="284">
        <f t="shared" si="2"/>
        <v>6783722.5</v>
      </c>
      <c r="E7" s="284">
        <f t="shared" si="2"/>
        <v>13150884.296499999</v>
      </c>
      <c r="F7" s="284">
        <f t="shared" si="2"/>
        <v>21027851.796499997</v>
      </c>
      <c r="G7" s="284">
        <f t="shared" ref="G7" si="3">AVERAGE(G8:G9)</f>
        <v>27782415</v>
      </c>
      <c r="H7" s="284">
        <f t="shared" si="2"/>
        <v>9559371.8131499998</v>
      </c>
      <c r="I7" s="284">
        <f t="shared" si="2"/>
        <v>11463723.34365</v>
      </c>
      <c r="J7" s="284">
        <f t="shared" si="2"/>
        <v>13778199.9965</v>
      </c>
      <c r="K7" s="284">
        <f t="shared" si="2"/>
        <v>16234674.762499999</v>
      </c>
      <c r="L7" s="284">
        <f t="shared" si="2"/>
        <v>18017684.089499999</v>
      </c>
      <c r="M7" s="284">
        <f t="shared" si="2"/>
        <v>19194110.597999997</v>
      </c>
      <c r="N7" s="284">
        <f t="shared" si="2"/>
        <v>20949808.805</v>
      </c>
      <c r="O7" s="284">
        <f t="shared" si="2"/>
        <v>23289523.5</v>
      </c>
      <c r="P7" s="284">
        <f t="shared" si="2"/>
        <v>24836645.5</v>
      </c>
      <c r="Q7" s="284">
        <f t="shared" si="2"/>
        <v>25801829</v>
      </c>
      <c r="R7" s="284">
        <f>AVERAGE(R8:R9)</f>
        <v>27366551.5</v>
      </c>
      <c r="S7" s="284">
        <f>AVERAGE(S8:S9)</f>
        <v>29639790</v>
      </c>
      <c r="V7" s="298"/>
      <c r="W7" s="298"/>
      <c r="Y7" s="262"/>
    </row>
    <row r="8" spans="1:25" ht="13" customHeight="1">
      <c r="A8" s="252" t="s">
        <v>676</v>
      </c>
      <c r="B8" s="97" t="str">
        <f>IF('Summary | Sumário'!D$3=Names!B$3,Names!AB15,Names!AC15)</f>
        <v>Gross loan portfolio</v>
      </c>
      <c r="C8" s="283">
        <v>4777387</v>
      </c>
      <c r="D8" s="283">
        <v>8790058</v>
      </c>
      <c r="E8" s="283">
        <v>17511710.592999998</v>
      </c>
      <c r="F8" s="283">
        <v>24543993</v>
      </c>
      <c r="G8" s="283">
        <f>S8</f>
        <v>31020837</v>
      </c>
      <c r="H8" s="283">
        <v>10328685.6263</v>
      </c>
      <c r="I8" s="283">
        <v>12598761.061000001</v>
      </c>
      <c r="J8" s="283">
        <v>14957638.932</v>
      </c>
      <c r="K8" s="283">
        <v>17511710.592999998</v>
      </c>
      <c r="L8" s="283">
        <v>18523657.585999999</v>
      </c>
      <c r="M8" s="283">
        <v>19864563.609999999</v>
      </c>
      <c r="N8" s="283">
        <v>22035054</v>
      </c>
      <c r="O8" s="283">
        <v>24543993</v>
      </c>
      <c r="P8" s="283">
        <v>25129298</v>
      </c>
      <c r="Q8" s="283">
        <v>26474360</v>
      </c>
      <c r="R8" s="283">
        <v>28258743</v>
      </c>
      <c r="S8" s="283">
        <v>31020837</v>
      </c>
    </row>
    <row r="9" spans="1:25" ht="13" customHeight="1">
      <c r="B9" s="101" t="str">
        <f>IF('Summary | Sumário'!D$3=Names!B$3,Names!AB16,Names!AC16)</f>
        <v>Gross loan portfolio in the previous period</v>
      </c>
      <c r="C9" s="284">
        <f>C8</f>
        <v>4777387</v>
      </c>
      <c r="D9" s="284">
        <f>C8</f>
        <v>4777387</v>
      </c>
      <c r="E9" s="284">
        <f t="shared" ref="E9:G9" si="4">D8</f>
        <v>8790058</v>
      </c>
      <c r="F9" s="284">
        <f t="shared" si="4"/>
        <v>17511710.592999998</v>
      </c>
      <c r="G9" s="284">
        <f t="shared" si="4"/>
        <v>24543993</v>
      </c>
      <c r="H9" s="284">
        <f>D8</f>
        <v>8790058</v>
      </c>
      <c r="I9" s="284">
        <f>H8</f>
        <v>10328685.6263</v>
      </c>
      <c r="J9" s="284">
        <f t="shared" ref="J9:S9" si="5">I8</f>
        <v>12598761.061000001</v>
      </c>
      <c r="K9" s="284">
        <f t="shared" si="5"/>
        <v>14957638.932</v>
      </c>
      <c r="L9" s="284">
        <f t="shared" si="5"/>
        <v>17511710.592999998</v>
      </c>
      <c r="M9" s="284">
        <f t="shared" si="5"/>
        <v>18523657.585999999</v>
      </c>
      <c r="N9" s="284">
        <f t="shared" si="5"/>
        <v>19864563.609999999</v>
      </c>
      <c r="O9" s="284">
        <f t="shared" si="5"/>
        <v>22035054</v>
      </c>
      <c r="P9" s="284">
        <f t="shared" si="5"/>
        <v>24543993</v>
      </c>
      <c r="Q9" s="284">
        <f t="shared" si="5"/>
        <v>25129298</v>
      </c>
      <c r="R9" s="284">
        <f t="shared" si="5"/>
        <v>26474360</v>
      </c>
      <c r="S9" s="284">
        <f t="shared" si="5"/>
        <v>28258743</v>
      </c>
    </row>
    <row r="10" spans="1:25" ht="13" customHeight="1">
      <c r="B10" s="436" t="str">
        <f>IF('Summary | Sumário'!D$3=Names!B$3,Names!AB17,Names!AC17)</f>
        <v>Cost of risk (%)</v>
      </c>
      <c r="C10" s="464">
        <f>C5/C7</f>
        <v>2.9005395627358637E-2</v>
      </c>
      <c r="D10" s="464">
        <f t="shared" ref="D10:Q10" si="6">D5/D7</f>
        <v>3.1500109268915409E-2</v>
      </c>
      <c r="E10" s="464">
        <f t="shared" si="6"/>
        <v>4.5288285302495519E-2</v>
      </c>
      <c r="F10" s="464">
        <f t="shared" si="6"/>
        <v>5.1514391982746453E-2</v>
      </c>
      <c r="G10" s="464">
        <f t="shared" ref="G10" si="7">G5/G7</f>
        <v>5.5487760873199829E-2</v>
      </c>
      <c r="H10" s="464">
        <f t="shared" si="6"/>
        <v>4.4634313670387712E-2</v>
      </c>
      <c r="I10" s="464">
        <f t="shared" si="6"/>
        <v>5.8424647902114324E-2</v>
      </c>
      <c r="J10" s="464">
        <f t="shared" si="6"/>
        <v>4.0064739961695038E-2</v>
      </c>
      <c r="K10" s="464">
        <f t="shared" si="6"/>
        <v>4.5203492569813042E-2</v>
      </c>
      <c r="L10" s="464">
        <f t="shared" si="6"/>
        <v>6.9475299588002581E-2</v>
      </c>
      <c r="M10" s="464">
        <f t="shared" si="6"/>
        <v>5.052883253163383E-2</v>
      </c>
      <c r="N10" s="464">
        <f t="shared" si="6"/>
        <v>5.0236830789062659E-2</v>
      </c>
      <c r="O10" s="464">
        <f t="shared" si="6"/>
        <v>4.5464906141166862E-2</v>
      </c>
      <c r="P10" s="464">
        <f t="shared" si="6"/>
        <v>5.6477997401058043E-2</v>
      </c>
      <c r="Q10" s="464">
        <f t="shared" si="6"/>
        <v>6.1787867829059713E-2</v>
      </c>
      <c r="R10" s="464">
        <v>5.8999999999999997E-2</v>
      </c>
      <c r="S10" s="464">
        <f t="shared" ref="S10" si="8">S5/S7</f>
        <v>5.1882148962593862E-2</v>
      </c>
      <c r="U10" s="262"/>
      <c r="V10" s="262"/>
      <c r="W10" s="262"/>
    </row>
    <row r="11" spans="1:25" ht="13" customHeight="1">
      <c r="B11" s="10"/>
      <c r="C11" s="286"/>
      <c r="D11" s="286"/>
      <c r="E11" s="286"/>
      <c r="F11" s="286"/>
      <c r="G11" s="286"/>
      <c r="H11" s="286"/>
      <c r="I11" s="286"/>
      <c r="J11" s="286"/>
      <c r="K11" s="286"/>
      <c r="L11" s="286"/>
      <c r="M11" s="286"/>
      <c r="N11" s="286"/>
      <c r="O11" s="286"/>
      <c r="P11" s="286"/>
      <c r="Q11" s="286"/>
      <c r="R11" s="286"/>
      <c r="S11" s="286"/>
      <c r="V11" s="262"/>
      <c r="W11" s="262"/>
    </row>
    <row r="12" spans="1:25" s="212" customFormat="1" ht="13" customHeight="1">
      <c r="A12" s="211"/>
      <c r="B12" s="5" t="str">
        <f>IF('Summary | Sumário'!D$3=Names!B$3,Names!AB2,Names!AC2)</f>
        <v>Cost of risk  (Excl. Antic. of CC Receivables)</v>
      </c>
      <c r="C12" s="290"/>
      <c r="D12" s="290"/>
      <c r="E12" s="290"/>
      <c r="F12" s="290"/>
      <c r="G12" s="290"/>
      <c r="H12" s="290"/>
      <c r="I12" s="290"/>
      <c r="J12" s="290"/>
      <c r="K12" s="290"/>
      <c r="L12" s="290"/>
      <c r="M12" s="290"/>
      <c r="N12" s="290"/>
      <c r="O12" s="290"/>
      <c r="P12" s="290"/>
      <c r="Q12" s="290"/>
      <c r="R12" s="290"/>
      <c r="S12" s="290"/>
      <c r="T12" s="211"/>
      <c r="U12" s="211"/>
      <c r="V12" s="211"/>
      <c r="W12" s="211"/>
      <c r="X12" s="211"/>
    </row>
    <row r="13" spans="1:25" s="212" customFormat="1" ht="13" customHeight="1">
      <c r="A13" s="211"/>
      <c r="B13" s="472" t="str">
        <f>IF('Summary | Sumário'!D$3=Names!B$3,Names!AB3,Names!AC3)</f>
        <v>Anuallized impairment losses on financial assets</v>
      </c>
      <c r="C13" s="439">
        <f>C14</f>
        <v>138570</v>
      </c>
      <c r="D13" s="439">
        <f t="shared" ref="D13:G13" si="9">D14</f>
        <v>213688</v>
      </c>
      <c r="E13" s="439">
        <f t="shared" si="9"/>
        <v>595581</v>
      </c>
      <c r="F13" s="439">
        <f t="shared" si="9"/>
        <v>1083237</v>
      </c>
      <c r="G13" s="439">
        <f t="shared" si="9"/>
        <v>1541584</v>
      </c>
      <c r="H13" s="439">
        <f>H14*4</f>
        <v>426676</v>
      </c>
      <c r="I13" s="439">
        <f t="shared" ref="I13:S13" si="10">I14*4</f>
        <v>669764</v>
      </c>
      <c r="J13" s="439">
        <f t="shared" si="10"/>
        <v>552020</v>
      </c>
      <c r="K13" s="439">
        <f t="shared" si="10"/>
        <v>733864</v>
      </c>
      <c r="L13" s="439">
        <f t="shared" si="10"/>
        <v>1251784</v>
      </c>
      <c r="M13" s="439">
        <f t="shared" si="10"/>
        <v>969856</v>
      </c>
      <c r="N13" s="439">
        <f t="shared" si="10"/>
        <v>1052452</v>
      </c>
      <c r="O13" s="439">
        <f t="shared" si="10"/>
        <v>1058856</v>
      </c>
      <c r="P13" s="439">
        <f t="shared" si="10"/>
        <v>1402724</v>
      </c>
      <c r="Q13" s="439">
        <f t="shared" si="10"/>
        <v>1594240</v>
      </c>
      <c r="R13" s="439">
        <f t="shared" si="10"/>
        <v>1631596</v>
      </c>
      <c r="S13" s="439">
        <f t="shared" si="10"/>
        <v>1537776</v>
      </c>
      <c r="T13" s="211"/>
      <c r="U13" s="211"/>
      <c r="V13" s="211"/>
      <c r="W13" s="211"/>
      <c r="X13" s="211"/>
    </row>
    <row r="14" spans="1:25" s="212" customFormat="1" ht="13" customHeight="1">
      <c r="A14" s="211"/>
      <c r="B14" s="109" t="str">
        <f>IF('Summary | Sumário'!D$3=Names!B$3,Names!AB4,Names!AC4)</f>
        <v>Impairment losses on financial assets</v>
      </c>
      <c r="C14" s="283">
        <v>138570</v>
      </c>
      <c r="D14" s="283">
        <v>213688</v>
      </c>
      <c r="E14" s="283">
        <v>595581</v>
      </c>
      <c r="F14" s="283">
        <v>1083237</v>
      </c>
      <c r="G14" s="283">
        <v>1541584</v>
      </c>
      <c r="H14" s="283">
        <v>106669</v>
      </c>
      <c r="I14" s="283">
        <v>167441</v>
      </c>
      <c r="J14" s="283">
        <v>138005</v>
      </c>
      <c r="K14" s="283">
        <v>183466</v>
      </c>
      <c r="L14" s="283">
        <v>312946</v>
      </c>
      <c r="M14" s="283">
        <v>242464</v>
      </c>
      <c r="N14" s="283">
        <v>263113</v>
      </c>
      <c r="O14" s="283">
        <v>264714</v>
      </c>
      <c r="P14" s="283">
        <v>350681</v>
      </c>
      <c r="Q14" s="283">
        <v>398560</v>
      </c>
      <c r="R14" s="283">
        <v>407899</v>
      </c>
      <c r="S14" s="283">
        <v>384444</v>
      </c>
      <c r="T14" s="211"/>
      <c r="U14" s="211"/>
      <c r="V14" s="211"/>
      <c r="W14" s="211"/>
      <c r="X14" s="211"/>
    </row>
    <row r="15" spans="1:25" s="212" customFormat="1" ht="13" customHeight="1">
      <c r="A15" s="211"/>
      <c r="B15" s="120" t="str">
        <f>IF('Summary | Sumário'!D$3=Names!B$3,Names!AB5,Names!AC5)</f>
        <v>(÷) Avg of the last two periods of gross loans and advances to customers</v>
      </c>
      <c r="C15" s="284">
        <f>AVERAGE(C16,C17)</f>
        <v>4777387</v>
      </c>
      <c r="D15" s="284">
        <f t="shared" ref="D15:Q15" si="11">AVERAGE(D16,D17)</f>
        <v>6783722.5</v>
      </c>
      <c r="E15" s="284">
        <f t="shared" si="11"/>
        <v>13003210</v>
      </c>
      <c r="F15" s="284">
        <f t="shared" si="11"/>
        <v>19957345</v>
      </c>
      <c r="G15" s="284">
        <f t="shared" ref="G15" si="12">AVERAGE(G16,G17)</f>
        <v>26241314.5</v>
      </c>
      <c r="H15" s="284">
        <f t="shared" si="11"/>
        <v>9516483.6721500009</v>
      </c>
      <c r="I15" s="284">
        <f t="shared" si="11"/>
        <v>11385077.672150001</v>
      </c>
      <c r="J15" s="284">
        <f t="shared" si="11"/>
        <v>13693664.5</v>
      </c>
      <c r="K15" s="284">
        <f t="shared" si="11"/>
        <v>16038222.5</v>
      </c>
      <c r="L15" s="284">
        <f t="shared" si="11"/>
        <v>17696333</v>
      </c>
      <c r="M15" s="284">
        <f t="shared" si="11"/>
        <v>18830475.199999999</v>
      </c>
      <c r="N15" s="284">
        <f t="shared" si="11"/>
        <v>20244957.199999999</v>
      </c>
      <c r="O15" s="284">
        <f t="shared" si="11"/>
        <v>21851798</v>
      </c>
      <c r="P15" s="284">
        <f t="shared" si="11"/>
        <v>23265601</v>
      </c>
      <c r="Q15" s="284">
        <f t="shared" si="11"/>
        <v>24487128.5</v>
      </c>
      <c r="R15" s="284">
        <f t="shared" ref="R15:S15" si="13">AVERAGE(R16,R17)</f>
        <v>26092492</v>
      </c>
      <c r="S15" s="284">
        <f t="shared" si="13"/>
        <v>28413951</v>
      </c>
      <c r="T15" s="211"/>
      <c r="U15" s="262"/>
      <c r="V15" s="211"/>
      <c r="W15" s="211"/>
      <c r="X15" s="211"/>
    </row>
    <row r="16" spans="1:25" s="212" customFormat="1" ht="13" customHeight="1">
      <c r="A16" s="211"/>
      <c r="B16" s="97" t="str">
        <f>IF('Summary | Sumário'!D$3=Names!B$3,Names!AB6,Names!AC6)</f>
        <v>Gross loans and advances to customers</v>
      </c>
      <c r="C16" s="283">
        <v>4777387</v>
      </c>
      <c r="D16" s="283">
        <v>8790058</v>
      </c>
      <c r="E16" s="283">
        <f>K16</f>
        <v>17216362</v>
      </c>
      <c r="F16" s="283">
        <f>O16</f>
        <v>22698328</v>
      </c>
      <c r="G16" s="283">
        <f>S16</f>
        <v>29784301</v>
      </c>
      <c r="H16" s="283">
        <v>10242909.3443</v>
      </c>
      <c r="I16" s="283">
        <v>12527246</v>
      </c>
      <c r="J16" s="283">
        <v>14860083</v>
      </c>
      <c r="K16" s="283">
        <v>17216362</v>
      </c>
      <c r="L16" s="283">
        <v>18176304</v>
      </c>
      <c r="M16" s="283">
        <v>19484646.399999999</v>
      </c>
      <c r="N16" s="283">
        <v>21005268</v>
      </c>
      <c r="O16" s="283">
        <v>22698328</v>
      </c>
      <c r="P16" s="283">
        <v>23832874</v>
      </c>
      <c r="Q16" s="283">
        <v>25141383</v>
      </c>
      <c r="R16" s="283">
        <v>27043601</v>
      </c>
      <c r="S16" s="283">
        <v>29784301</v>
      </c>
      <c r="T16" s="211"/>
      <c r="U16" s="211"/>
      <c r="V16" s="211"/>
      <c r="W16" s="211"/>
      <c r="X16" s="211"/>
    </row>
    <row r="17" spans="1:24" s="212" customFormat="1" ht="13" customHeight="1">
      <c r="A17" s="211"/>
      <c r="B17" s="101" t="str">
        <f>IF('Summary | Sumário'!D$3=Names!B$3,Names!AB7,Names!AC7)</f>
        <v>Gross loans and advances to customers in the previous period</v>
      </c>
      <c r="C17" s="284">
        <f>C16</f>
        <v>4777387</v>
      </c>
      <c r="D17" s="284">
        <f>C16</f>
        <v>4777387</v>
      </c>
      <c r="E17" s="284">
        <f t="shared" ref="E17:G17" si="14">D16</f>
        <v>8790058</v>
      </c>
      <c r="F17" s="284">
        <f t="shared" si="14"/>
        <v>17216362</v>
      </c>
      <c r="G17" s="284">
        <f t="shared" si="14"/>
        <v>22698328</v>
      </c>
      <c r="H17" s="284">
        <f>D16</f>
        <v>8790058</v>
      </c>
      <c r="I17" s="284">
        <f>H16</f>
        <v>10242909.3443</v>
      </c>
      <c r="J17" s="284">
        <f t="shared" ref="J17:S17" si="15">I16</f>
        <v>12527246</v>
      </c>
      <c r="K17" s="284">
        <f t="shared" si="15"/>
        <v>14860083</v>
      </c>
      <c r="L17" s="284">
        <f t="shared" si="15"/>
        <v>17216362</v>
      </c>
      <c r="M17" s="284">
        <f t="shared" si="15"/>
        <v>18176304</v>
      </c>
      <c r="N17" s="284">
        <f t="shared" si="15"/>
        <v>19484646.399999999</v>
      </c>
      <c r="O17" s="284">
        <f t="shared" si="15"/>
        <v>21005268</v>
      </c>
      <c r="P17" s="284">
        <f t="shared" si="15"/>
        <v>22698328</v>
      </c>
      <c r="Q17" s="284">
        <f t="shared" si="15"/>
        <v>23832874</v>
      </c>
      <c r="R17" s="284">
        <f t="shared" si="15"/>
        <v>25141383</v>
      </c>
      <c r="S17" s="284">
        <f t="shared" si="15"/>
        <v>27043601</v>
      </c>
      <c r="T17" s="211"/>
      <c r="U17" s="211"/>
      <c r="V17" s="211"/>
      <c r="W17" s="211"/>
      <c r="X17" s="211"/>
    </row>
    <row r="18" spans="1:24" s="212" customFormat="1" ht="13" customHeight="1">
      <c r="A18" s="211"/>
      <c r="B18" s="436" t="str">
        <f>IF('Summary | Sumário'!D$3=Names!B$3,Names!AB8,Names!AC8)</f>
        <v>Cost of risk (%) (Excl. Antic. of CC Receivables)</v>
      </c>
      <c r="C18" s="464">
        <f>C13/C15</f>
        <v>2.9005395627358637E-2</v>
      </c>
      <c r="D18" s="464">
        <f t="shared" ref="D18:Q18" si="16">D13/D15</f>
        <v>3.1500109268915409E-2</v>
      </c>
      <c r="E18" s="464">
        <f t="shared" si="16"/>
        <v>4.5802613354702419E-2</v>
      </c>
      <c r="F18" s="464">
        <f t="shared" si="16"/>
        <v>5.4277610573951598E-2</v>
      </c>
      <c r="G18" s="464">
        <f t="shared" ref="G18" si="17">G13/G15</f>
        <v>5.8746447324504264E-2</v>
      </c>
      <c r="H18" s="464">
        <f t="shared" si="16"/>
        <v>4.4835468088771882E-2</v>
      </c>
      <c r="I18" s="464">
        <f t="shared" si="16"/>
        <v>5.8828232822545096E-2</v>
      </c>
      <c r="J18" s="464">
        <f t="shared" si="16"/>
        <v>4.0312072783731487E-2</v>
      </c>
      <c r="K18" s="464">
        <f t="shared" si="16"/>
        <v>4.5757190361961866E-2</v>
      </c>
      <c r="L18" s="464">
        <f t="shared" si="16"/>
        <v>7.0736914817324012E-2</v>
      </c>
      <c r="M18" s="464">
        <f t="shared" si="16"/>
        <v>5.1504595061945123E-2</v>
      </c>
      <c r="N18" s="464">
        <f t="shared" si="16"/>
        <v>5.1985884168725238E-2</v>
      </c>
      <c r="O18" s="464">
        <f t="shared" si="16"/>
        <v>4.8456241449788252E-2</v>
      </c>
      <c r="P18" s="464">
        <f t="shared" si="16"/>
        <v>6.0291758635420592E-2</v>
      </c>
      <c r="Q18" s="464">
        <f t="shared" si="16"/>
        <v>6.5105224567266029E-2</v>
      </c>
      <c r="R18" s="464">
        <f t="shared" ref="R18:S18" si="18">R13/R15</f>
        <v>6.2531244620099916E-2</v>
      </c>
      <c r="S18" s="464">
        <f t="shared" si="18"/>
        <v>5.4120456532074687E-2</v>
      </c>
      <c r="T18" s="211"/>
      <c r="U18" s="211"/>
      <c r="V18" s="211"/>
      <c r="W18" s="211"/>
      <c r="X18" s="211"/>
    </row>
    <row r="19" spans="1:24" s="212" customFormat="1" ht="13" customHeight="1">
      <c r="A19" s="211"/>
      <c r="T19" s="211"/>
      <c r="U19" s="211"/>
      <c r="V19" s="211"/>
      <c r="W19" s="211"/>
      <c r="X19" s="211"/>
    </row>
    <row r="20" spans="1:24" ht="13" customHeight="1">
      <c r="B20" s="211" t="str">
        <f>IF('Summary | Sumário'!D$3=Names!B$3,Names!AB9,Names!AC9)</f>
        <v>Note 1: 1Q22 managerial figure, excluding non-recurrent provision.</v>
      </c>
    </row>
  </sheetData>
  <sheetProtection algorithmName="SHA-512" hashValue="46OOT7NlJdpTMCHMcnSi592G5olkXLapcGvRf93vVDS/Lvhsj8t32peE14iPBguxoM462YvtsEUklGtLvdviUA==" saltValue="3yWNQKXhb1J5Qvhfo4o0iw=="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ignoredErrors>
    <ignoredError sqref="H2:Q3 B20 B2:F3" unlockedFormula="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AC9E7-C15F-C54E-91DA-FB1743B8D9A3}">
  <sheetPr codeName="Sheet18">
    <tabColor rgb="FFFFCA96"/>
  </sheetPr>
  <dimension ref="A1:V64"/>
  <sheetViews>
    <sheetView showGridLines="0" zoomScaleNormal="100" workbookViewId="0">
      <pane xSplit="2" ySplit="3" topLeftCell="C4" activePane="bottomRight" state="frozen"/>
      <selection pane="topRight" activeCell="I52" sqref="I52"/>
      <selection pane="bottomLeft" activeCell="I52" sqref="I52"/>
      <selection pane="bottomRight"/>
    </sheetView>
  </sheetViews>
  <sheetFormatPr baseColWidth="10" defaultColWidth="10.83203125" defaultRowHeight="13" customHeight="1"/>
  <cols>
    <col min="1" max="1" width="3.5" style="244" customWidth="1"/>
    <col min="2" max="2" width="68.33203125" style="244" customWidth="1"/>
    <col min="3" max="16" width="10.83203125" style="244" customWidth="1"/>
    <col min="17" max="16384" width="10.83203125" style="244"/>
  </cols>
  <sheetData>
    <row r="1" spans="1:22" s="211" customFormat="1" ht="13" customHeight="1">
      <c r="C1" s="253" t="s">
        <v>56</v>
      </c>
      <c r="D1" s="253" t="s">
        <v>86</v>
      </c>
      <c r="E1" s="253"/>
      <c r="F1" s="253"/>
      <c r="G1" s="212"/>
      <c r="H1" s="212"/>
      <c r="I1" s="212"/>
      <c r="J1" s="212"/>
      <c r="K1" s="212"/>
      <c r="L1" s="212"/>
      <c r="M1" s="212"/>
      <c r="N1" s="212"/>
      <c r="O1" s="212"/>
      <c r="P1" s="212"/>
      <c r="Q1" s="212"/>
    </row>
    <row r="2" spans="1:22" s="218" customFormat="1" ht="13" customHeight="1">
      <c r="B2" s="400" t="str">
        <f>IF('Summary | Sumário'!D$3=Names!B$3,Names!AX1,Names!AY1)</f>
        <v>Inter Invest (Managerial, R$ Million)</v>
      </c>
      <c r="C2" s="22" t="str">
        <f>IF('Summary | Sumário'!D$3=Names!B$3,Names!E2,Names!F2)</f>
        <v>4Q19</v>
      </c>
      <c r="D2" s="22" t="str">
        <f>IF('Summary | Sumário'!D$3=Names!B$3,Names!E3,Names!F3)</f>
        <v>4Q20</v>
      </c>
      <c r="E2" s="22" t="str">
        <f>IF('Summary | Sumário'!D$3=Names!B$3,Names!E4,Names!F4)</f>
        <v>1Q21</v>
      </c>
      <c r="F2" s="22" t="str">
        <f>IF('Summary | Sumário'!D$3=Names!B$3,Names!E5,Names!F5)</f>
        <v>2Q21</v>
      </c>
      <c r="G2" s="22" t="str">
        <f>IF('Summary | Sumário'!D$3=Names!B$3,Names!E6,Names!F6)</f>
        <v>3Q21</v>
      </c>
      <c r="H2" s="23" t="str">
        <f>IF('Summary | Sumário'!D$3=Names!B$3,Names!E7,Names!F7)</f>
        <v>4Q21</v>
      </c>
      <c r="I2" s="23" t="str">
        <f>IF('Summary | Sumário'!D$3=Names!B$3,Names!E8,Names!F8)</f>
        <v>1Q22</v>
      </c>
      <c r="J2" s="23" t="str">
        <f>IF('Summary | Sumário'!D$3=Names!B$3,Names!E9,Names!F9)</f>
        <v>2Q22</v>
      </c>
      <c r="K2" s="23" t="str">
        <f>IF('Summary | Sumário'!D$3=Names!B$3,Names!E10,Names!F10)</f>
        <v>3Q22</v>
      </c>
      <c r="L2" s="23" t="str">
        <f>IF('Summary | Sumário'!D$3=Names!B$3,Names!E11,Names!F11)</f>
        <v>4Q22</v>
      </c>
      <c r="M2" s="23" t="str">
        <f>IF('Summary | Sumário'!D$3=Names!B$3,Names!E12,Names!F12)</f>
        <v>1Q23</v>
      </c>
      <c r="N2" s="23" t="str">
        <f>IF('Summary | Sumário'!D$3=Names!B$3,Names!E13,Names!F13)</f>
        <v>2Q23</v>
      </c>
      <c r="O2" s="23" t="str">
        <f>IF('Summary | Sumário'!D$3=Names!B$3,Names!E14,Names!F14)</f>
        <v>3Q23</v>
      </c>
      <c r="P2" s="401" t="str">
        <f>IF('Summary | Sumário'!D$3=Names!B$3,Names!E15,Names!F15)</f>
        <v>4Q23</v>
      </c>
      <c r="Q2" s="214"/>
      <c r="R2" s="216"/>
      <c r="S2" s="217"/>
      <c r="U2" s="219"/>
      <c r="V2" s="220"/>
    </row>
    <row r="3" spans="1:22" s="211" customFormat="1" ht="13" customHeight="1">
      <c r="B3" s="16"/>
      <c r="C3" s="222"/>
      <c r="D3" s="222"/>
      <c r="E3" s="223"/>
      <c r="F3" s="223"/>
      <c r="G3" s="223"/>
      <c r="H3" s="223"/>
      <c r="I3" s="223"/>
      <c r="J3" s="223"/>
      <c r="K3" s="223"/>
      <c r="L3" s="223"/>
      <c r="M3" s="223"/>
      <c r="N3" s="223"/>
      <c r="O3" s="223"/>
      <c r="P3" s="223"/>
      <c r="Q3" s="223"/>
    </row>
    <row r="4" spans="1:22" ht="13" customHeight="1">
      <c r="A4" s="242"/>
      <c r="B4" s="5" t="str">
        <f>IF('Summary | Sumário'!D$3=Names!B$3,Names!AX3,Names!AY3)</f>
        <v>Inter invest</v>
      </c>
      <c r="C4" s="246"/>
      <c r="D4" s="246"/>
      <c r="E4" s="246"/>
      <c r="F4" s="246"/>
      <c r="G4" s="246"/>
      <c r="H4" s="246"/>
      <c r="I4" s="246"/>
      <c r="J4" s="246"/>
      <c r="K4" s="246"/>
      <c r="L4" s="246"/>
      <c r="M4" s="246"/>
      <c r="N4" s="246"/>
      <c r="O4" s="246"/>
      <c r="P4" s="246"/>
    </row>
    <row r="5" spans="1:22" ht="13" customHeight="1">
      <c r="A5" s="242"/>
      <c r="B5" s="472" t="str">
        <f>IF('Summary | Sumário'!D$3=Names!B$3,Names!AX4,Names!AY4)</f>
        <v>Total AUC</v>
      </c>
      <c r="C5" s="473">
        <f>SUM(C6:C8)</f>
        <v>18334.29077</v>
      </c>
      <c r="D5" s="473">
        <f t="shared" ref="D5:M5" si="0">SUM(D6:D8)</f>
        <v>44099.232784510008</v>
      </c>
      <c r="E5" s="473">
        <f t="shared" si="0"/>
        <v>52376.706477599975</v>
      </c>
      <c r="F5" s="473">
        <f t="shared" si="0"/>
        <v>63464.019114700051</v>
      </c>
      <c r="G5" s="473">
        <f t="shared" si="0"/>
        <v>60324.526333440008</v>
      </c>
      <c r="H5" s="473">
        <f t="shared" si="0"/>
        <v>56887.303352699601</v>
      </c>
      <c r="I5" s="473">
        <f t="shared" si="0"/>
        <v>58138.286373499977</v>
      </c>
      <c r="J5" s="473">
        <f t="shared" si="0"/>
        <v>54559.79457161</v>
      </c>
      <c r="K5" s="473">
        <f t="shared" si="0"/>
        <v>62349.211153180004</v>
      </c>
      <c r="L5" s="473">
        <f t="shared" si="0"/>
        <v>66723.736438719992</v>
      </c>
      <c r="M5" s="473">
        <f t="shared" si="0"/>
        <v>67986.417997459968</v>
      </c>
      <c r="N5" s="473">
        <f t="shared" ref="N5:O5" si="1">SUM(N6:N8)</f>
        <v>76842.170568875445</v>
      </c>
      <c r="O5" s="473">
        <f t="shared" si="1"/>
        <v>82892.927662269998</v>
      </c>
      <c r="P5" s="473">
        <f t="shared" ref="P5" si="2">SUM(P6:P8)</f>
        <v>91798.553434000001</v>
      </c>
    </row>
    <row r="6" spans="1:22" ht="13" customHeight="1">
      <c r="A6" s="242"/>
      <c r="B6" s="111" t="str">
        <f>IF('Summary | Sumário'!D$3=Names!B$3,Names!AX5,Names!AY5)</f>
        <v>Funding (includes deposits and other on-balance funding)</v>
      </c>
      <c r="C6" s="245">
        <v>6434.0190000000002</v>
      </c>
      <c r="D6" s="245">
        <v>14166.066999999999</v>
      </c>
      <c r="E6" s="245">
        <v>15097.571</v>
      </c>
      <c r="F6" s="245">
        <v>17710.853999999999</v>
      </c>
      <c r="G6" s="245">
        <v>20186.793000000001</v>
      </c>
      <c r="H6" s="245">
        <v>21905.634999999998</v>
      </c>
      <c r="I6" s="245">
        <v>23239.074000000001</v>
      </c>
      <c r="J6" s="245">
        <v>25850.632000000001</v>
      </c>
      <c r="K6" s="245">
        <v>28368.945</v>
      </c>
      <c r="L6" s="245">
        <v>29844.969000000001</v>
      </c>
      <c r="M6" s="245">
        <v>30822.562999999998</v>
      </c>
      <c r="N6" s="245">
        <v>33305.51704074</v>
      </c>
      <c r="O6" s="245">
        <v>36526.552537269999</v>
      </c>
      <c r="P6" s="245">
        <v>40746.661999999997</v>
      </c>
    </row>
    <row r="7" spans="1:22" ht="13" customHeight="1">
      <c r="A7" s="242"/>
      <c r="B7" s="110" t="str">
        <f>IF('Summary | Sumário'!D$3=Names!B$3,Names!AX6,Names!AY6)</f>
        <v>Inter asset AuM</v>
      </c>
      <c r="C7" s="243">
        <v>0</v>
      </c>
      <c r="D7" s="243">
        <v>3732.8115669999997</v>
      </c>
      <c r="E7" s="243">
        <v>4166.4707679100002</v>
      </c>
      <c r="F7" s="243">
        <v>4701</v>
      </c>
      <c r="G7" s="243">
        <v>5087</v>
      </c>
      <c r="H7" s="243">
        <v>5208</v>
      </c>
      <c r="I7" s="243">
        <v>5383</v>
      </c>
      <c r="J7" s="243">
        <v>5781</v>
      </c>
      <c r="K7" s="243">
        <v>7156</v>
      </c>
      <c r="L7" s="243">
        <v>8391.2768336400004</v>
      </c>
      <c r="M7" s="243">
        <v>7657</v>
      </c>
      <c r="N7" s="243">
        <v>7870.6031021400004</v>
      </c>
      <c r="O7" s="243">
        <v>8194.2440079999997</v>
      </c>
      <c r="P7" s="243">
        <v>9276.8147730000001</v>
      </c>
    </row>
    <row r="8" spans="1:22" ht="13" customHeight="1">
      <c r="A8" s="241"/>
      <c r="B8" s="111" t="str">
        <f>IF('Summary | Sumário'!D$3=Names!B$3,Names!AX7,Names!AY7)</f>
        <v>Inter DTVM - management, distribution and custody</v>
      </c>
      <c r="C8" s="245">
        <v>11900.271769999999</v>
      </c>
      <c r="D8" s="245">
        <v>26200.354217510005</v>
      </c>
      <c r="E8" s="245">
        <v>33112.664709689976</v>
      </c>
      <c r="F8" s="245">
        <v>41052.165114700052</v>
      </c>
      <c r="G8" s="245">
        <v>35050.733333440003</v>
      </c>
      <c r="H8" s="245">
        <v>29773.668352699602</v>
      </c>
      <c r="I8" s="245">
        <v>29516.212373499977</v>
      </c>
      <c r="J8" s="245">
        <v>22928.162571609999</v>
      </c>
      <c r="K8" s="245">
        <v>26824.26615318</v>
      </c>
      <c r="L8" s="245">
        <v>28487.490605079998</v>
      </c>
      <c r="M8" s="245">
        <v>29506.854997459966</v>
      </c>
      <c r="N8" s="245">
        <v>35666.050425995447</v>
      </c>
      <c r="O8" s="245">
        <v>38172.131116999997</v>
      </c>
      <c r="P8" s="245">
        <v>41775.076660999999</v>
      </c>
      <c r="Q8" s="273"/>
    </row>
    <row r="9" spans="1:22" ht="13" customHeight="1">
      <c r="A9" s="242"/>
      <c r="B9" s="108" t="str">
        <f>IF('Summary | Sumário'!D$3=Names!B$3,Names!AX8,Names!AY8)</f>
        <v>Inter Invest net revenues</v>
      </c>
      <c r="C9" s="272"/>
      <c r="D9" s="272"/>
      <c r="E9" s="274">
        <v>14.775224</v>
      </c>
      <c r="F9" s="274">
        <v>15.423358</v>
      </c>
      <c r="G9" s="274">
        <v>33.671531000000002</v>
      </c>
      <c r="H9" s="274">
        <v>31.725574999999999</v>
      </c>
      <c r="I9" s="274">
        <v>32.118471</v>
      </c>
      <c r="J9" s="274">
        <v>34.942397999999997</v>
      </c>
      <c r="K9" s="274">
        <v>39.631746</v>
      </c>
      <c r="L9" s="274">
        <v>25.204698</v>
      </c>
      <c r="M9" s="274">
        <v>42.040458000000001</v>
      </c>
      <c r="N9" s="274">
        <v>43.381656999999997</v>
      </c>
      <c r="O9" s="274">
        <v>41.514320970000007</v>
      </c>
      <c r="P9" s="274">
        <v>60.850385709999991</v>
      </c>
    </row>
    <row r="10" spans="1:22" ht="13" customHeight="1">
      <c r="B10" s="111" t="str">
        <f>IF('Summary | Sumário'!D$3=Names!B$3,Names!AX9,Names!AY9)</f>
        <v>Inter Invest net fee revenues</v>
      </c>
      <c r="C10" s="245"/>
      <c r="D10" s="245"/>
      <c r="E10" s="275">
        <v>13.879148000000001</v>
      </c>
      <c r="F10" s="275">
        <v>11.610353</v>
      </c>
      <c r="G10" s="275">
        <v>29.902488000000002</v>
      </c>
      <c r="H10" s="275">
        <v>26.472512999999999</v>
      </c>
      <c r="I10" s="275">
        <v>25.550785999999999</v>
      </c>
      <c r="J10" s="275">
        <v>27.531547</v>
      </c>
      <c r="K10" s="275">
        <v>32.406441000000001</v>
      </c>
      <c r="L10" s="275">
        <v>16.431895000000001</v>
      </c>
      <c r="M10" s="275">
        <v>25.844162000000001</v>
      </c>
      <c r="N10" s="275">
        <v>26.447693999999998</v>
      </c>
      <c r="O10" s="275">
        <v>26.742655840000001</v>
      </c>
      <c r="P10" s="275">
        <v>39.535309839999996</v>
      </c>
    </row>
    <row r="11" spans="1:22" ht="13" customHeight="1">
      <c r="B11" s="110" t="str">
        <f>IF('Summary | Sumário'!D$3=Names!B$3,Names!AX10,Names!AY10)</f>
        <v>Inter Invest net interest revenues</v>
      </c>
      <c r="C11" s="243"/>
      <c r="D11" s="243"/>
      <c r="E11" s="276">
        <v>0.89607599999999998</v>
      </c>
      <c r="F11" s="276">
        <v>3.813005</v>
      </c>
      <c r="G11" s="276">
        <v>3.7690429999999999</v>
      </c>
      <c r="H11" s="276">
        <v>5.2530619999999999</v>
      </c>
      <c r="I11" s="276">
        <v>6.567685</v>
      </c>
      <c r="J11" s="276">
        <v>7.4108510000000001</v>
      </c>
      <c r="K11" s="276">
        <v>7.2253049999999996</v>
      </c>
      <c r="L11" s="276">
        <v>8.7728029999999997</v>
      </c>
      <c r="M11" s="276">
        <v>16.196296</v>
      </c>
      <c r="N11" s="276">
        <v>16.933962999999999</v>
      </c>
      <c r="O11" s="276">
        <v>14.771665130000006</v>
      </c>
      <c r="P11" s="276">
        <v>9.7800439999997615E-2</v>
      </c>
    </row>
    <row r="12" spans="1:22" ht="13" customHeight="1">
      <c r="C12" s="277"/>
      <c r="D12" s="277"/>
      <c r="E12" s="277"/>
      <c r="F12" s="278"/>
      <c r="G12" s="278"/>
      <c r="H12" s="278"/>
      <c r="I12" s="277"/>
      <c r="J12" s="277"/>
      <c r="K12" s="277"/>
      <c r="L12" s="277"/>
      <c r="M12" s="277"/>
      <c r="N12" s="277"/>
      <c r="O12" s="277"/>
      <c r="P12" s="277"/>
    </row>
    <row r="13" spans="1:22" ht="13" customHeight="1">
      <c r="C13" s="277"/>
      <c r="D13" s="277"/>
      <c r="E13" s="277"/>
      <c r="F13" s="278"/>
      <c r="G13" s="277"/>
      <c r="H13" s="277"/>
      <c r="I13" s="277"/>
      <c r="J13" s="277"/>
      <c r="L13" s="277"/>
      <c r="M13" s="277"/>
      <c r="N13" s="277"/>
      <c r="O13" s="277"/>
      <c r="P13" s="277"/>
    </row>
    <row r="14" spans="1:22" ht="13" customHeight="1">
      <c r="C14" s="277"/>
      <c r="D14" s="277"/>
      <c r="E14" s="277"/>
      <c r="F14" s="277"/>
      <c r="G14" s="277"/>
      <c r="H14" s="277"/>
      <c r="I14" s="277"/>
      <c r="J14" s="277"/>
      <c r="K14" s="277"/>
      <c r="L14" s="277"/>
      <c r="M14" s="277"/>
      <c r="N14" s="277"/>
      <c r="O14" s="277"/>
      <c r="P14" s="277"/>
    </row>
    <row r="15" spans="1:22" ht="13" customHeight="1">
      <c r="C15" s="277"/>
      <c r="D15" s="277"/>
      <c r="E15" s="277"/>
      <c r="F15" s="277"/>
      <c r="G15" s="277"/>
      <c r="H15" s="277"/>
      <c r="I15" s="277"/>
      <c r="J15" s="277"/>
      <c r="K15" s="277"/>
      <c r="L15" s="277"/>
      <c r="M15" s="277"/>
      <c r="N15" s="277"/>
      <c r="O15" s="277"/>
      <c r="P15" s="277"/>
    </row>
    <row r="16" spans="1:22" ht="13" customHeight="1">
      <c r="C16" s="277"/>
      <c r="D16" s="277"/>
      <c r="E16" s="277"/>
      <c r="F16" s="277"/>
      <c r="G16" s="277"/>
      <c r="H16" s="277"/>
      <c r="I16" s="277"/>
      <c r="J16" s="277"/>
      <c r="K16" s="277"/>
      <c r="L16" s="277"/>
      <c r="M16" s="277"/>
      <c r="N16" s="277"/>
      <c r="O16" s="277"/>
      <c r="P16" s="277"/>
    </row>
    <row r="17" spans="2:16" ht="13" customHeight="1">
      <c r="B17" s="237"/>
      <c r="C17" s="277"/>
      <c r="D17" s="277"/>
      <c r="E17" s="277"/>
      <c r="F17" s="277"/>
      <c r="G17" s="277"/>
      <c r="H17" s="277"/>
      <c r="I17" s="277"/>
      <c r="J17" s="277"/>
      <c r="K17" s="277"/>
      <c r="L17" s="277"/>
      <c r="M17" s="277"/>
      <c r="N17" s="277"/>
      <c r="O17" s="277"/>
      <c r="P17" s="277"/>
    </row>
    <row r="18" spans="2:16" ht="13" customHeight="1">
      <c r="B18" s="279"/>
      <c r="C18" s="280"/>
      <c r="D18" s="280"/>
      <c r="E18" s="280"/>
      <c r="F18" s="280"/>
      <c r="G18" s="280"/>
      <c r="H18" s="280"/>
      <c r="I18" s="280"/>
      <c r="J18" s="280"/>
      <c r="K18" s="280"/>
      <c r="L18" s="280"/>
      <c r="M18" s="280"/>
      <c r="N18" s="280"/>
      <c r="O18" s="280"/>
      <c r="P18" s="280"/>
    </row>
    <row r="19" spans="2:16" ht="13" customHeight="1">
      <c r="B19" s="237"/>
      <c r="L19" s="277"/>
      <c r="M19" s="277"/>
      <c r="N19" s="277"/>
      <c r="O19" s="277"/>
      <c r="P19" s="277"/>
    </row>
    <row r="20" spans="2:16" ht="13" customHeight="1">
      <c r="B20" s="237"/>
    </row>
    <row r="22" spans="2:16" ht="13" customHeight="1">
      <c r="B22" s="502"/>
    </row>
    <row r="23" spans="2:16" ht="13" customHeight="1">
      <c r="B23" s="502"/>
    </row>
    <row r="24" spans="2:16" ht="13" customHeight="1">
      <c r="B24" s="502"/>
    </row>
    <row r="25" spans="2:16" ht="13" customHeight="1">
      <c r="B25" s="502"/>
    </row>
    <row r="26" spans="2:16" ht="13" customHeight="1">
      <c r="B26" s="502"/>
    </row>
    <row r="27" spans="2:16" ht="13" customHeight="1">
      <c r="B27" s="502"/>
    </row>
    <row r="28" spans="2:16" ht="13" customHeight="1">
      <c r="B28" s="502"/>
    </row>
    <row r="64" spans="3:16" ht="13" customHeight="1">
      <c r="C64" s="252"/>
      <c r="D64" s="252"/>
      <c r="E64" s="252"/>
      <c r="F64" s="252"/>
      <c r="G64" s="252"/>
      <c r="H64" s="252"/>
      <c r="I64" s="252"/>
      <c r="J64" s="252"/>
      <c r="K64" s="252"/>
      <c r="L64" s="252"/>
      <c r="M64" s="252"/>
      <c r="N64" s="252"/>
      <c r="O64" s="252"/>
      <c r="P64" s="252"/>
    </row>
  </sheetData>
  <sheetProtection algorithmName="SHA-512" hashValue="e4aNJK0pWOQSxmIjj9G5e4UBT3eCeTVNkgCULDU1fCvxyQHw/I2S05oe+Y6uJ9QW9dWi5G8XnjjBKGYd6p9wAA==" saltValue="IxPtQ8m96NbrUoAo0dOvvg==" spinCount="100000" sheet="1" formatCells="0" formatColumns="0" formatRows="0" insertColumns="0" insertRows="0" insertHyperlinks="0" deleteColumns="0" deleteRows="0" sort="0" autoFilter="0" pivotTables="0"/>
  <mergeCells count="1">
    <mergeCell ref="B22:B28"/>
  </mergeCells>
  <pageMargins left="0.511811024" right="0.511811024" top="0.78740157499999996" bottom="0.78740157499999996" header="0.31496062000000002" footer="0.3149606200000000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A5A1A-D6B8-3344-BDFC-1DD8EED5C848}">
  <sheetPr codeName="Sheet8">
    <tabColor rgb="FFFFCA96"/>
  </sheetPr>
  <dimension ref="A1:V22"/>
  <sheetViews>
    <sheetView showGridLines="0" zoomScaleNormal="100" workbookViewId="0">
      <pane xSplit="2" ySplit="3" topLeftCell="C4" activePane="bottomRight" state="frozen"/>
      <selection pane="topRight" activeCell="I52" sqref="I52"/>
      <selection pane="bottomLeft" activeCell="I52" sqref="I52"/>
      <selection pane="bottomRight"/>
    </sheetView>
  </sheetViews>
  <sheetFormatPr baseColWidth="10" defaultColWidth="10.83203125" defaultRowHeight="13" customHeight="1"/>
  <cols>
    <col min="1" max="1" width="3.33203125" style="211" customWidth="1"/>
    <col min="2" max="2" width="68.33203125" style="211" customWidth="1"/>
    <col min="3" max="16" width="10.83203125" style="211" customWidth="1"/>
    <col min="17" max="16384" width="10.83203125" style="211"/>
  </cols>
  <sheetData>
    <row r="1" spans="1:22" s="252" customFormat="1" ht="13" customHeight="1">
      <c r="A1" s="252" t="s">
        <v>832</v>
      </c>
      <c r="C1" s="253"/>
      <c r="D1" s="253"/>
      <c r="E1" s="253"/>
      <c r="F1" s="253"/>
      <c r="G1" s="253"/>
      <c r="H1" s="253"/>
      <c r="I1" s="253"/>
      <c r="J1" s="253"/>
      <c r="K1" s="253"/>
      <c r="L1" s="253"/>
      <c r="M1" s="253"/>
      <c r="N1" s="253"/>
      <c r="O1" s="253"/>
      <c r="P1" s="253"/>
      <c r="Q1" s="253"/>
    </row>
    <row r="2" spans="1:22" s="218" customFormat="1" ht="13" customHeight="1">
      <c r="B2" s="400" t="str">
        <f>IF('Summary | Sumário'!D$3=Names!B$3,Names!AJ1,Names!AK1)</f>
        <v>Inter Seguros (Managerial, Million)</v>
      </c>
      <c r="C2" s="22" t="str">
        <f>IF('Summary | Sumário'!D$3=Names!B$3,Names!E2,Names!F2)</f>
        <v>4Q19</v>
      </c>
      <c r="D2" s="22" t="str">
        <f>IF('Summary | Sumário'!D$3=Names!B$3,Names!E3,Names!F3)</f>
        <v>4Q20</v>
      </c>
      <c r="E2" s="22" t="str">
        <f>IF('Summary | Sumário'!D$3=Names!B$3,Names!E4,Names!F4)</f>
        <v>1Q21</v>
      </c>
      <c r="F2" s="22" t="str">
        <f>IF('Summary | Sumário'!D$3=Names!B$3,Names!E5,Names!F5)</f>
        <v>2Q21</v>
      </c>
      <c r="G2" s="22" t="str">
        <f>IF('Summary | Sumário'!D$3=Names!B$3,Names!E6,Names!F6)</f>
        <v>3Q21</v>
      </c>
      <c r="H2" s="23" t="str">
        <f>IF('Summary | Sumário'!D$3=Names!B$3,Names!E7,Names!F7)</f>
        <v>4Q21</v>
      </c>
      <c r="I2" s="23" t="str">
        <f>IF('Summary | Sumário'!D$3=Names!B$3,Names!E8,Names!F8)</f>
        <v>1Q22</v>
      </c>
      <c r="J2" s="23" t="str">
        <f>IF('Summary | Sumário'!D$3=Names!B$3,Names!E9,Names!F9)</f>
        <v>2Q22</v>
      </c>
      <c r="K2" s="23" t="str">
        <f>IF('Summary | Sumário'!D$3=Names!B$3,Names!E10,Names!F10)</f>
        <v>3Q22</v>
      </c>
      <c r="L2" s="23" t="str">
        <f>IF('Summary | Sumário'!D$3=Names!B$3,Names!E11,Names!F11)</f>
        <v>4Q22</v>
      </c>
      <c r="M2" s="23" t="str">
        <f>IF('Summary | Sumário'!D$3=Names!B$3,Names!E12,Names!F12)</f>
        <v>1Q23</v>
      </c>
      <c r="N2" s="23" t="str">
        <f>IF('Summary | Sumário'!D$3=Names!B$3,Names!E13,Names!F13)</f>
        <v>2Q23</v>
      </c>
      <c r="O2" s="23" t="str">
        <f>IF('Summary | Sumário'!D$3=Names!B$3,Names!E14,Names!F14)</f>
        <v>3Q23</v>
      </c>
      <c r="P2" s="401" t="str">
        <f>IF('Summary | Sumário'!D$3=Names!B$3,Names!E15,Names!F15)</f>
        <v>4Q23</v>
      </c>
      <c r="Q2" s="214"/>
      <c r="R2" s="216"/>
      <c r="S2" s="217"/>
      <c r="U2" s="219"/>
      <c r="V2" s="220"/>
    </row>
    <row r="3" spans="1:22" s="252" customFormat="1" ht="13" customHeight="1">
      <c r="B3" s="78"/>
      <c r="C3" s="254"/>
      <c r="D3" s="254"/>
      <c r="E3" s="217"/>
      <c r="F3" s="217"/>
      <c r="G3" s="217"/>
      <c r="H3" s="217"/>
      <c r="I3" s="217"/>
      <c r="J3" s="217"/>
      <c r="K3" s="217"/>
      <c r="L3" s="217"/>
      <c r="M3" s="217"/>
      <c r="N3" s="217"/>
      <c r="O3" s="217"/>
      <c r="P3" s="217"/>
      <c r="Q3" s="217"/>
    </row>
    <row r="4" spans="1:22" ht="13" customHeight="1">
      <c r="B4" s="9" t="str">
        <f>IF('Summary | Sumário'!D$3=Names!B$3,Names!AJ2,Names!AK2)</f>
        <v>Inter seguros</v>
      </c>
      <c r="C4" s="224"/>
      <c r="D4" s="224"/>
      <c r="E4" s="224"/>
      <c r="F4" s="224"/>
      <c r="G4" s="224"/>
      <c r="H4" s="224"/>
      <c r="I4" s="224"/>
      <c r="J4" s="224"/>
      <c r="K4" s="224"/>
      <c r="L4" s="224"/>
      <c r="M4" s="224"/>
      <c r="N4" s="224"/>
      <c r="O4" s="224"/>
      <c r="P4" s="224"/>
    </row>
    <row r="5" spans="1:22" ht="13" customHeight="1">
      <c r="B5" s="112" t="str">
        <f>IF('Summary | Sumário'!D$3=Names!B$3,Names!AJ3,Names!AK3)</f>
        <v>Active contracts</v>
      </c>
      <c r="C5" s="264">
        <v>5.3094000000000002E-2</v>
      </c>
      <c r="D5" s="264">
        <v>0.25492300000000001</v>
      </c>
      <c r="E5" s="264">
        <v>0.36691800000000002</v>
      </c>
      <c r="F5" s="264">
        <v>0.53204200000000001</v>
      </c>
      <c r="G5" s="264">
        <v>0.68269100000000005</v>
      </c>
      <c r="H5" s="264">
        <v>0.83851799999999999</v>
      </c>
      <c r="I5" s="264">
        <v>0.91542800000000002</v>
      </c>
      <c r="J5" s="264">
        <v>1.046513</v>
      </c>
      <c r="K5" s="264">
        <v>1.129281</v>
      </c>
      <c r="L5" s="264">
        <v>1.270999</v>
      </c>
      <c r="M5" s="264">
        <v>1.337496</v>
      </c>
      <c r="N5" s="264">
        <v>1.525682</v>
      </c>
      <c r="O5" s="264">
        <v>1.5860810000000001</v>
      </c>
      <c r="P5" s="264">
        <v>1.710353</v>
      </c>
    </row>
    <row r="6" spans="1:22" ht="13" customHeight="1">
      <c r="B6" s="29" t="str">
        <f>IF('Summary | Sumário'!D$3=Names!B$3,Names!AJ4,Names!AK4)</f>
        <v>Inter Seguros net revenues</v>
      </c>
      <c r="C6" s="255"/>
      <c r="D6" s="255"/>
      <c r="E6" s="255">
        <v>19.567177999999998</v>
      </c>
      <c r="F6" s="255">
        <v>21.418572999999999</v>
      </c>
      <c r="G6" s="255">
        <v>22.416924999999999</v>
      </c>
      <c r="H6" s="255">
        <v>25.126908</v>
      </c>
      <c r="I6" s="255">
        <v>29.693913999999999</v>
      </c>
      <c r="J6" s="255">
        <v>34.950688</v>
      </c>
      <c r="K6" s="255">
        <v>31.200075999999999</v>
      </c>
      <c r="L6" s="255">
        <v>34.830342999999999</v>
      </c>
      <c r="M6" s="255">
        <v>40.561728000000002</v>
      </c>
      <c r="N6" s="255">
        <v>38.523485999999998</v>
      </c>
      <c r="O6" s="255">
        <v>46.867078279999994</v>
      </c>
      <c r="P6" s="255">
        <v>47.206707720000011</v>
      </c>
    </row>
    <row r="7" spans="1:22" ht="13" customHeight="1">
      <c r="B7" s="113" t="str">
        <f>IF('Summary | Sumário'!D$3=Names!B$3,Names!AJ5,Names!AK5)</f>
        <v>Inter Seguros net fee revenues</v>
      </c>
      <c r="C7" s="265"/>
      <c r="D7" s="265"/>
      <c r="E7" s="256">
        <v>18.685466000000002</v>
      </c>
      <c r="F7" s="256">
        <v>20.401418</v>
      </c>
      <c r="G7" s="256">
        <v>20.850255000000001</v>
      </c>
      <c r="H7" s="256">
        <v>23.16553</v>
      </c>
      <c r="I7" s="256">
        <v>27.696591000000002</v>
      </c>
      <c r="J7" s="256">
        <v>35.958463999999999</v>
      </c>
      <c r="K7" s="256">
        <v>31.187383000000001</v>
      </c>
      <c r="L7" s="256">
        <v>34.477263000000001</v>
      </c>
      <c r="M7" s="256">
        <v>39.972607000000004</v>
      </c>
      <c r="N7" s="256">
        <v>38.084088000000001</v>
      </c>
      <c r="O7" s="256">
        <v>46.382157129999996</v>
      </c>
      <c r="P7" s="256">
        <v>46.637147870000014</v>
      </c>
    </row>
    <row r="8" spans="1:22" ht="13" customHeight="1">
      <c r="B8" s="109" t="str">
        <f>IF('Summary | Sumário'!D$3=Names!B$3,Names!AJ6,Names!AK6)</f>
        <v>Inter Seguros net interest revenues</v>
      </c>
      <c r="C8" s="266"/>
      <c r="D8" s="266"/>
      <c r="E8" s="267">
        <v>0.88171200000000005</v>
      </c>
      <c r="F8" s="267">
        <v>1.017155</v>
      </c>
      <c r="G8" s="267">
        <v>1.56667</v>
      </c>
      <c r="H8" s="267">
        <v>1.9613780000000001</v>
      </c>
      <c r="I8" s="267">
        <v>1.997323</v>
      </c>
      <c r="J8" s="267">
        <v>-1.007776</v>
      </c>
      <c r="K8" s="267">
        <v>1.2692999999999999E-2</v>
      </c>
      <c r="L8" s="267">
        <v>0.35308</v>
      </c>
      <c r="M8" s="267">
        <v>0.58912100000000001</v>
      </c>
      <c r="N8" s="267">
        <v>0.43939800000000001</v>
      </c>
      <c r="O8" s="267">
        <v>0.48492114999999852</v>
      </c>
      <c r="P8" s="267">
        <v>0.56955985000000153</v>
      </c>
    </row>
    <row r="9" spans="1:22" ht="13" customHeight="1">
      <c r="B9" s="112" t="str">
        <f>IF('Summary | Sumário'!D$3=Names!B$3,Names!AJ8,Names!AK8)</f>
        <v>Managerial EBITDA Margin</v>
      </c>
      <c r="C9" s="268">
        <v>0.70227189056318551</v>
      </c>
      <c r="D9" s="268">
        <v>0.89266785681840854</v>
      </c>
      <c r="E9" s="268">
        <v>0.88482599815833041</v>
      </c>
      <c r="F9" s="268">
        <v>0.89893649657256391</v>
      </c>
      <c r="G9" s="268">
        <v>0.92065885943882775</v>
      </c>
      <c r="H9" s="268">
        <v>0.92170299939186384</v>
      </c>
      <c r="I9" s="268">
        <v>0.8973923084485973</v>
      </c>
      <c r="J9" s="268">
        <v>0.93032138452831492</v>
      </c>
      <c r="K9" s="268">
        <v>0.92233340321210788</v>
      </c>
      <c r="L9" s="268">
        <v>0.87840703866079084</v>
      </c>
      <c r="M9" s="268">
        <v>0.93266382663319469</v>
      </c>
      <c r="N9" s="268">
        <v>0.72104143228798501</v>
      </c>
      <c r="O9" s="268">
        <v>0.77176803701130903</v>
      </c>
      <c r="P9" s="500">
        <v>0.72430000000000005</v>
      </c>
    </row>
    <row r="10" spans="1:22" ht="13" customHeight="1">
      <c r="B10" s="29" t="str">
        <f>IF('Summary | Sumário'!D$3=Names!B$3,Names!AJ9,Names!AK9)</f>
        <v>Inter Seguros net income</v>
      </c>
      <c r="C10" s="255">
        <v>3.1904390600000023</v>
      </c>
      <c r="D10" s="255">
        <v>13.105405040000003</v>
      </c>
      <c r="E10" s="255">
        <v>13.946809500000006</v>
      </c>
      <c r="F10" s="255">
        <v>15.577624370000001</v>
      </c>
      <c r="G10" s="255">
        <v>16.607872859999997</v>
      </c>
      <c r="H10" s="255">
        <v>18.628638070000008</v>
      </c>
      <c r="I10" s="255">
        <v>14.207677600000006</v>
      </c>
      <c r="J10" s="255">
        <v>18.505050730000004</v>
      </c>
      <c r="K10" s="255">
        <v>15.75805096</v>
      </c>
      <c r="L10" s="255">
        <v>16.689283329999999</v>
      </c>
      <c r="M10" s="255">
        <v>15.789375680000004</v>
      </c>
      <c r="N10" s="255">
        <v>12.835727520000008</v>
      </c>
      <c r="O10" s="255">
        <v>15.535343949999991</v>
      </c>
      <c r="P10" s="255">
        <v>15.226922</v>
      </c>
    </row>
    <row r="12" spans="1:22" ht="13" customHeight="1">
      <c r="H12" s="261"/>
      <c r="I12" s="261"/>
      <c r="J12" s="261"/>
      <c r="K12" s="261"/>
      <c r="L12" s="261"/>
      <c r="M12" s="261"/>
      <c r="N12" s="261"/>
      <c r="O12" s="499"/>
      <c r="P12" s="261"/>
    </row>
    <row r="15" spans="1:22" ht="13" customHeight="1">
      <c r="C15" s="212"/>
      <c r="D15" s="212"/>
      <c r="E15" s="212"/>
      <c r="F15" s="212"/>
      <c r="G15" s="212"/>
      <c r="H15" s="212"/>
      <c r="I15" s="212"/>
      <c r="J15" s="212"/>
      <c r="K15" s="212"/>
      <c r="L15" s="212"/>
      <c r="M15" s="212"/>
      <c r="N15" s="212"/>
      <c r="O15" s="212"/>
      <c r="P15" s="212"/>
    </row>
    <row r="17" spans="2:10" ht="13" customHeight="1">
      <c r="B17" s="269"/>
    </row>
    <row r="18" spans="2:10" ht="13" customHeight="1">
      <c r="B18" s="269"/>
    </row>
    <row r="21" spans="2:10" ht="13" customHeight="1">
      <c r="B21" s="270"/>
    </row>
    <row r="22" spans="2:10" ht="13" customHeight="1">
      <c r="B22" s="270"/>
      <c r="J22" s="271"/>
    </row>
  </sheetData>
  <sheetProtection algorithmName="SHA-512" hashValue="V/jVziPO/7kLLW/4Bi9hkILQK67ZL26IjYcoXjenxF0Cws7Jla3WQCInzdya0NFln0fc46m1vZNMdD8BE6DvBA==" saltValue="vuEC/Qa5UdKo6rpe7Bb41A==" spinCount="100000" sheet="1" formatCells="0" formatColumns="0" formatRows="0" insertColumns="0" insertRows="0" insertHyperlinks="0" deleteColumns="0" deleteRows="0" sort="0" autoFilter="0" pivotTables="0"/>
  <phoneticPr fontId="6" type="noConversion"/>
  <pageMargins left="0.511811024" right="0.511811024" top="0.78740157499999996" bottom="0.78740157499999996" header="0.31496062000000002" footer="0.31496062000000002"/>
  <pageSetup paperSize="9" orientation="portrait" horizontalDpi="0" verticalDpi="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79C2B-1C32-1D4E-89EF-3461873B0D54}">
  <sheetPr codeName="Sheet7">
    <tabColor rgb="FFFFCA96"/>
  </sheetPr>
  <dimension ref="B1:V26"/>
  <sheetViews>
    <sheetView showGridLines="0" zoomScaleNormal="100" workbookViewId="0">
      <pane xSplit="2" ySplit="3" topLeftCell="C4" activePane="bottomRight" state="frozen"/>
      <selection pane="topRight" activeCell="I52" sqref="I52"/>
      <selection pane="bottomLeft" activeCell="I52" sqref="I52"/>
      <selection pane="bottomRight"/>
    </sheetView>
  </sheetViews>
  <sheetFormatPr baseColWidth="10" defaultColWidth="10.83203125" defaultRowHeight="13" customHeight="1"/>
  <cols>
    <col min="1" max="1" width="3.33203125" style="211" customWidth="1"/>
    <col min="2" max="2" width="68.33203125" style="244" customWidth="1"/>
    <col min="3" max="15" width="10.83203125" style="211" customWidth="1"/>
    <col min="16" max="16384" width="10.83203125" style="211"/>
  </cols>
  <sheetData>
    <row r="1" spans="2:22" s="252" customFormat="1" ht="13" customHeight="1">
      <c r="C1" s="253"/>
      <c r="D1" s="253"/>
      <c r="E1" s="253"/>
      <c r="F1" s="253"/>
      <c r="G1" s="253"/>
      <c r="H1" s="253"/>
      <c r="I1" s="253"/>
      <c r="J1" s="253"/>
      <c r="K1" s="253"/>
      <c r="L1" s="253"/>
      <c r="M1" s="253"/>
      <c r="N1" s="253"/>
      <c r="O1" s="253"/>
      <c r="P1" s="253"/>
    </row>
    <row r="2" spans="2:22" s="218" customFormat="1" ht="13" customHeight="1">
      <c r="B2" s="400" t="str">
        <f>IF('Summary | Sumário'!D$3=Names!B$3,Names!AL1,Names!AM1)</f>
        <v>Inter Shop (Managerial, Million)</v>
      </c>
      <c r="C2" s="22" t="str">
        <f>IF('Summary | Sumário'!F$3=Names!A$3,Names!D3,Names!E3)</f>
        <v>4Q20</v>
      </c>
      <c r="D2" s="22" t="str">
        <f>IF('Summary | Sumário'!F$3=Names!A$3,Names!D4,Names!E4)</f>
        <v>1Q21</v>
      </c>
      <c r="E2" s="22" t="str">
        <f>IF('Summary | Sumário'!F$3=Names!A$3,Names!D5,Names!E5)</f>
        <v>2Q21</v>
      </c>
      <c r="F2" s="22" t="str">
        <f>IF('Summary | Sumário'!F$3=Names!A$3,Names!D6,Names!E6)</f>
        <v>3Q21</v>
      </c>
      <c r="G2" s="22" t="str">
        <f>IF('Summary | Sumário'!F$3=Names!A$3,Names!D7,Names!E7)</f>
        <v>4Q21</v>
      </c>
      <c r="H2" s="23" t="str">
        <f>IF('Summary | Sumário'!F$3=Names!A$3,Names!D8,Names!E8)</f>
        <v>1Q22</v>
      </c>
      <c r="I2" s="23" t="str">
        <f>IF('Summary | Sumário'!F$3=Names!A$3,Names!D9,Names!E9)</f>
        <v>2Q22</v>
      </c>
      <c r="J2" s="23" t="str">
        <f>IF('Summary | Sumário'!F$3=Names!A$3,Names!D10,Names!E10)</f>
        <v>3Q22</v>
      </c>
      <c r="K2" s="23" t="str">
        <f>IF('Summary | Sumário'!F$3=Names!A$3,Names!D11,Names!E11)</f>
        <v>4Q22</v>
      </c>
      <c r="L2" s="23" t="str">
        <f>IF('Summary | Sumário'!F$3=Names!A$3,Names!D12,Names!E12)</f>
        <v>1Q23</v>
      </c>
      <c r="M2" s="23" t="str">
        <f>IF('Summary | Sumário'!F$3=Names!A$3,Names!D13,Names!E13)</f>
        <v>2Q23</v>
      </c>
      <c r="N2" s="23" t="str">
        <f>IF('Summary | Sumário'!F$3=Names!A$3,Names!D14,Names!E14)</f>
        <v>3Q23</v>
      </c>
      <c r="O2" s="401" t="str">
        <f>IF('Summary | Sumário'!F$3=Names!A$3,Names!D15,Names!E15)</f>
        <v>4Q23</v>
      </c>
      <c r="P2" s="216"/>
      <c r="Q2" s="214"/>
      <c r="R2" s="216"/>
      <c r="S2" s="217"/>
      <c r="U2" s="219"/>
      <c r="V2" s="220"/>
    </row>
    <row r="3" spans="2:22" s="252" customFormat="1" ht="13" customHeight="1">
      <c r="B3" s="78"/>
      <c r="C3" s="254"/>
      <c r="D3" s="217"/>
      <c r="E3" s="217"/>
      <c r="F3" s="217"/>
      <c r="G3" s="217"/>
      <c r="H3" s="217"/>
      <c r="I3" s="217"/>
      <c r="J3" s="217"/>
      <c r="K3" s="217"/>
      <c r="L3" s="217"/>
      <c r="M3" s="217"/>
      <c r="N3" s="217"/>
      <c r="O3" s="217"/>
      <c r="P3" s="217"/>
    </row>
    <row r="4" spans="2:22" ht="13" customHeight="1">
      <c r="B4" s="474" t="str">
        <f>IF('Summary | Sumário'!D$3=Names!B$3,Names!AL2,Names!AM2)</f>
        <v>Inter shop</v>
      </c>
      <c r="C4" s="397"/>
      <c r="D4" s="397"/>
      <c r="E4" s="397"/>
      <c r="F4" s="397"/>
      <c r="G4" s="397"/>
      <c r="H4" s="397"/>
      <c r="I4" s="397"/>
      <c r="J4" s="397"/>
      <c r="K4" s="397"/>
      <c r="L4" s="397"/>
      <c r="M4" s="397"/>
      <c r="N4" s="397"/>
      <c r="O4" s="397"/>
    </row>
    <row r="5" spans="2:22" ht="13" customHeight="1">
      <c r="B5" s="461" t="str">
        <f>IF('Summary | Sumário'!D$3=Names!B$3,Names!AL3,Names!AM3)</f>
        <v>Gross merchandise volume</v>
      </c>
      <c r="C5" s="475">
        <v>632.08809299999996</v>
      </c>
      <c r="D5" s="475">
        <v>675.86323200000004</v>
      </c>
      <c r="E5" s="475">
        <v>774.37923499999999</v>
      </c>
      <c r="F5" s="475">
        <v>946.37195599999995</v>
      </c>
      <c r="G5" s="475">
        <v>1125.0433519999999</v>
      </c>
      <c r="H5" s="475">
        <v>1053.0667530000001</v>
      </c>
      <c r="I5" s="475">
        <v>990.06993699999998</v>
      </c>
      <c r="J5" s="475">
        <v>938.66564000000005</v>
      </c>
      <c r="K5" s="475">
        <v>1003.4261218400001</v>
      </c>
      <c r="L5" s="475">
        <v>829.25831872000003</v>
      </c>
      <c r="M5" s="475">
        <v>755.63938086500002</v>
      </c>
      <c r="N5" s="475">
        <v>869.35878100000002</v>
      </c>
      <c r="O5" s="475">
        <v>1049.8873619999999</v>
      </c>
    </row>
    <row r="6" spans="2:22" ht="13" customHeight="1">
      <c r="B6" s="183" t="str">
        <f>IF('Summary | Sumário'!D$3=Names!B$3,Names!AL4,Names!AM4)</f>
        <v>Inter Shop net revenues</v>
      </c>
      <c r="C6" s="255"/>
      <c r="D6" s="255">
        <v>5.9970829900000018</v>
      </c>
      <c r="E6" s="255">
        <v>6.3313360000000003</v>
      </c>
      <c r="F6" s="255">
        <v>4.424766909997202</v>
      </c>
      <c r="G6" s="255">
        <v>16.210006369999991</v>
      </c>
      <c r="H6" s="255">
        <v>29.681559900000003</v>
      </c>
      <c r="I6" s="255">
        <v>43.648439909999993</v>
      </c>
      <c r="J6" s="255">
        <v>47.710828999999997</v>
      </c>
      <c r="K6" s="255">
        <v>58.844120670000002</v>
      </c>
      <c r="L6" s="255">
        <v>53.754698779999998</v>
      </c>
      <c r="M6" s="255">
        <v>67.33451371000001</v>
      </c>
      <c r="N6" s="255">
        <v>75.930407540000019</v>
      </c>
      <c r="O6" s="255">
        <v>57.560787499999954</v>
      </c>
    </row>
    <row r="7" spans="2:22" ht="13" customHeight="1">
      <c r="B7" s="184" t="str">
        <f>IF('Summary | Sumário'!D$3=Names!B$3,Names!AL5,Names!AM5)</f>
        <v>Inter Shop net fee revenues</v>
      </c>
      <c r="C7" s="256"/>
      <c r="D7" s="256">
        <v>4.6300749900000024</v>
      </c>
      <c r="E7" s="256">
        <v>3.5682109999999998</v>
      </c>
      <c r="F7" s="256">
        <v>3.0701239099972026</v>
      </c>
      <c r="G7" s="256">
        <v>11.784099369999989</v>
      </c>
      <c r="H7" s="256">
        <v>25.117762640000002</v>
      </c>
      <c r="I7" s="256">
        <v>33.097321000000001</v>
      </c>
      <c r="J7" s="256">
        <v>27.487579</v>
      </c>
      <c r="K7" s="256">
        <v>39.960256999999999</v>
      </c>
      <c r="L7" s="256">
        <v>40.103501000000001</v>
      </c>
      <c r="M7" s="256">
        <v>55.416983999999999</v>
      </c>
      <c r="N7" s="256">
        <v>52.432689730000021</v>
      </c>
      <c r="O7" s="256">
        <v>33.09131547999997</v>
      </c>
    </row>
    <row r="8" spans="2:22" ht="13" customHeight="1">
      <c r="B8" s="185" t="str">
        <f>IF('Summary | Sumário'!D$3=Names!B$3,Names!AL6,Names!AM6)</f>
        <v>Inter Shop net interest revenues</v>
      </c>
      <c r="C8" s="255"/>
      <c r="D8" s="255">
        <v>1.367008</v>
      </c>
      <c r="E8" s="255">
        <v>2.7631250000000001</v>
      </c>
      <c r="F8" s="255">
        <v>1.354643</v>
      </c>
      <c r="G8" s="255">
        <v>4.4259069999999996</v>
      </c>
      <c r="H8" s="255">
        <v>4.5637972600000021</v>
      </c>
      <c r="I8" s="255">
        <v>10.551118909999996</v>
      </c>
      <c r="J8" s="255">
        <v>20.22325</v>
      </c>
      <c r="K8" s="255">
        <v>18.88386367</v>
      </c>
      <c r="L8" s="255">
        <v>13.65119778</v>
      </c>
      <c r="M8" s="255">
        <v>11.917529710000009</v>
      </c>
      <c r="N8" s="255">
        <v>23.497717810000001</v>
      </c>
      <c r="O8" s="255">
        <v>24.469472019999987</v>
      </c>
    </row>
    <row r="9" spans="2:22" ht="13" customHeight="1">
      <c r="B9" s="182" t="str">
        <f>IF('Summary | Sumário'!D$3=Names!B$3,Names!AL7,Names!AM7)</f>
        <v>Cashback expenses</v>
      </c>
      <c r="C9" s="256"/>
      <c r="D9" s="256">
        <v>-34.052095009999995</v>
      </c>
      <c r="E9" s="256">
        <v>-49.743684000000002</v>
      </c>
      <c r="F9" s="256">
        <v>-56.019543090002799</v>
      </c>
      <c r="G9" s="256">
        <v>-74.182447630000013</v>
      </c>
      <c r="H9" s="256">
        <v>-69.803044360000001</v>
      </c>
      <c r="I9" s="256">
        <v>-68.918199999999999</v>
      </c>
      <c r="J9" s="256">
        <v>-54.220694999999999</v>
      </c>
      <c r="K9" s="256">
        <v>-53.289734000000003</v>
      </c>
      <c r="L9" s="256">
        <v>-41.187900999999997</v>
      </c>
      <c r="M9" s="256">
        <v>-36.990116999999998</v>
      </c>
      <c r="N9" s="256">
        <v>-48.073910379999994</v>
      </c>
      <c r="O9" s="256">
        <v>-61.597868429999977</v>
      </c>
      <c r="P9" s="255"/>
    </row>
    <row r="10" spans="2:22" ht="13" customHeight="1">
      <c r="B10" s="183" t="str">
        <f>IF('Summary | Sumário'!D$3=Names!B$3,Names!AL8,Names!AM8)</f>
        <v>Take rate</v>
      </c>
      <c r="C10" s="257"/>
      <c r="D10" s="257">
        <v>5.9256334867466204E-2</v>
      </c>
      <c r="E10" s="257">
        <v>7.2412866287665884E-2</v>
      </c>
      <c r="F10" s="257">
        <v>6.3869506716447963E-2</v>
      </c>
      <c r="G10" s="257">
        <v>8.0345751867524476E-2</v>
      </c>
      <c r="H10" s="257">
        <v>9.4474809860415385E-2</v>
      </c>
      <c r="I10" s="257">
        <v>0.11369565694630318</v>
      </c>
      <c r="J10" s="257">
        <v>0.10859194334630168</v>
      </c>
      <c r="K10" s="257">
        <v>0.11175098119269428</v>
      </c>
      <c r="L10" s="257">
        <v>0.11449098264886683</v>
      </c>
      <c r="M10" s="257">
        <v>0.13806140118131072</v>
      </c>
      <c r="N10" s="257">
        <v>0.14264101219218031</v>
      </c>
      <c r="O10" s="257">
        <v>0.11349861012042541</v>
      </c>
    </row>
    <row r="11" spans="2:22" ht="13" customHeight="1">
      <c r="B11" s="182" t="str">
        <f>IF('Summary | Sumário'!D$3=Names!B$3,Names!AL9,Names!AM9)</f>
        <v>Net take rate</v>
      </c>
      <c r="C11" s="258"/>
      <c r="D11" s="258">
        <v>8.8732197670430488E-3</v>
      </c>
      <c r="E11" s="258">
        <v>8.176014688720314E-3</v>
      </c>
      <c r="F11" s="258">
        <v>4.6755051034048211E-3</v>
      </c>
      <c r="G11" s="258">
        <v>1.4408339324154319E-2</v>
      </c>
      <c r="H11" s="258">
        <v>2.8185829450452702E-2</v>
      </c>
      <c r="I11" s="258">
        <v>4.4086218840518131E-2</v>
      </c>
      <c r="J11" s="258">
        <v>5.0828353533852587E-2</v>
      </c>
      <c r="K11" s="258">
        <v>5.8643201915150968E-2</v>
      </c>
      <c r="L11" s="258">
        <v>6.482262229575575E-2</v>
      </c>
      <c r="M11" s="258">
        <v>8.9109323064820209E-2</v>
      </c>
      <c r="N11" s="258">
        <v>8.7340703515594934E-2</v>
      </c>
      <c r="O11" s="258">
        <v>5.4825679004601599E-2</v>
      </c>
    </row>
    <row r="12" spans="2:22" ht="13" customHeight="1">
      <c r="B12" s="237"/>
      <c r="K12" s="259"/>
      <c r="L12" s="259"/>
      <c r="M12" s="259"/>
      <c r="N12" s="259"/>
      <c r="O12" s="259"/>
    </row>
    <row r="13" spans="2:22" ht="13" customHeight="1">
      <c r="B13" s="237"/>
      <c r="L13" s="260"/>
      <c r="M13" s="260"/>
      <c r="N13" s="260"/>
      <c r="O13" s="260"/>
    </row>
    <row r="14" spans="2:22" ht="13" customHeight="1">
      <c r="B14" s="237"/>
      <c r="K14" s="261"/>
      <c r="L14" s="261"/>
      <c r="M14" s="261"/>
      <c r="N14" s="261"/>
      <c r="O14" s="262"/>
    </row>
    <row r="15" spans="2:22" ht="13" customHeight="1">
      <c r="B15" s="237"/>
      <c r="K15" s="261"/>
      <c r="L15" s="261"/>
      <c r="M15" s="261"/>
      <c r="N15" s="261"/>
      <c r="O15" s="261"/>
    </row>
    <row r="16" spans="2:22" ht="13" customHeight="1">
      <c r="K16" s="261"/>
      <c r="L16" s="261"/>
      <c r="M16" s="261"/>
      <c r="N16" s="261"/>
      <c r="O16" s="261"/>
    </row>
    <row r="17" spans="2:15" ht="13" customHeight="1">
      <c r="B17" s="237"/>
      <c r="K17" s="261"/>
      <c r="L17" s="261"/>
      <c r="M17" s="261"/>
      <c r="N17" s="261"/>
      <c r="O17" s="261"/>
    </row>
    <row r="18" spans="2:15" ht="13" customHeight="1">
      <c r="B18" s="237"/>
      <c r="K18" s="262"/>
      <c r="L18" s="262"/>
      <c r="M18" s="262"/>
      <c r="N18" s="262"/>
      <c r="O18" s="262"/>
    </row>
    <row r="19" spans="2:15" ht="13" customHeight="1">
      <c r="K19" s="261"/>
      <c r="L19" s="261"/>
      <c r="M19" s="261"/>
      <c r="N19" s="261"/>
      <c r="O19" s="261"/>
    </row>
    <row r="20" spans="2:15" ht="13" customHeight="1">
      <c r="B20" s="263"/>
      <c r="K20" s="261"/>
      <c r="L20" s="261"/>
      <c r="M20" s="261"/>
      <c r="N20" s="261"/>
      <c r="O20" s="261"/>
    </row>
    <row r="21" spans="2:15" ht="13" customHeight="1">
      <c r="B21" s="263"/>
    </row>
    <row r="22" spans="2:15" ht="13" customHeight="1">
      <c r="B22" s="263"/>
    </row>
    <row r="23" spans="2:15" ht="13" customHeight="1">
      <c r="B23" s="263"/>
    </row>
    <row r="24" spans="2:15" ht="13" customHeight="1">
      <c r="B24" s="263"/>
    </row>
    <row r="25" spans="2:15" ht="13" customHeight="1">
      <c r="B25" s="263"/>
    </row>
    <row r="26" spans="2:15" ht="13" customHeight="1">
      <c r="B26" s="263"/>
    </row>
  </sheetData>
  <sheetProtection algorithmName="SHA-512" hashValue="AbqjUkA0pFAkyTZrJ6l92OOWUGd0jQHUBJP01hFOja1guCfswzNZCyLAiJGDCeG94km8lnkJoXF+w8EprzwO3Q==" saltValue="fc3gVwPKgmUafRm03rjHxA==" spinCount="100000" sheet="1" formatCells="0" formatColumns="0" formatRows="0" insertColumns="0" insertRows="0" insertHyperlinks="0" deleteColumns="0" deleteRows="0" sort="0" autoFilter="0" pivotTables="0"/>
  <phoneticPr fontId="6" type="noConversion"/>
  <pageMargins left="0.511811024" right="0.511811024" top="0.78740157499999996" bottom="0.78740157499999996" header="0.31496062000000002" footer="0.31496062000000002"/>
  <pageSetup paperSize="9" orientation="portrait" horizontalDpi="0" verticalDpi="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DDE8-D90D-C943-A3EF-74069CAAE5A7}">
  <sheetPr codeName="Sheet19">
    <tabColor rgb="FFFFCA96"/>
  </sheetPr>
  <dimension ref="A1:V42"/>
  <sheetViews>
    <sheetView showGridLines="0" zoomScaleNormal="100" workbookViewId="0">
      <pane xSplit="2" ySplit="3" topLeftCell="C4" activePane="bottomRight" state="frozen"/>
      <selection pane="topRight" activeCell="I52" sqref="I52"/>
      <selection pane="bottomLeft" activeCell="I52" sqref="I52"/>
      <selection pane="bottomRight"/>
    </sheetView>
  </sheetViews>
  <sheetFormatPr baseColWidth="10" defaultColWidth="10.83203125" defaultRowHeight="13" customHeight="1"/>
  <cols>
    <col min="1" max="1" width="3.33203125" style="211" customWidth="1"/>
    <col min="2" max="2" width="68.33203125" style="211" customWidth="1"/>
    <col min="3" max="12" width="10.83203125" style="211" customWidth="1"/>
    <col min="13" max="16384" width="10.83203125" style="211"/>
  </cols>
  <sheetData>
    <row r="1" spans="1:22" ht="13" customHeight="1">
      <c r="C1" s="212"/>
      <c r="D1" s="212"/>
      <c r="E1" s="212"/>
      <c r="F1" s="212"/>
      <c r="G1" s="212"/>
      <c r="H1" s="212"/>
      <c r="I1" s="212"/>
      <c r="J1" s="212"/>
      <c r="K1" s="212"/>
      <c r="L1" s="212"/>
      <c r="M1" s="212"/>
      <c r="N1" s="212"/>
      <c r="O1" s="212"/>
      <c r="P1" s="212"/>
      <c r="Q1" s="212"/>
    </row>
    <row r="2" spans="1:22" s="218" customFormat="1" ht="13" customHeight="1">
      <c r="B2" s="400" t="str">
        <f>IF('Summary | Sumário'!D$3=Names!B$3,Names!AN1,Names!AO1)</f>
        <v>Digital Account (Managerial, Million)</v>
      </c>
      <c r="C2" s="22" t="str">
        <f>IF('Summary | Sumário'!D$3=Names!B$3,Names!E2,Names!F2)</f>
        <v>4Q19</v>
      </c>
      <c r="D2" s="22" t="str">
        <f>IF('Summary | Sumário'!D$3=Names!B$3,Names!E3,Names!F3)</f>
        <v>4Q20</v>
      </c>
      <c r="E2" s="22" t="str">
        <f>IF('Summary | Sumário'!D$3=Names!B$3,Names!E4,Names!F4)</f>
        <v>1Q21</v>
      </c>
      <c r="F2" s="22" t="str">
        <f>IF('Summary | Sumário'!D$3=Names!B$3,Names!E5,Names!F5)</f>
        <v>2Q21</v>
      </c>
      <c r="G2" s="22" t="str">
        <f>IF('Summary | Sumário'!D$3=Names!B$3,Names!E6,Names!F6)</f>
        <v>3Q21</v>
      </c>
      <c r="H2" s="23" t="str">
        <f>IF('Summary | Sumário'!D$3=Names!B$3,Names!E7,Names!F7)</f>
        <v>4Q21</v>
      </c>
      <c r="I2" s="23" t="str">
        <f>IF('Summary | Sumário'!D$3=Names!B$3,Names!E8,Names!F8)</f>
        <v>1Q22</v>
      </c>
      <c r="J2" s="23" t="str">
        <f>IF('Summary | Sumário'!D$3=Names!B$3,Names!E9,Names!F9)</f>
        <v>2Q22</v>
      </c>
      <c r="K2" s="23" t="str">
        <f>IF('Summary | Sumário'!D$3=Names!B$3,Names!E10,Names!F10)</f>
        <v>3Q22</v>
      </c>
      <c r="L2" s="23" t="str">
        <f>IF('Summary | Sumário'!D$3=Names!B$3,Names!E11,Names!F11)</f>
        <v>4Q22</v>
      </c>
      <c r="M2" s="23" t="str">
        <f>IF('Summary | Sumário'!D$3=Names!B$3,Names!E12,Names!F12)</f>
        <v>1Q23</v>
      </c>
      <c r="N2" s="23" t="str">
        <f>IF('Summary | Sumário'!D$3=Names!B$3,Names!E13,Names!F13)</f>
        <v>2Q23</v>
      </c>
      <c r="O2" s="23" t="str">
        <f>IF('Summary | Sumário'!D$3=Names!B$3,Names!E14,Names!F14)</f>
        <v>3Q23</v>
      </c>
      <c r="P2" s="401" t="str">
        <f>IF('Summary | Sumário'!D$3=Names!B$3,Names!E15,Names!F15)</f>
        <v>4Q23</v>
      </c>
      <c r="Q2" s="214"/>
      <c r="R2" s="216"/>
      <c r="S2" s="217"/>
      <c r="U2" s="219"/>
      <c r="V2" s="220"/>
    </row>
    <row r="3" spans="1:22" ht="13" customHeight="1">
      <c r="B3" s="221"/>
      <c r="C3" s="222"/>
      <c r="D3" s="222"/>
      <c r="E3" s="223"/>
      <c r="F3" s="223"/>
      <c r="G3" s="223"/>
      <c r="H3" s="223"/>
      <c r="I3" s="223"/>
      <c r="J3" s="223"/>
      <c r="K3" s="223"/>
      <c r="L3" s="223"/>
      <c r="M3" s="223"/>
      <c r="N3" s="223"/>
      <c r="O3" s="223"/>
      <c r="P3" s="223"/>
      <c r="Q3" s="223"/>
    </row>
    <row r="4" spans="1:22" ht="13" customHeight="1">
      <c r="A4" s="241"/>
      <c r="B4" s="5" t="str">
        <f>IF('Summary | Sumário'!D$3=Names!B$3,Names!AN3,Names!AO3)</f>
        <v>Number of cards used (in thousands)</v>
      </c>
      <c r="C4" s="247"/>
      <c r="D4" s="247"/>
      <c r="E4" s="247"/>
      <c r="F4" s="247"/>
      <c r="G4" s="247"/>
      <c r="H4" s="247"/>
      <c r="I4" s="247"/>
      <c r="J4" s="247"/>
      <c r="K4" s="247"/>
      <c r="L4" s="247"/>
      <c r="M4" s="247"/>
      <c r="N4" s="247"/>
      <c r="O4" s="247"/>
      <c r="P4" s="247"/>
    </row>
    <row r="5" spans="1:22" s="244" customFormat="1" ht="13" customHeight="1">
      <c r="A5" s="242"/>
      <c r="B5" s="476" t="str">
        <f>IF('Summary | Sumário'!D$3=Names!B$3,Names!AN4,Names!AO4)</f>
        <v>Debit cards used</v>
      </c>
      <c r="C5" s="477">
        <v>1030.944</v>
      </c>
      <c r="D5" s="477">
        <v>2339.578</v>
      </c>
      <c r="E5" s="477">
        <v>2685.1979999999999</v>
      </c>
      <c r="F5" s="477">
        <v>3221.4879999999998</v>
      </c>
      <c r="G5" s="477">
        <v>3711.5329999999999</v>
      </c>
      <c r="H5" s="477">
        <v>4176.7030000000004</v>
      </c>
      <c r="I5" s="477">
        <v>4479.1809999999996</v>
      </c>
      <c r="J5" s="477">
        <v>4970.62</v>
      </c>
      <c r="K5" s="477">
        <v>5442.5770000000002</v>
      </c>
      <c r="L5" s="477">
        <v>5872.8680000000004</v>
      </c>
      <c r="M5" s="477">
        <v>6147.3360000000002</v>
      </c>
      <c r="N5" s="477">
        <v>6463.7240000000002</v>
      </c>
      <c r="O5" s="477">
        <v>6801.2349999999997</v>
      </c>
      <c r="P5" s="477">
        <v>7108.0410000000002</v>
      </c>
    </row>
    <row r="6" spans="1:22" s="244" customFormat="1" ht="13" customHeight="1">
      <c r="A6" s="242"/>
      <c r="B6" s="87" t="str">
        <f>IF('Summary | Sumário'!D$3=Names!B$3,Names!AN5,Names!AO5)</f>
        <v>Credit cards used</v>
      </c>
      <c r="C6" s="245">
        <v>588.38300000000004</v>
      </c>
      <c r="D6" s="245">
        <v>1295.857</v>
      </c>
      <c r="E6" s="245">
        <v>1590.048</v>
      </c>
      <c r="F6" s="245">
        <v>1798.817</v>
      </c>
      <c r="G6" s="245">
        <v>2193.192</v>
      </c>
      <c r="H6" s="245">
        <v>2729.027</v>
      </c>
      <c r="I6" s="245">
        <v>2902.91</v>
      </c>
      <c r="J6" s="245">
        <v>3119.3670000000002</v>
      </c>
      <c r="K6" s="245">
        <v>3310.114</v>
      </c>
      <c r="L6" s="245">
        <v>3476.1680000000001</v>
      </c>
      <c r="M6" s="245">
        <v>3591.0430000000001</v>
      </c>
      <c r="N6" s="245">
        <v>3525.779</v>
      </c>
      <c r="O6" s="245">
        <v>3637.0610000000001</v>
      </c>
      <c r="P6" s="245">
        <v>3775.3009999999999</v>
      </c>
    </row>
    <row r="7" spans="1:22" s="244" customFormat="1" ht="13" customHeight="1">
      <c r="A7" s="242"/>
      <c r="B7" s="92" t="str">
        <f>IF('Summary | Sumário'!D$3=Names!B$3,Names!AN6,Names!AO6)</f>
        <v>Total cards used</v>
      </c>
      <c r="C7" s="243">
        <v>1366.941</v>
      </c>
      <c r="D7" s="243">
        <v>2960.7579999999998</v>
      </c>
      <c r="E7" s="243">
        <v>3474.2</v>
      </c>
      <c r="F7" s="243">
        <v>4125.5619999999999</v>
      </c>
      <c r="G7" s="243">
        <v>4761.8389999999999</v>
      </c>
      <c r="H7" s="243">
        <v>5421.817</v>
      </c>
      <c r="I7" s="243">
        <v>5843.7479999999996</v>
      </c>
      <c r="J7" s="243">
        <v>6419.11</v>
      </c>
      <c r="K7" s="243">
        <v>6958.1440000000002</v>
      </c>
      <c r="L7" s="243">
        <v>7439.0910000000003</v>
      </c>
      <c r="M7" s="243">
        <v>7789.7269999999999</v>
      </c>
      <c r="N7" s="243">
        <v>8136.6819999999998</v>
      </c>
      <c r="O7" s="243">
        <v>8541.6869999999999</v>
      </c>
      <c r="P7" s="243">
        <v>8883.8109999999997</v>
      </c>
    </row>
    <row r="8" spans="1:22" s="244" customFormat="1" ht="13" customHeight="1">
      <c r="A8" s="242"/>
      <c r="B8" s="246"/>
      <c r="C8" s="247"/>
      <c r="D8" s="247"/>
      <c r="E8" s="247"/>
      <c r="F8" s="247"/>
      <c r="G8" s="247"/>
      <c r="H8" s="247"/>
      <c r="I8" s="247"/>
      <c r="J8" s="247"/>
      <c r="K8" s="247"/>
      <c r="L8" s="247"/>
      <c r="M8" s="247"/>
      <c r="N8" s="247"/>
      <c r="O8" s="247"/>
      <c r="P8" s="247"/>
    </row>
    <row r="9" spans="1:22" ht="13" customHeight="1">
      <c r="A9" s="241"/>
      <c r="B9" s="465" t="str">
        <f>IF('Summary | Sumário'!D$3=Names!B$3,Names!AN8,Names!AO8)</f>
        <v>Cards + PIX TPV (in million)</v>
      </c>
      <c r="C9" s="398"/>
      <c r="D9" s="398"/>
      <c r="E9" s="398"/>
      <c r="F9" s="398"/>
      <c r="G9" s="398"/>
      <c r="H9" s="398"/>
      <c r="I9" s="398"/>
      <c r="J9" s="398"/>
      <c r="K9" s="398"/>
      <c r="L9" s="398"/>
      <c r="M9" s="398"/>
      <c r="N9" s="398"/>
      <c r="O9" s="398"/>
      <c r="P9" s="398"/>
      <c r="Q9" s="244"/>
    </row>
    <row r="10" spans="1:22" s="244" customFormat="1" ht="13" customHeight="1">
      <c r="A10" s="248" t="s">
        <v>833</v>
      </c>
      <c r="B10" s="478" t="str">
        <f>IF('Summary | Sumário'!D$3=Names!B$3,Names!AN9,Names!AO9)</f>
        <v>Debit TPV</v>
      </c>
      <c r="C10" s="479">
        <v>1890.0661843600001</v>
      </c>
      <c r="D10" s="479">
        <v>5032.0947420000002</v>
      </c>
      <c r="E10" s="479">
        <v>4700.4723899999999</v>
      </c>
      <c r="F10" s="479">
        <v>5866.0523949999997</v>
      </c>
      <c r="G10" s="479">
        <v>7076.1946120000011</v>
      </c>
      <c r="H10" s="479">
        <v>8263.4268090000005</v>
      </c>
      <c r="I10" s="479">
        <v>7695.0063590000009</v>
      </c>
      <c r="J10" s="479">
        <v>8681.7274649999999</v>
      </c>
      <c r="K10" s="479">
        <v>9265.8454089999996</v>
      </c>
      <c r="L10" s="479">
        <v>10533.758581980001</v>
      </c>
      <c r="M10" s="479">
        <v>9913.266527050002</v>
      </c>
      <c r="N10" s="479">
        <v>10401.555399300003</v>
      </c>
      <c r="O10" s="479">
        <v>10856.98690217</v>
      </c>
      <c r="P10" s="479">
        <v>12156.573075690001</v>
      </c>
      <c r="Q10" s="249"/>
    </row>
    <row r="11" spans="1:22" s="244" customFormat="1" ht="13" customHeight="1">
      <c r="A11" s="248"/>
      <c r="B11" s="92" t="str">
        <f>IF('Summary | Sumário'!D$3=Names!B$3,Names!AN10,Names!AO10)</f>
        <v>Credit TPV</v>
      </c>
      <c r="C11" s="243">
        <v>994.89999999999986</v>
      </c>
      <c r="D11" s="243">
        <v>2285.6983910000004</v>
      </c>
      <c r="E11" s="243">
        <v>2881.7517969999999</v>
      </c>
      <c r="F11" s="243">
        <v>3569.863468</v>
      </c>
      <c r="G11" s="243">
        <v>4539.470362</v>
      </c>
      <c r="H11" s="243">
        <v>5963.1811199999993</v>
      </c>
      <c r="I11" s="243">
        <v>6388.2015880000008</v>
      </c>
      <c r="J11" s="243">
        <v>7361.6602919999996</v>
      </c>
      <c r="K11" s="243">
        <v>7971.5047679999998</v>
      </c>
      <c r="L11" s="243">
        <v>8589.4409414799993</v>
      </c>
      <c r="M11" s="243">
        <v>8572.7250050000002</v>
      </c>
      <c r="N11" s="243">
        <v>9241.1768100399986</v>
      </c>
      <c r="O11" s="243">
        <v>10330.36308718</v>
      </c>
      <c r="P11" s="243">
        <v>11685.45036375</v>
      </c>
    </row>
    <row r="12" spans="1:22" s="244" customFormat="1" ht="13" customHeight="1">
      <c r="A12" s="242"/>
      <c r="B12" s="87" t="str">
        <f>IF('Summary | Sumário'!D$3=Names!B$3,Names!AN11,Names!AO11)</f>
        <v>PIX TPV</v>
      </c>
      <c r="C12" s="250">
        <v>0</v>
      </c>
      <c r="D12" s="245">
        <v>7496.17</v>
      </c>
      <c r="E12" s="245">
        <v>36808.78</v>
      </c>
      <c r="F12" s="245">
        <v>57865.009999999995</v>
      </c>
      <c r="G12" s="245">
        <v>80102.45</v>
      </c>
      <c r="H12" s="245">
        <v>94401.95</v>
      </c>
      <c r="I12" s="245">
        <v>97072.540000000008</v>
      </c>
      <c r="J12" s="245">
        <v>117925.45999999999</v>
      </c>
      <c r="K12" s="245">
        <v>138199.15000000002</v>
      </c>
      <c r="L12" s="245">
        <v>158392.04999999999</v>
      </c>
      <c r="M12" s="245">
        <v>162875.34000000003</v>
      </c>
      <c r="N12" s="245">
        <v>177349.25</v>
      </c>
      <c r="O12" s="245">
        <v>198231.50999999998</v>
      </c>
      <c r="P12" s="245">
        <v>229637.61</v>
      </c>
      <c r="Q12" s="249"/>
    </row>
    <row r="13" spans="1:22" ht="13" customHeight="1">
      <c r="B13" s="435" t="str">
        <f>IF('Summary | Sumário'!D$3=Names!B$3,Names!AN12,Names!AO12)</f>
        <v>Cards + PIX TPV</v>
      </c>
      <c r="C13" s="480">
        <f>SUM(C10:C12)</f>
        <v>2884.9661843599997</v>
      </c>
      <c r="D13" s="480">
        <f t="shared" ref="D13:M13" si="0">SUM(D10:D12)</f>
        <v>14813.963133000001</v>
      </c>
      <c r="E13" s="480">
        <f t="shared" si="0"/>
        <v>44391.004186999999</v>
      </c>
      <c r="F13" s="480">
        <f t="shared" si="0"/>
        <v>67300.925862999997</v>
      </c>
      <c r="G13" s="480">
        <f t="shared" si="0"/>
        <v>91718.114973999996</v>
      </c>
      <c r="H13" s="480">
        <f t="shared" si="0"/>
        <v>108628.557929</v>
      </c>
      <c r="I13" s="480">
        <f t="shared" si="0"/>
        <v>111155.74794700001</v>
      </c>
      <c r="J13" s="480">
        <f t="shared" si="0"/>
        <v>133968.84775699998</v>
      </c>
      <c r="K13" s="480">
        <f t="shared" si="0"/>
        <v>155436.50017700001</v>
      </c>
      <c r="L13" s="480">
        <f t="shared" si="0"/>
        <v>177515.24952345999</v>
      </c>
      <c r="M13" s="480">
        <f t="shared" si="0"/>
        <v>181361.33153205004</v>
      </c>
      <c r="N13" s="480">
        <f t="shared" ref="N13:O13" si="1">SUM(N10:N12)</f>
        <v>196991.98220934</v>
      </c>
      <c r="O13" s="480">
        <f t="shared" si="1"/>
        <v>219418.85998934996</v>
      </c>
      <c r="P13" s="480">
        <f t="shared" ref="P13" si="2">SUM(P10:P12)</f>
        <v>253479.63343943999</v>
      </c>
    </row>
    <row r="14" spans="1:22" ht="13" customHeight="1">
      <c r="B14" s="237"/>
    </row>
    <row r="15" spans="1:22" ht="13" customHeight="1">
      <c r="B15" s="237"/>
    </row>
    <row r="16" spans="1:22" ht="13" customHeight="1">
      <c r="B16" s="237"/>
    </row>
    <row r="17" spans="2:8" ht="13" customHeight="1">
      <c r="B17" s="237"/>
    </row>
    <row r="18" spans="2:8" ht="13" customHeight="1">
      <c r="B18" s="237"/>
      <c r="H18" s="251"/>
    </row>
    <row r="19" spans="2:8" ht="13" customHeight="1">
      <c r="B19" s="237"/>
    </row>
    <row r="20" spans="2:8" ht="13" customHeight="1">
      <c r="B20" s="237"/>
    </row>
    <row r="21" spans="2:8" ht="13" customHeight="1">
      <c r="B21" s="237"/>
    </row>
    <row r="22" spans="2:8" ht="13" customHeight="1">
      <c r="B22" s="237"/>
    </row>
    <row r="23" spans="2:8" ht="13" customHeight="1">
      <c r="B23" s="237"/>
    </row>
    <row r="24" spans="2:8" ht="13" customHeight="1">
      <c r="B24" s="237"/>
    </row>
    <row r="25" spans="2:8" ht="13" customHeight="1">
      <c r="B25" s="237"/>
    </row>
    <row r="26" spans="2:8" ht="13" customHeight="1">
      <c r="B26" s="237"/>
    </row>
    <row r="27" spans="2:8" ht="13" customHeight="1">
      <c r="B27" s="236"/>
    </row>
    <row r="28" spans="2:8" ht="13" customHeight="1">
      <c r="B28" s="236"/>
    </row>
    <row r="29" spans="2:8" ht="13" customHeight="1">
      <c r="B29" s="236"/>
    </row>
    <row r="30" spans="2:8" ht="13" customHeight="1">
      <c r="B30" s="236"/>
    </row>
    <row r="31" spans="2:8" ht="13" customHeight="1">
      <c r="B31" s="236"/>
    </row>
    <row r="33" spans="2:2" ht="13" customHeight="1">
      <c r="B33" s="237"/>
    </row>
    <row r="34" spans="2:2" ht="13" customHeight="1">
      <c r="B34" s="238"/>
    </row>
    <row r="36" spans="2:2" ht="13" customHeight="1">
      <c r="B36" s="503"/>
    </row>
    <row r="37" spans="2:2" ht="13" customHeight="1">
      <c r="B37" s="503"/>
    </row>
    <row r="38" spans="2:2" ht="13" customHeight="1">
      <c r="B38" s="503"/>
    </row>
    <row r="39" spans="2:2" ht="13" customHeight="1">
      <c r="B39" s="503"/>
    </row>
    <row r="40" spans="2:2" ht="13" customHeight="1">
      <c r="B40" s="503"/>
    </row>
    <row r="41" spans="2:2" ht="13" customHeight="1">
      <c r="B41" s="503"/>
    </row>
    <row r="42" spans="2:2" ht="13" customHeight="1">
      <c r="B42" s="503"/>
    </row>
  </sheetData>
  <sheetProtection algorithmName="SHA-512" hashValue="H3pFmxkC4HYbW4+GiHRoKpD+wczXFhbGLZubV1TwVOjwiqbiyKi293Htw8LcQP1f7IBzS9yHy+auy0hoqe6LkQ==" saltValue="mPFwXmvZJPMdu/sklTKwmA==" spinCount="100000" sheet="1" formatCells="0" formatColumns="0" formatRows="0" insertColumns="0" insertRows="0" insertHyperlinks="0" deleteColumns="0" deleteRows="0" sort="0" autoFilter="0" pivotTables="0"/>
  <mergeCells count="1">
    <mergeCell ref="B36:B42"/>
  </mergeCells>
  <phoneticPr fontId="6" type="noConversion"/>
  <pageMargins left="0.511811024" right="0.511811024" top="0.78740157499999996" bottom="0.78740157499999996" header="0.31496062000000002" footer="0.31496062000000002"/>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1E1AB-9968-7C46-B023-60A7EC5A8032}">
  <sheetPr codeName="Sheet1">
    <tabColor rgb="FFFFFFFF"/>
  </sheetPr>
  <dimension ref="A1:K35"/>
  <sheetViews>
    <sheetView showGridLines="0" tabSelected="1" zoomScaleNormal="100" workbookViewId="0">
      <selection activeCell="D3" sqref="D3"/>
    </sheetView>
  </sheetViews>
  <sheetFormatPr baseColWidth="10" defaultColWidth="10.83203125" defaultRowHeight="22" customHeight="1"/>
  <cols>
    <col min="1" max="1" width="3.33203125" style="10" customWidth="1"/>
    <col min="2" max="2" width="3.6640625" style="10" customWidth="1"/>
    <col min="3" max="3" width="41.1640625" style="10" bestFit="1" customWidth="1"/>
    <col min="4" max="4" width="17.33203125" style="10" customWidth="1"/>
    <col min="5" max="5" width="4.83203125" style="10" bestFit="1" customWidth="1"/>
    <col min="6" max="6" width="2" style="10" customWidth="1"/>
    <col min="7" max="7" width="45.33203125" style="10" customWidth="1"/>
    <col min="8" max="8" width="3.83203125" style="163" customWidth="1"/>
    <col min="9" max="9" width="1.1640625" style="10" customWidth="1"/>
    <col min="10" max="10" width="48" style="10" customWidth="1"/>
    <col min="11" max="11" width="4.83203125" style="10" customWidth="1"/>
    <col min="12" max="16384" width="10.83203125" style="10"/>
  </cols>
  <sheetData>
    <row r="1" spans="1:11" ht="10" customHeight="1">
      <c r="A1" s="133"/>
      <c r="B1" s="133"/>
      <c r="C1" s="133"/>
      <c r="D1" s="133"/>
      <c r="E1" s="134"/>
      <c r="F1" s="134"/>
      <c r="G1" s="133"/>
      <c r="H1" s="135"/>
      <c r="I1" s="134"/>
    </row>
    <row r="2" spans="1:11" ht="11" customHeight="1">
      <c r="A2" s="133"/>
      <c r="B2" s="136"/>
      <c r="C2" s="136"/>
      <c r="D2" s="136"/>
      <c r="E2" s="136"/>
      <c r="F2" s="136"/>
      <c r="G2" s="136"/>
      <c r="H2" s="137"/>
      <c r="I2" s="136"/>
      <c r="J2" s="136"/>
      <c r="K2" s="138"/>
    </row>
    <row r="3" spans="1:11" ht="22" customHeight="1">
      <c r="A3" s="133"/>
      <c r="B3" s="136"/>
      <c r="C3" s="399" t="s">
        <v>814</v>
      </c>
      <c r="D3" s="139" t="s">
        <v>85</v>
      </c>
      <c r="E3" s="140"/>
      <c r="F3" s="137"/>
      <c r="G3" s="136"/>
      <c r="H3" s="141"/>
      <c r="I3" s="27"/>
      <c r="J3" s="27"/>
      <c r="K3" s="138"/>
    </row>
    <row r="4" spans="1:11" ht="15" customHeight="1">
      <c r="A4" s="133"/>
      <c r="B4" s="136"/>
      <c r="C4" s="136"/>
      <c r="D4" s="136"/>
      <c r="E4" s="142"/>
      <c r="F4" s="142"/>
      <c r="G4" s="142"/>
      <c r="H4" s="143"/>
      <c r="I4" s="142"/>
      <c r="J4" s="142"/>
      <c r="K4" s="138"/>
    </row>
    <row r="5" spans="1:11" ht="9" customHeight="1">
      <c r="A5" s="133"/>
      <c r="B5" s="136"/>
      <c r="C5" s="136"/>
      <c r="D5" s="136"/>
      <c r="E5" s="142"/>
      <c r="F5" s="142"/>
      <c r="G5" s="142"/>
      <c r="H5" s="143"/>
      <c r="I5" s="142"/>
      <c r="J5" s="142"/>
      <c r="K5" s="138"/>
    </row>
    <row r="6" spans="1:11" ht="30" customHeight="1">
      <c r="A6" s="133"/>
      <c r="B6" s="136"/>
      <c r="C6" s="136"/>
      <c r="D6" s="136"/>
      <c r="E6" s="501" t="str">
        <f>IF('Summary | Sumário'!D3=Names!B3,Names!BB1,Names!BC1)</f>
        <v>4Q23 Historical Data</v>
      </c>
      <c r="F6" s="501"/>
      <c r="G6" s="501"/>
      <c r="H6" s="501"/>
      <c r="I6" s="501"/>
      <c r="J6" s="501"/>
      <c r="K6" s="138"/>
    </row>
    <row r="7" spans="1:11" ht="18" customHeight="1">
      <c r="A7" s="133"/>
      <c r="B7" s="136"/>
      <c r="C7" s="136"/>
      <c r="D7" s="144"/>
      <c r="E7" s="145"/>
      <c r="F7" s="145"/>
      <c r="G7" s="146"/>
      <c r="H7" s="147"/>
      <c r="I7" s="145"/>
      <c r="J7" s="146"/>
      <c r="K7" s="148"/>
    </row>
    <row r="8" spans="1:11" ht="47">
      <c r="A8" s="133"/>
      <c r="B8" s="136"/>
      <c r="C8" s="136"/>
      <c r="D8" s="144"/>
      <c r="E8" s="145"/>
      <c r="F8" s="145"/>
      <c r="G8" s="146"/>
      <c r="H8" s="147"/>
      <c r="I8" s="145"/>
      <c r="J8" s="146"/>
      <c r="K8" s="148"/>
    </row>
    <row r="9" spans="1:11" ht="13" customHeight="1">
      <c r="A9" s="133"/>
      <c r="B9" s="136"/>
      <c r="C9" s="136"/>
      <c r="D9" s="144"/>
      <c r="E9" s="149"/>
      <c r="F9" s="149"/>
      <c r="G9" s="144"/>
      <c r="H9" s="150"/>
      <c r="I9" s="149"/>
      <c r="J9" s="144"/>
      <c r="K9" s="151"/>
    </row>
    <row r="10" spans="1:11" ht="22" customHeight="1">
      <c r="A10" s="133"/>
      <c r="B10" s="136"/>
      <c r="C10" s="136"/>
      <c r="D10" s="152"/>
      <c r="E10" s="153" t="s">
        <v>815</v>
      </c>
      <c r="F10" s="154"/>
      <c r="G10" s="136" t="str">
        <f>IF('Summary | Sumário'!D3=Names!B3,Names!I22,Names!J22)</f>
        <v>Highlights</v>
      </c>
      <c r="H10" s="153" t="s">
        <v>815</v>
      </c>
      <c r="I10" s="155"/>
      <c r="J10" s="136" t="str">
        <f>IF('Summary | Sumário'!D3=Names!B3,Names!I13,Names!J13)</f>
        <v>Inter Invest</v>
      </c>
      <c r="K10" s="138"/>
    </row>
    <row r="11" spans="1:11" ht="15" customHeight="1">
      <c r="A11" s="133"/>
      <c r="B11" s="136"/>
      <c r="C11" s="136"/>
      <c r="D11" s="152"/>
      <c r="E11" s="154"/>
      <c r="F11" s="154"/>
      <c r="G11" s="136"/>
      <c r="H11" s="153"/>
      <c r="I11" s="155"/>
      <c r="J11" s="136"/>
      <c r="K11" s="138"/>
    </row>
    <row r="12" spans="1:11" ht="22" customHeight="1">
      <c r="A12" s="133"/>
      <c r="B12" s="136"/>
      <c r="C12" s="136"/>
      <c r="D12" s="152"/>
      <c r="E12" s="153" t="s">
        <v>816</v>
      </c>
      <c r="F12" s="155"/>
      <c r="G12" s="136" t="str">
        <f>IF('Summary | Sumário'!D3=Names!B3,Names!I2,Names!J2)</f>
        <v>Balance Sheet</v>
      </c>
      <c r="H12" s="153" t="s">
        <v>816</v>
      </c>
      <c r="I12" s="155"/>
      <c r="J12" s="136" t="str">
        <f>IF('Summary | Sumário'!D3=Names!B3,Names!I14,Names!J14)</f>
        <v>Inter Seguros</v>
      </c>
      <c r="K12" s="138"/>
    </row>
    <row r="13" spans="1:11" ht="15" customHeight="1">
      <c r="A13" s="133"/>
      <c r="B13" s="136"/>
      <c r="C13" s="136"/>
      <c r="D13" s="152"/>
      <c r="E13" s="153"/>
      <c r="F13" s="155"/>
      <c r="G13" s="136"/>
      <c r="H13" s="153"/>
      <c r="I13" s="155"/>
      <c r="J13" s="136"/>
      <c r="K13" s="138"/>
    </row>
    <row r="14" spans="1:11" ht="22" customHeight="1">
      <c r="A14" s="133"/>
      <c r="B14" s="136"/>
      <c r="C14" s="136"/>
      <c r="D14" s="152"/>
      <c r="E14" s="153" t="s">
        <v>817</v>
      </c>
      <c r="F14" s="155"/>
      <c r="G14" s="136" t="str">
        <f>IF('Summary | Sumário'!D3=Names!B3,Names!I3,Names!J3)</f>
        <v>Income Statement</v>
      </c>
      <c r="H14" s="153" t="s">
        <v>817</v>
      </c>
      <c r="I14" s="155"/>
      <c r="J14" s="136" t="str">
        <f>IF('Summary | Sumário'!D3=Names!B3,Names!I15,Names!J15)</f>
        <v>Inter Shop</v>
      </c>
      <c r="K14" s="138"/>
    </row>
    <row r="15" spans="1:11" ht="15" customHeight="1">
      <c r="A15" s="133"/>
      <c r="B15" s="136"/>
      <c r="C15" s="136"/>
      <c r="D15" s="152"/>
      <c r="E15" s="153"/>
      <c r="F15" s="155"/>
      <c r="G15" s="136"/>
      <c r="H15" s="153"/>
      <c r="I15" s="155"/>
      <c r="J15" s="136"/>
      <c r="K15" s="154"/>
    </row>
    <row r="16" spans="1:11" ht="22" customHeight="1">
      <c r="A16" s="133"/>
      <c r="B16" s="136"/>
      <c r="C16" s="136"/>
      <c r="D16" s="152"/>
      <c r="E16" s="153" t="s">
        <v>818</v>
      </c>
      <c r="F16" s="155"/>
      <c r="G16" s="136" t="str">
        <f>IF('Summary | Sumário'!D3=Names!B3,Names!I4,Names!J4)</f>
        <v xml:space="preserve">Credit </v>
      </c>
      <c r="H16" s="153" t="s">
        <v>818</v>
      </c>
      <c r="I16" s="155"/>
      <c r="J16" s="136" t="str">
        <f>IF('Summary | Sumário'!D3=Names!B3,Names!I16,Names!J16)</f>
        <v>Digital Account</v>
      </c>
      <c r="K16" s="154"/>
    </row>
    <row r="17" spans="1:11" ht="15" customHeight="1">
      <c r="A17" s="133"/>
      <c r="B17" s="136"/>
      <c r="C17" s="136"/>
      <c r="D17" s="152"/>
      <c r="E17" s="153"/>
      <c r="F17" s="155"/>
      <c r="G17" s="136"/>
      <c r="H17" s="153"/>
      <c r="I17" s="155"/>
      <c r="J17" s="136"/>
      <c r="K17" s="154"/>
    </row>
    <row r="18" spans="1:11" ht="22" customHeight="1">
      <c r="A18" s="133"/>
      <c r="B18" s="136"/>
      <c r="C18" s="136"/>
      <c r="D18" s="152"/>
      <c r="E18" s="153" t="s">
        <v>819</v>
      </c>
      <c r="F18" s="155"/>
      <c r="G18" s="136" t="str">
        <f>IF('Summary | Sumário'!D3=Names!B3,Names!I5,Names!J5)</f>
        <v>Funding</v>
      </c>
      <c r="H18" s="153" t="s">
        <v>819</v>
      </c>
      <c r="I18" s="155"/>
      <c r="J18" s="136" t="str">
        <f>IF('Summary | Sumário'!D3=Names!B3,Names!I17,Names!J17)</f>
        <v>Operational KPIs</v>
      </c>
      <c r="K18" s="154"/>
    </row>
    <row r="19" spans="1:11" ht="10" customHeight="1">
      <c r="B19" s="156"/>
      <c r="C19" s="156"/>
      <c r="D19" s="157"/>
      <c r="E19" s="153"/>
      <c r="F19" s="155"/>
      <c r="G19" s="136"/>
      <c r="H19" s="137"/>
      <c r="I19" s="155"/>
      <c r="J19" s="136"/>
      <c r="K19" s="154"/>
    </row>
    <row r="20" spans="1:11" ht="22" customHeight="1">
      <c r="B20" s="158"/>
      <c r="C20" s="158"/>
      <c r="D20" s="159"/>
      <c r="E20" s="153" t="s">
        <v>820</v>
      </c>
      <c r="F20" s="155"/>
      <c r="G20" s="136" t="str">
        <f>IF('Summary | Sumário'!D3=Names!B3,Names!I6,Names!J6)</f>
        <v>Fee Revenue</v>
      </c>
      <c r="H20" s="137"/>
      <c r="I20" s="155"/>
      <c r="J20" s="136"/>
      <c r="K20" s="154"/>
    </row>
    <row r="21" spans="1:11" ht="10" customHeight="1">
      <c r="B21" s="158"/>
      <c r="C21" s="158"/>
      <c r="D21" s="159"/>
      <c r="E21" s="153"/>
      <c r="F21" s="155"/>
      <c r="G21" s="136"/>
      <c r="H21" s="137"/>
      <c r="I21" s="149"/>
      <c r="J21" s="136"/>
      <c r="K21" s="154"/>
    </row>
    <row r="22" spans="1:11" ht="22" customHeight="1">
      <c r="B22" s="156"/>
      <c r="C22" s="156"/>
      <c r="D22" s="157"/>
      <c r="E22" s="153" t="s">
        <v>821</v>
      </c>
      <c r="F22" s="155"/>
      <c r="G22" s="136" t="str">
        <f>IF('Summary | Sumário'!D3=Names!B3,Names!I7,Names!J7)</f>
        <v>Financial KPIs</v>
      </c>
      <c r="H22" s="137"/>
      <c r="I22" s="149"/>
      <c r="J22" s="136"/>
      <c r="K22" s="154"/>
    </row>
    <row r="23" spans="1:11" ht="10" customHeight="1">
      <c r="B23" s="156"/>
      <c r="C23" s="156"/>
      <c r="D23" s="157"/>
      <c r="E23" s="149"/>
      <c r="F23" s="149"/>
      <c r="G23" s="136"/>
      <c r="H23" s="137"/>
      <c r="I23" s="149"/>
      <c r="J23" s="136"/>
      <c r="K23" s="154"/>
    </row>
    <row r="24" spans="1:11" ht="22" customHeight="1">
      <c r="B24" s="136"/>
      <c r="C24" s="136"/>
      <c r="D24" s="160"/>
      <c r="E24" s="149"/>
      <c r="F24" s="149" t="s">
        <v>822</v>
      </c>
      <c r="G24" s="136" t="str">
        <f>IF('Summary | Sumário'!D3=Names!B3,Names!I8,Names!J8)</f>
        <v>Tier I Ratio</v>
      </c>
      <c r="H24" s="153" t="s">
        <v>815</v>
      </c>
      <c r="I24" s="149"/>
      <c r="J24" s="136" t="str">
        <f>IF('Summary | Sumário'!D3=Names!B3,Names!I19,Names!J19)</f>
        <v>Financial Statements Simulation</v>
      </c>
      <c r="K24" s="154"/>
    </row>
    <row r="25" spans="1:11" ht="10" customHeight="1">
      <c r="B25" s="136"/>
      <c r="C25" s="136"/>
      <c r="D25" s="160"/>
      <c r="E25" s="149"/>
      <c r="F25" s="149"/>
      <c r="G25" s="136"/>
      <c r="H25" s="137"/>
      <c r="I25" s="149"/>
      <c r="J25" s="136"/>
      <c r="K25" s="154"/>
    </row>
    <row r="26" spans="1:11" ht="22" customHeight="1">
      <c r="B26" s="136"/>
      <c r="C26" s="136"/>
      <c r="D26" s="160"/>
      <c r="E26" s="149"/>
      <c r="F26" s="149" t="s">
        <v>823</v>
      </c>
      <c r="G26" s="136" t="str">
        <f>IF('Summary | Sumário'!D3=Names!B3,Names!I9,Names!J9)</f>
        <v>NIMs</v>
      </c>
      <c r="H26" s="153" t="s">
        <v>816</v>
      </c>
      <c r="I26" s="149"/>
      <c r="J26" s="136" t="str">
        <f>IF('Summary | Sumário'!D3=Names!B3,Names!I20,Names!J20)</f>
        <v>Disclaimer</v>
      </c>
      <c r="K26" s="154"/>
    </row>
    <row r="27" spans="1:11" ht="10" customHeight="1">
      <c r="B27" s="136"/>
      <c r="C27" s="136"/>
      <c r="D27" s="160"/>
      <c r="E27" s="149"/>
      <c r="F27" s="149"/>
      <c r="G27" s="136"/>
      <c r="H27" s="137"/>
      <c r="I27" s="149"/>
      <c r="J27" s="136"/>
      <c r="K27" s="154"/>
    </row>
    <row r="28" spans="1:11" ht="22" customHeight="1">
      <c r="B28" s="136"/>
      <c r="C28" s="136"/>
      <c r="D28" s="160"/>
      <c r="E28" s="149"/>
      <c r="F28" s="149" t="s">
        <v>824</v>
      </c>
      <c r="G28" s="136" t="str">
        <f>IF('Summary | Sumário'!D3=Names!B3,Names!I10,Names!J10)</f>
        <v>Efficiency Ratio</v>
      </c>
      <c r="H28" s="153" t="s">
        <v>817</v>
      </c>
      <c r="I28" s="149"/>
      <c r="J28" s="136" t="str">
        <f>IF('Summary | Sumário'!D3=Names!B3,Names!I21,Names!J21)</f>
        <v>Glossary</v>
      </c>
      <c r="K28" s="154"/>
    </row>
    <row r="29" spans="1:11" ht="10" customHeight="1">
      <c r="B29" s="136"/>
      <c r="C29" s="136"/>
      <c r="D29" s="160"/>
      <c r="E29" s="149"/>
      <c r="F29" s="149"/>
      <c r="G29" s="136"/>
      <c r="H29" s="137"/>
      <c r="I29" s="149"/>
      <c r="J29" s="136"/>
      <c r="K29" s="154"/>
    </row>
    <row r="30" spans="1:11" ht="22" customHeight="1">
      <c r="B30" s="136"/>
      <c r="C30" s="136"/>
      <c r="D30" s="160"/>
      <c r="E30" s="149"/>
      <c r="F30" s="149" t="s">
        <v>825</v>
      </c>
      <c r="G30" s="136" t="str">
        <f>IF('Summary | Sumário'!D3=Names!B3,Names!I11,Names!J11)</f>
        <v>Cost-to-Serve</v>
      </c>
      <c r="H30" s="137"/>
      <c r="I30" s="149"/>
      <c r="J30" s="136"/>
      <c r="K30" s="154"/>
    </row>
    <row r="31" spans="1:11" ht="10" customHeight="1">
      <c r="B31" s="136"/>
      <c r="C31" s="136"/>
      <c r="D31" s="160"/>
      <c r="E31" s="149"/>
      <c r="F31" s="149"/>
      <c r="G31" s="136"/>
      <c r="H31" s="137"/>
      <c r="I31" s="149"/>
      <c r="J31" s="161"/>
      <c r="K31" s="154"/>
    </row>
    <row r="32" spans="1:11" ht="22" customHeight="1">
      <c r="B32" s="136"/>
      <c r="C32" s="136"/>
      <c r="D32" s="160"/>
      <c r="E32" s="149"/>
      <c r="F32" s="149" t="s">
        <v>826</v>
      </c>
      <c r="G32" s="136" t="str">
        <f>IF('Summary | Sumário'!D3=Names!B3,Names!I12,Names!J12)</f>
        <v>ARPAC</v>
      </c>
      <c r="H32" s="137"/>
      <c r="I32" s="149"/>
      <c r="J32" s="161"/>
      <c r="K32" s="154"/>
    </row>
    <row r="33" spans="2:11" ht="10" customHeight="1">
      <c r="B33" s="136"/>
      <c r="C33" s="136"/>
      <c r="D33" s="136"/>
      <c r="E33" s="149"/>
      <c r="F33" s="149"/>
      <c r="G33" s="136"/>
      <c r="H33" s="141"/>
      <c r="I33" s="161"/>
      <c r="J33" s="27"/>
      <c r="K33" s="154"/>
    </row>
    <row r="34" spans="2:11" ht="22" customHeight="1">
      <c r="B34" s="154"/>
      <c r="C34" s="154"/>
      <c r="D34" s="154"/>
      <c r="E34" s="149"/>
      <c r="F34" s="149" t="s">
        <v>827</v>
      </c>
      <c r="G34" s="136" t="str">
        <f>IF('Summary | Sumário'!D3=Names!B3,Names!I18,Names!J18)</f>
        <v>Cost of Risk</v>
      </c>
      <c r="H34" s="162"/>
      <c r="I34" s="154"/>
      <c r="J34" s="154"/>
      <c r="K34" s="154"/>
    </row>
    <row r="35" spans="2:11" ht="22" customHeight="1">
      <c r="B35" s="154"/>
      <c r="C35" s="154"/>
      <c r="D35" s="154"/>
      <c r="E35" s="154"/>
      <c r="F35" s="154"/>
      <c r="G35" s="154"/>
      <c r="H35" s="162"/>
      <c r="I35" s="154"/>
      <c r="J35" s="154"/>
      <c r="K35" s="154"/>
    </row>
  </sheetData>
  <sheetProtection algorithmName="SHA-512" hashValue="VtttC6phgw/wSBQ4nQtUpl9UiR4XgU4KloC3+G7iZMAk9lZq1fMG76ITRAtPvLXaEjfhpl11MoDEyHtu7vkbEg==" saltValue="/Y0ZI8usYN7Kh6828mr5FQ==" spinCount="100000" sheet="1" formatCells="0" formatColumns="0" formatRows="0" insertColumns="0" insertRows="0" insertHyperlinks="0" deleteColumns="0" deleteRows="0" sort="0" autoFilter="0" pivotTables="0"/>
  <mergeCells count="1">
    <mergeCell ref="E6:J6"/>
  </mergeCells>
  <hyperlinks>
    <hyperlink ref="G10" location="'1. Highlights'!A1" display="'1. Highlights'!A1" xr:uid="{8E48E280-F474-E143-B578-3EF91F0D3E2B}"/>
    <hyperlink ref="G12" location="'2. BS | BP'!A1" display="'2. BS | BP'!A1" xr:uid="{883A7A47-B820-B14B-B618-59906C79F422}"/>
    <hyperlink ref="G14" location="'3. IS | DRE'!A1" display="'3. IS | DRE'!A1" xr:uid="{99BD1BA0-1840-9B46-B79B-76C1766D7F5D}"/>
    <hyperlink ref="G16" location="'4. Credit | Crédito'!A1" display="'4. Credit | Crédito'!A1" xr:uid="{C29808B5-5F48-D448-B9BD-567FC9913372}"/>
    <hyperlink ref="G18" location="'5. Funding'!A1" display="'5. Funding'!A1" xr:uid="{B403E988-5EE9-C643-9222-443C2E2475B6}"/>
    <hyperlink ref="G20" location="'6. Fee Revenue | R. de Serviços'!A1" display="'6. Fee Revenue | R. de Serviços'!A1" xr:uid="{DE3C433E-9F7B-5347-BE9C-9AD18E149C71}"/>
    <hyperlink ref="G22" location="'7. Financial KPIs (Financeiros)'!A1" display="'7. Financial KPIs (Financeiros)'!A1" xr:uid="{A8CF38DC-ED88-5D45-A4D2-684A998F1C21}"/>
    <hyperlink ref="G24" location="'7.1. Tier I Ratio | Basileia'!A1" display="'7.1. Tier I Ratio | Basileia'!A1" xr:uid="{921B6869-B461-A841-824D-7EADBA19FDE3}"/>
    <hyperlink ref="G26" location="'7.2. NIMs'!A1" display="'7.2. NIMs'!A1" xr:uid="{9F7F65B2-7EC2-344D-8FED-B9CB604C9459}"/>
    <hyperlink ref="G28" location="'7.3. Efficiency | Eficiência'!A1" display="'7.3. Efficiency | Eficiência'!A1" xr:uid="{5ED1A07E-A398-DA41-83F2-0521A6DA1911}"/>
    <hyperlink ref="G30" location="'7.4. CTS | Custo de servir'!A1" display="'7.4. CTS | Custo de servir'!A1" xr:uid="{1388AE8C-CBF6-5545-987F-9F9C427A8F20}"/>
    <hyperlink ref="G32" location="'7.5. ARPAC'!A1" display="'7.5. ARPAC'!A1" xr:uid="{9436A9C3-F326-8442-A6C1-F3AE099F89EA}"/>
    <hyperlink ref="G34" location="'7.6. Cost of Risk'!A1" display="'7.6. Cost of Risk'!A1" xr:uid="{C60323EE-F308-D140-BCD3-73A866E67917}"/>
    <hyperlink ref="J10" location="'1. Inter Invest'!A1" display="'1. Inter Invest'!A1" xr:uid="{3382F633-162F-E248-A0A9-965CD05207A9}"/>
    <hyperlink ref="J12" location="'2. Inter Seguros'!A1" display="'2. Inter Seguros'!A1" xr:uid="{CDB681BC-324C-FD4C-ADD7-ABE2EAEBC261}"/>
    <hyperlink ref="J14" location="'3. Inter Shop'!A1" display="'3. Inter Shop'!A1" xr:uid="{64350D5A-1D38-8A45-8900-C2CCF435AED4}"/>
    <hyperlink ref="J16" location="'4. Digital Acou. | Conta Dig.'!A1" display="'4. Digital Acou. | Conta Dig.'!A1" xr:uid="{A4B993DC-2068-5F4C-B877-9C6AF563E0F4}"/>
    <hyperlink ref="J18" location="'5. Oper. KPIs | KPIs Oper.'!A1" display="'5. Oper. KPIs | KPIs Oper.'!A1" xr:uid="{52596258-E061-EA44-B02B-7D7457368B89}"/>
    <hyperlink ref="J26" location="'2. Disclaimer'!A1" display="'2. Disclaimer'!A1" xr:uid="{029A650C-647C-9A4B-8AA1-B23C2E9E4EDC}"/>
    <hyperlink ref="J28" location="'3. Glossary | Glossário'!A1" display="'3. Glossary | Glossário'!A1" xr:uid="{BD8514A1-4ECF-114C-972A-2EF33F9B7284}"/>
    <hyperlink ref="J24" location="'1. Simulation | Simulação'!A1" display="'1. Simulation | Simulação'!A1" xr:uid="{D9FC892E-80BD-8E43-A12A-14A8F96C1093}"/>
  </hyperlinks>
  <pageMargins left="0.511811024" right="0.511811024" top="0.78740157499999996" bottom="0.78740157499999996" header="0.31496062000000002" footer="0.31496062000000002"/>
  <pageSetup paperSize="9" orientation="portrait" horizontalDpi="0" verticalDpi="0"/>
  <ignoredErrors>
    <ignoredError sqref="H10:H18 H24:H28 E10:E22" numberStoredAsText="1"/>
  </ignoredErrors>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E1FC904-540E-3A45-9E98-258CEE4A444F}">
          <x14:formula1>
            <xm:f>Names!$B$2:$B$3</xm:f>
          </x14:formula1>
          <xm:sqref>D3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66C1-23EA-E249-9DA5-23C40ED20D73}">
  <sheetPr codeName="Sheet20">
    <tabColor rgb="FFFFCA96"/>
  </sheetPr>
  <dimension ref="B1:V26"/>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11" customWidth="1"/>
    <col min="3" max="12" width="10.83203125" style="212" customWidth="1"/>
    <col min="13" max="16384" width="10.83203125" style="211"/>
  </cols>
  <sheetData>
    <row r="1" spans="2:22" ht="13" customHeight="1">
      <c r="M1" s="212"/>
      <c r="N1" s="212"/>
      <c r="O1" s="212"/>
      <c r="P1" s="212"/>
      <c r="Q1" s="212"/>
    </row>
    <row r="2" spans="2:22" s="218" customFormat="1" ht="13" customHeight="1">
      <c r="B2" s="400" t="str">
        <f>IF('Summary | Sumário'!D$3=Names!B$3,Names!AP1,Names!AQ1)</f>
        <v>Operational KPIs</v>
      </c>
      <c r="C2" s="22" t="str">
        <f>IF('Summary | Sumário'!D$3=Names!B$3,Names!E2,Names!F2)</f>
        <v>4Q19</v>
      </c>
      <c r="D2" s="22" t="str">
        <f>IF('Summary | Sumário'!D$3=Names!B$3,Names!E3,Names!F3)</f>
        <v>4Q20</v>
      </c>
      <c r="E2" s="22" t="str">
        <f>IF('Summary | Sumário'!D$3=Names!B$3,Names!E4,Names!F4)</f>
        <v>1Q21</v>
      </c>
      <c r="F2" s="22" t="str">
        <f>IF('Summary | Sumário'!D$3=Names!B$3,Names!E5,Names!F5)</f>
        <v>2Q21</v>
      </c>
      <c r="G2" s="22" t="str">
        <f>IF('Summary | Sumário'!D$3=Names!B$3,Names!E6,Names!F6)</f>
        <v>3Q21</v>
      </c>
      <c r="H2" s="23" t="str">
        <f>IF('Summary | Sumário'!D$3=Names!B$3,Names!E7,Names!F7)</f>
        <v>4Q21</v>
      </c>
      <c r="I2" s="23" t="str">
        <f>IF('Summary | Sumário'!D$3=Names!B$3,Names!E8,Names!F8)</f>
        <v>1Q22</v>
      </c>
      <c r="J2" s="23" t="str">
        <f>IF('Summary | Sumário'!D$3=Names!B$3,Names!E9,Names!F9)</f>
        <v>2Q22</v>
      </c>
      <c r="K2" s="23" t="str">
        <f>IF('Summary | Sumário'!D$3=Names!B$3,Names!E10,Names!F10)</f>
        <v>3Q22</v>
      </c>
      <c r="L2" s="23" t="str">
        <f>IF('Summary | Sumário'!D$3=Names!B$3,Names!E11,Names!F11)</f>
        <v>4Q22</v>
      </c>
      <c r="M2" s="23" t="str">
        <f>IF('Summary | Sumário'!D$3=Names!B$3,Names!E12,Names!F12)</f>
        <v>1Q23</v>
      </c>
      <c r="N2" s="23" t="str">
        <f>IF('Summary | Sumário'!D$3=Names!B$3,Names!E13,Names!F13)</f>
        <v>2Q23</v>
      </c>
      <c r="O2" s="23" t="str">
        <f>IF('Summary | Sumário'!D$3=Names!B$3,Names!E14,Names!F14)</f>
        <v>3Q23</v>
      </c>
      <c r="P2" s="401" t="str">
        <f>IF('Summary | Sumário'!D$3=Names!B$3,Names!E15,Names!F15)</f>
        <v>4Q23</v>
      </c>
      <c r="Q2" s="214"/>
      <c r="R2" s="216"/>
      <c r="S2" s="217"/>
      <c r="U2" s="219"/>
      <c r="V2" s="220"/>
    </row>
    <row r="3" spans="2:22" ht="13" customHeight="1">
      <c r="B3" s="16"/>
      <c r="C3" s="222"/>
      <c r="D3" s="222"/>
      <c r="E3" s="223"/>
      <c r="F3" s="223"/>
      <c r="G3" s="223"/>
      <c r="H3" s="223"/>
      <c r="I3" s="223"/>
      <c r="J3" s="223"/>
      <c r="K3" s="223"/>
      <c r="L3" s="223"/>
      <c r="M3" s="223"/>
      <c r="N3" s="223"/>
      <c r="O3" s="223"/>
      <c r="P3" s="223"/>
      <c r="Q3" s="223"/>
    </row>
    <row r="4" spans="2:22" ht="13" customHeight="1">
      <c r="B4" s="474" t="str">
        <f>IF('Summary | Sumário'!D$3=Names!B$3,Names!AP2,Names!AQ2)</f>
        <v>Operational KPIs</v>
      </c>
      <c r="C4" s="397"/>
      <c r="D4" s="397"/>
      <c r="E4" s="397"/>
      <c r="F4" s="397"/>
      <c r="G4" s="397"/>
      <c r="H4" s="397"/>
      <c r="I4" s="397"/>
      <c r="J4" s="397"/>
      <c r="K4" s="397"/>
      <c r="L4" s="397"/>
      <c r="M4" s="397"/>
      <c r="N4" s="397"/>
      <c r="O4" s="397"/>
      <c r="P4" s="397"/>
      <c r="Q4" s="225"/>
    </row>
    <row r="5" spans="2:22" ht="13" customHeight="1">
      <c r="B5" s="461" t="str">
        <f>IF('Summary | Sumário'!D$3=Names!B$3,Names!AP3,Names!AQ3)</f>
        <v>CAC</v>
      </c>
      <c r="C5" s="481">
        <v>25.364349164674067</v>
      </c>
      <c r="D5" s="481">
        <v>26.795498202152629</v>
      </c>
      <c r="E5" s="481">
        <v>27.759999999999998</v>
      </c>
      <c r="F5" s="481">
        <v>27.22</v>
      </c>
      <c r="G5" s="481">
        <v>30.740000000000002</v>
      </c>
      <c r="H5" s="481">
        <v>28.79</v>
      </c>
      <c r="I5" s="481">
        <v>29.04</v>
      </c>
      <c r="J5" s="481">
        <v>32.090000000000003</v>
      </c>
      <c r="K5" s="481">
        <v>28.25</v>
      </c>
      <c r="L5" s="481">
        <v>30.44</v>
      </c>
      <c r="M5" s="481">
        <v>29.799999999999997</v>
      </c>
      <c r="N5" s="481">
        <v>27.06</v>
      </c>
      <c r="O5" s="481">
        <v>25.86</v>
      </c>
      <c r="P5" s="481">
        <v>24.645735842009003</v>
      </c>
      <c r="Q5" s="225"/>
    </row>
    <row r="6" spans="2:22" ht="13" customHeight="1">
      <c r="B6" s="183" t="str">
        <f>IF('Summary | Sumário'!D$3=Names!B$3,Names!AP4,Names!AQ4)</f>
        <v>NPS</v>
      </c>
      <c r="C6" s="226">
        <v>65</v>
      </c>
      <c r="D6" s="226">
        <v>83</v>
      </c>
      <c r="E6" s="226">
        <v>80</v>
      </c>
      <c r="F6" s="226">
        <v>84</v>
      </c>
      <c r="G6" s="226">
        <v>83</v>
      </c>
      <c r="H6" s="226">
        <v>83</v>
      </c>
      <c r="I6" s="226">
        <v>83</v>
      </c>
      <c r="J6" s="226">
        <v>81</v>
      </c>
      <c r="K6" s="226">
        <v>81</v>
      </c>
      <c r="L6" s="226">
        <v>85</v>
      </c>
      <c r="M6" s="226">
        <v>84</v>
      </c>
      <c r="N6" s="226">
        <v>84</v>
      </c>
      <c r="O6" s="226">
        <v>85</v>
      </c>
      <c r="P6" s="226">
        <v>85</v>
      </c>
      <c r="Q6" s="226"/>
    </row>
    <row r="7" spans="2:22" ht="13" customHeight="1">
      <c r="B7" s="182" t="str">
        <f>IF('Summary | Sumário'!D$3=Names!B$3,Names!AP5,Names!AQ5)</f>
        <v>Total clients (million)</v>
      </c>
      <c r="C7" s="227">
        <v>4.0590010000000003</v>
      </c>
      <c r="D7" s="227">
        <v>8.4555279999999993</v>
      </c>
      <c r="E7" s="227">
        <v>10.18338</v>
      </c>
      <c r="F7" s="227">
        <v>11.976032999999999</v>
      </c>
      <c r="G7" s="227">
        <v>13.905602</v>
      </c>
      <c r="H7" s="227">
        <v>16.348920827116658</v>
      </c>
      <c r="I7" s="227">
        <v>18.574000000000002</v>
      </c>
      <c r="J7" s="227">
        <v>20.724375999999999</v>
      </c>
      <c r="K7" s="227">
        <v>22.766031999999999</v>
      </c>
      <c r="L7" s="227">
        <v>24.662092999999999</v>
      </c>
      <c r="M7" s="227">
        <v>26.288263000000001</v>
      </c>
      <c r="N7" s="227">
        <v>27.774601000000001</v>
      </c>
      <c r="O7" s="227">
        <v>29.374635000000001</v>
      </c>
      <c r="P7" s="227">
        <v>30.363865000000001</v>
      </c>
      <c r="Q7" s="228"/>
      <c r="R7" s="229"/>
    </row>
    <row r="8" spans="2:22" ht="13" customHeight="1">
      <c r="B8" s="183" t="str">
        <f>IF('Summary | Sumário'!D$3=Names!B$3,Names!AP6,Names!AQ6)</f>
        <v>Active clients (million)</v>
      </c>
      <c r="C8" s="230">
        <v>2.2826979999999999</v>
      </c>
      <c r="D8" s="230">
        <v>5.2522799999999998</v>
      </c>
      <c r="E8" s="230">
        <v>6.1326499999999999</v>
      </c>
      <c r="F8" s="230">
        <v>7.0629739999999996</v>
      </c>
      <c r="G8" s="230">
        <v>7.9664520000000003</v>
      </c>
      <c r="H8" s="230">
        <v>8.8263289999999994</v>
      </c>
      <c r="I8" s="230">
        <v>9.6228320000000007</v>
      </c>
      <c r="J8" s="230">
        <v>10.716208999999999</v>
      </c>
      <c r="K8" s="230">
        <v>11.649274</v>
      </c>
      <c r="L8" s="230">
        <v>12.584403999999999</v>
      </c>
      <c r="M8" s="230">
        <v>13.540568</v>
      </c>
      <c r="N8" s="230">
        <v>14.494907</v>
      </c>
      <c r="O8" s="230">
        <v>15.47322</v>
      </c>
      <c r="P8" s="230">
        <v>16.405394000000001</v>
      </c>
      <c r="Q8" s="230"/>
    </row>
    <row r="9" spans="2:22" ht="13" customHeight="1">
      <c r="B9" s="182" t="str">
        <f>IF('Summary | Sumário'!D$3=Names!B$3,Names!AP7,Names!AQ7)</f>
        <v>Longevity ratio (clients more than 1 year old at Inter) (%)</v>
      </c>
      <c r="C9" s="231">
        <v>0.35773211191620791</v>
      </c>
      <c r="D9" s="231">
        <v>0.48004110447035359</v>
      </c>
      <c r="E9" s="231">
        <v>0.48479129719209141</v>
      </c>
      <c r="F9" s="231">
        <v>0.49302093606455494</v>
      </c>
      <c r="G9" s="231">
        <v>0.51438636025969964</v>
      </c>
      <c r="H9" s="231">
        <v>0.51719181280610804</v>
      </c>
      <c r="I9" s="231">
        <v>0.54825993324001288</v>
      </c>
      <c r="J9" s="231">
        <v>0.57787182591167041</v>
      </c>
      <c r="K9" s="231">
        <v>0.61080481657936703</v>
      </c>
      <c r="L9" s="231">
        <v>0.66291700494019945</v>
      </c>
      <c r="M9" s="231">
        <v>0.70655105664455653</v>
      </c>
      <c r="N9" s="231">
        <v>0.74616287017048422</v>
      </c>
      <c r="O9" s="231">
        <v>0.77502348539820154</v>
      </c>
      <c r="P9" s="231">
        <v>0.81221850380378124</v>
      </c>
      <c r="Q9" s="232"/>
    </row>
    <row r="10" spans="2:22" ht="13" customHeight="1">
      <c r="B10" s="183" t="str">
        <f>IF('Summary | Sumário'!D$3=Names!B$3,Names!AP8,Names!AQ8)</f>
        <v>Activity rate (%)</v>
      </c>
      <c r="C10" s="233">
        <v>0.56237926524285164</v>
      </c>
      <c r="D10" s="233">
        <v>0.62116523060416806</v>
      </c>
      <c r="E10" s="233">
        <v>0.60222146281490041</v>
      </c>
      <c r="F10" s="233">
        <v>0.5897590629551539</v>
      </c>
      <c r="G10" s="233">
        <v>0.57289515405374036</v>
      </c>
      <c r="H10" s="233">
        <v>0.53987227006203786</v>
      </c>
      <c r="I10" s="233">
        <v>0.51808075804888554</v>
      </c>
      <c r="J10" s="233">
        <v>0.5170823478593517</v>
      </c>
      <c r="K10" s="233">
        <v>0.51169540656008916</v>
      </c>
      <c r="L10" s="233">
        <v>0.51027315483726376</v>
      </c>
      <c r="M10" s="233">
        <v>0.51508036114824318</v>
      </c>
      <c r="N10" s="233">
        <v>0.52187633586527493</v>
      </c>
      <c r="O10" s="233">
        <v>0.52675446009797233</v>
      </c>
      <c r="P10" s="233">
        <v>0.54029333880914043</v>
      </c>
      <c r="Q10" s="233"/>
    </row>
    <row r="11" spans="2:22" ht="13" customHeight="1">
      <c r="B11" s="182" t="str">
        <f>IF('Summary | Sumário'!D$3=Names!B$3,Names!AP9,Names!AQ9)</f>
        <v>Headcount</v>
      </c>
      <c r="C11" s="234">
        <v>1628</v>
      </c>
      <c r="D11" s="234">
        <v>2128</v>
      </c>
      <c r="E11" s="234">
        <v>2452</v>
      </c>
      <c r="F11" s="234">
        <v>2972</v>
      </c>
      <c r="G11" s="234">
        <v>3447</v>
      </c>
      <c r="H11" s="234">
        <v>3900</v>
      </c>
      <c r="I11" s="234">
        <v>3805</v>
      </c>
      <c r="J11" s="234">
        <v>4047</v>
      </c>
      <c r="K11" s="234">
        <v>4057</v>
      </c>
      <c r="L11" s="234">
        <v>4081</v>
      </c>
      <c r="M11" s="234">
        <v>3828</v>
      </c>
      <c r="N11" s="234">
        <v>3433</v>
      </c>
      <c r="O11" s="234">
        <v>3266</v>
      </c>
      <c r="P11" s="234">
        <v>3319</v>
      </c>
      <c r="Q11" s="226"/>
    </row>
    <row r="12" spans="2:22" ht="13" customHeight="1">
      <c r="B12" s="183" t="str">
        <f>IF('Summary | Sumário'!D$3=Names!B$3,Names!AP10,Names!AQ10)</f>
        <v>Active clients per employee (thousands)</v>
      </c>
      <c r="C12" s="235">
        <f>C8*1000/C11</f>
        <v>1.4021486486486485</v>
      </c>
      <c r="D12" s="235">
        <f t="shared" ref="D12:N12" si="0">D8*1000/D11</f>
        <v>2.4681766917293233</v>
      </c>
      <c r="E12" s="235">
        <f t="shared" si="0"/>
        <v>2.5010807504078301</v>
      </c>
      <c r="F12" s="235">
        <f t="shared" si="0"/>
        <v>2.3765053835800805</v>
      </c>
      <c r="G12" s="235">
        <f t="shared" si="0"/>
        <v>2.3111261966927765</v>
      </c>
      <c r="H12" s="235">
        <f t="shared" si="0"/>
        <v>2.2631612820512821</v>
      </c>
      <c r="I12" s="235">
        <f t="shared" si="0"/>
        <v>2.5289965834428383</v>
      </c>
      <c r="J12" s="235">
        <f t="shared" si="0"/>
        <v>2.6479389671361502</v>
      </c>
      <c r="K12" s="235">
        <f t="shared" si="0"/>
        <v>2.8714010352477199</v>
      </c>
      <c r="L12" s="235">
        <f t="shared" si="0"/>
        <v>3.0836569468267578</v>
      </c>
      <c r="M12" s="235">
        <f t="shared" si="0"/>
        <v>3.5372434691745038</v>
      </c>
      <c r="N12" s="235">
        <f t="shared" si="0"/>
        <v>4.2222274978153216</v>
      </c>
      <c r="O12" s="235">
        <f t="shared" ref="O12:P12" si="1">O8*1000/O11</f>
        <v>4.7376668707899565</v>
      </c>
      <c r="P12" s="235">
        <f t="shared" si="1"/>
        <v>4.942872551973486</v>
      </c>
      <c r="Q12" s="235"/>
    </row>
    <row r="13" spans="2:22" ht="13" customHeight="1">
      <c r="B13" s="236"/>
    </row>
    <row r="14" spans="2:22" ht="13" customHeight="1">
      <c r="B14" s="236"/>
    </row>
    <row r="15" spans="2:22" ht="13" customHeight="1">
      <c r="B15" s="236"/>
    </row>
    <row r="17" spans="2:10" ht="13" customHeight="1">
      <c r="B17" s="237"/>
    </row>
    <row r="18" spans="2:10" ht="13" customHeight="1">
      <c r="B18" s="238"/>
    </row>
    <row r="20" spans="2:10" ht="13" customHeight="1">
      <c r="B20" s="503"/>
    </row>
    <row r="21" spans="2:10" ht="13" customHeight="1">
      <c r="B21" s="503"/>
    </row>
    <row r="22" spans="2:10" ht="13" customHeight="1">
      <c r="B22" s="503"/>
    </row>
    <row r="23" spans="2:10" ht="13" customHeight="1">
      <c r="B23" s="503"/>
      <c r="D23" s="240"/>
    </row>
    <row r="24" spans="2:10" ht="13" customHeight="1">
      <c r="B24" s="503"/>
      <c r="J24" s="239"/>
    </row>
    <row r="25" spans="2:10" ht="13" customHeight="1">
      <c r="B25" s="503"/>
    </row>
    <row r="26" spans="2:10" ht="13" customHeight="1">
      <c r="B26" s="503"/>
    </row>
  </sheetData>
  <sheetProtection algorithmName="SHA-512" hashValue="L0eO276m9LHcahcXBjp/weRFLhbm1WXNqBUgj2rdKiDcesKZNX0UhC7qNn4ZdwaEetcvzw5GfG9ZMY3i17fWPA==" saltValue="uoFnNV91hHwwrFpTByrnlw==" spinCount="100000" sheet="1" formatCells="0" formatColumns="0" formatRows="0" insertColumns="0" insertRows="0" insertHyperlinks="0" deleteColumns="0" deleteRows="0" sort="0" autoFilter="0" pivotTables="0"/>
  <mergeCells count="1">
    <mergeCell ref="B20:B26"/>
  </mergeCells>
  <phoneticPr fontId="6" type="noConversion"/>
  <pageMargins left="0.511811024" right="0.511811024" top="0.78740157499999996" bottom="0.78740157499999996" header="0.31496062000000002" footer="0.31496062000000002"/>
  <pageSetup paperSize="9" orientation="portrait" horizontalDpi="0" verticalDpi="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10FBE-BD91-484B-A196-2EBFD96B9D5E}">
  <sheetPr>
    <tabColor theme="0" tint="-0.14999847407452621"/>
  </sheetPr>
  <dimension ref="B2:X66"/>
  <sheetViews>
    <sheetView showGridLines="0" zoomScaleNormal="100" workbookViewId="0"/>
  </sheetViews>
  <sheetFormatPr baseColWidth="10" defaultColWidth="10.83203125" defaultRowHeight="15" customHeight="1"/>
  <cols>
    <col min="1" max="1" width="3.33203125" style="64" customWidth="1"/>
    <col min="2" max="2" width="2.1640625" style="64" customWidth="1"/>
    <col min="3" max="3" width="43.6640625" style="64" customWidth="1"/>
    <col min="4" max="4" width="16.83203125" style="64" bestFit="1" customWidth="1"/>
    <col min="5" max="5" width="14" style="66" bestFit="1" customWidth="1"/>
    <col min="6" max="6" width="2" style="66" customWidth="1"/>
    <col min="7" max="7" width="8.83203125" style="64" customWidth="1"/>
    <col min="8" max="8" width="2.83203125" style="64" customWidth="1"/>
    <col min="9" max="9" width="59.33203125" style="64" bestFit="1" customWidth="1"/>
    <col min="10" max="16" width="12.83203125" style="64" customWidth="1"/>
    <col min="17" max="17" width="2.5" style="64" customWidth="1"/>
    <col min="18" max="18" width="10.83203125" style="64" customWidth="1"/>
    <col min="19" max="19" width="13.5" style="64" bestFit="1" customWidth="1"/>
    <col min="20" max="20" width="10.83203125" style="64" customWidth="1"/>
    <col min="21" max="21" width="12.5" style="64" bestFit="1" customWidth="1"/>
    <col min="22" max="22" width="2.83203125" style="64" customWidth="1"/>
    <col min="23" max="24" width="10.83203125" style="64"/>
    <col min="25" max="25" width="8.83203125" style="64" customWidth="1"/>
    <col min="26" max="26" width="10.83203125" style="64"/>
    <col min="27" max="27" width="8.83203125" style="64" customWidth="1"/>
    <col min="28" max="28" width="3.5" style="64" customWidth="1"/>
    <col min="29" max="16384" width="10.83203125" style="64"/>
  </cols>
  <sheetData>
    <row r="2" spans="2:24" ht="8" customHeight="1">
      <c r="B2" s="61"/>
      <c r="C2" s="61"/>
      <c r="D2" s="61"/>
      <c r="E2" s="72"/>
      <c r="F2" s="72"/>
      <c r="G2" s="61"/>
      <c r="H2" s="61"/>
      <c r="I2" s="61"/>
      <c r="J2" s="61"/>
      <c r="K2" s="61"/>
      <c r="L2" s="61"/>
      <c r="M2" s="61"/>
      <c r="N2" s="61"/>
      <c r="O2" s="61"/>
      <c r="P2" s="61"/>
      <c r="Q2" s="61"/>
      <c r="R2" s="61"/>
      <c r="S2" s="61"/>
      <c r="T2" s="61"/>
      <c r="U2" s="61"/>
      <c r="V2" s="61"/>
    </row>
    <row r="3" spans="2:24" ht="15" customHeight="1">
      <c r="B3" s="61"/>
      <c r="C3" s="504" t="str">
        <f>IF('Summary | Sumário'!D3=Names!B3,Names!BP1,Names!BQ1)</f>
        <v>Managerial KPIs Effects in 4Q23 Financial Statements</v>
      </c>
      <c r="D3" s="504"/>
      <c r="E3" s="504"/>
      <c r="F3" s="504"/>
      <c r="G3" s="504"/>
      <c r="H3" s="504"/>
      <c r="I3" s="504"/>
      <c r="J3" s="504"/>
      <c r="K3" s="504"/>
      <c r="L3" s="504"/>
      <c r="M3" s="504"/>
      <c r="N3" s="504"/>
      <c r="O3" s="504"/>
      <c r="P3" s="504"/>
      <c r="Q3" s="504"/>
      <c r="R3" s="504"/>
      <c r="S3" s="504"/>
      <c r="T3" s="504"/>
      <c r="U3" s="504"/>
      <c r="V3" s="61"/>
    </row>
    <row r="4" spans="2:24" ht="15" customHeight="1">
      <c r="B4" s="61"/>
      <c r="C4" s="504"/>
      <c r="D4" s="504"/>
      <c r="E4" s="504"/>
      <c r="F4" s="504"/>
      <c r="G4" s="504"/>
      <c r="H4" s="504"/>
      <c r="I4" s="504"/>
      <c r="J4" s="504"/>
      <c r="K4" s="504"/>
      <c r="L4" s="504"/>
      <c r="M4" s="504"/>
      <c r="N4" s="504"/>
      <c r="O4" s="504"/>
      <c r="P4" s="504"/>
      <c r="Q4" s="504"/>
      <c r="R4" s="504"/>
      <c r="S4" s="504"/>
      <c r="T4" s="504"/>
      <c r="U4" s="504"/>
      <c r="V4" s="61"/>
    </row>
    <row r="5" spans="2:24" ht="77" customHeight="1">
      <c r="B5" s="61"/>
      <c r="C5" s="505" t="str">
        <f>IF('Summary | Sumário'!D3=Names!B3,Names!BP2,Names!BQ2)</f>
        <v>Instructions for Use:
1. Read the disclaimer bellow before using this sheet.
2. The simulation is pre-set with 3Q23 Key Performance Indicators (KPIs) in column D. You can modify the simulation by entering your desired KPI values in the green cells in Column D.
3. Once you input the new KPI values, the corresponding results will be updated in column O of the Income Statement, Balance Sheet, or both, depending on the specific KPI. The values that may alter are marked in orange.
4. Additionally, the KPI Output in column D will change dynamically based on your input, allowing you to observe the effects of different KPI values.</v>
      </c>
      <c r="D5" s="505"/>
      <c r="E5" s="505"/>
      <c r="F5" s="505"/>
      <c r="G5" s="505"/>
      <c r="H5" s="505"/>
      <c r="I5" s="505"/>
      <c r="J5" s="505"/>
      <c r="K5" s="505"/>
      <c r="L5" s="505"/>
      <c r="M5" s="505"/>
      <c r="N5" s="505"/>
      <c r="O5" s="505"/>
      <c r="P5" s="505"/>
      <c r="Q5" s="505"/>
      <c r="R5" s="505"/>
      <c r="S5" s="505"/>
      <c r="T5" s="505"/>
      <c r="U5" s="505"/>
      <c r="V5" s="505"/>
    </row>
    <row r="6" spans="2:24" ht="8" customHeight="1">
      <c r="B6" s="61"/>
      <c r="C6" s="74"/>
      <c r="D6" s="74"/>
      <c r="E6" s="74"/>
      <c r="F6" s="74"/>
      <c r="G6" s="74"/>
      <c r="H6" s="74"/>
      <c r="I6" s="74"/>
      <c r="J6" s="74"/>
      <c r="K6" s="74"/>
      <c r="L6" s="74"/>
      <c r="M6" s="74"/>
      <c r="N6" s="74"/>
      <c r="O6" s="74"/>
      <c r="P6" s="61"/>
      <c r="Q6" s="61"/>
      <c r="R6" s="61"/>
      <c r="S6" s="61"/>
      <c r="T6" s="61"/>
      <c r="U6" s="61"/>
      <c r="V6" s="61"/>
    </row>
    <row r="7" spans="2:24" ht="15" customHeight="1">
      <c r="C7" s="69"/>
      <c r="D7" s="69"/>
      <c r="E7" s="69"/>
      <c r="F7" s="69"/>
      <c r="G7" s="69"/>
      <c r="H7" s="69"/>
      <c r="I7" s="69"/>
      <c r="J7" s="69"/>
      <c r="K7" s="69"/>
      <c r="L7" s="69"/>
      <c r="M7" s="69"/>
      <c r="N7" s="69"/>
      <c r="O7" s="69"/>
    </row>
    <row r="8" spans="2:24" ht="15" customHeight="1">
      <c r="B8" s="44"/>
      <c r="C8" s="33"/>
      <c r="D8" s="33"/>
      <c r="E8" s="33"/>
      <c r="F8" s="33"/>
      <c r="G8" s="70"/>
      <c r="H8" s="33"/>
      <c r="I8" s="33"/>
      <c r="J8" s="33"/>
      <c r="K8" s="33"/>
      <c r="L8" s="33"/>
      <c r="M8" s="33"/>
      <c r="N8" s="33"/>
      <c r="O8" s="33"/>
      <c r="P8" s="44"/>
      <c r="Q8" s="44"/>
      <c r="R8" s="507" t="str">
        <f>IF('Summary | Sumário'!$D$3=Names!$B$3,Names!BP53,Names!BQ53)</f>
        <v>Variation %</v>
      </c>
      <c r="S8" s="507"/>
      <c r="T8" s="507"/>
      <c r="U8" s="507"/>
      <c r="V8" s="44"/>
    </row>
    <row r="9" spans="2:24" ht="15" customHeight="1">
      <c r="B9" s="44"/>
      <c r="C9" s="400" t="str">
        <f>IF('Summary | Sumário'!$D$3=Names!$B$3,Names!BP3,Names!BQ3)</f>
        <v>KPI Inputs</v>
      </c>
      <c r="D9" s="482" t="str">
        <f>IF('Summary | Sumário'!$D$3=Names!$B$3,Names!BP18,Names!BQ18)</f>
        <v>Input Values:</v>
      </c>
      <c r="E9" s="46" t="str">
        <f>IF('Summary | Sumário'!$D$3=Names!$B$3,Names!BP19,Names!BQ19)</f>
        <v>4Q23 Actual</v>
      </c>
      <c r="F9" s="33"/>
      <c r="H9" s="44"/>
      <c r="I9" s="400" t="str">
        <f>IF('Summary | Sumário'!$D$3=Names!$B$3,Names!BP22,Names!BQ22)</f>
        <v>Managerial Income Statement (R$ Millions)</v>
      </c>
      <c r="J9" s="46" t="str">
        <f>IF('Summary | Sumário'!D3=Names!B3,Names!C12,Names!D12)</f>
        <v>3Q22</v>
      </c>
      <c r="K9" s="46" t="str">
        <f>IF('Summary | Sumário'!D3=Names!B3,Names!C13,Names!D13)</f>
        <v>4Q22</v>
      </c>
      <c r="L9" s="46" t="str">
        <f>IF('Summary | Sumário'!D3=Names!B3,Names!C14,Names!D14)</f>
        <v>1Q23</v>
      </c>
      <c r="M9" s="46" t="str">
        <f>IF('Summary | Sumário'!D3=Names!B3,Names!C15,Names!D15)</f>
        <v>2Q23</v>
      </c>
      <c r="N9" s="46" t="str">
        <f>IF('Summary | Sumário'!D3=Names!B3,Names!C16,Names!D16)</f>
        <v>3Q23</v>
      </c>
      <c r="O9" s="46" t="str">
        <f>IF('Summary | Sumário'!D3=Names!B3,Names!C17,Names!D17)</f>
        <v>4Q23</v>
      </c>
      <c r="P9" s="483" t="str">
        <f>_xlfn.CONCAT(IF('Summary | Sumário'!D3=Names!B3,Names!C17,Names!D17),"S")</f>
        <v>4Q23S</v>
      </c>
      <c r="Q9" s="47"/>
      <c r="R9" s="164" t="str">
        <f>IF('Summary | Sumário'!$D$3=Names!$B$3,Names!BP55,Names!BQ55)</f>
        <v>Δ QoQS</v>
      </c>
      <c r="S9" s="164" t="str">
        <f>IF('Summary | Sumário'!$D$3=Names!$B$3,Names!BP56,Names!BQ56)</f>
        <v>Δ QoQ Actual</v>
      </c>
      <c r="T9" s="164" t="str">
        <f>IF('Summary | Sumário'!$D$3=Names!$B$3,Names!BP57,Names!BQ57)</f>
        <v>ΔYoYS</v>
      </c>
      <c r="U9" s="164" t="str">
        <f>IF('Summary | Sumário'!$D$3=Names!$B$3,Names!BP58,Names!BQ58)</f>
        <v>ΔYoY Actual</v>
      </c>
      <c r="V9" s="44"/>
    </row>
    <row r="10" spans="2:24" ht="15" customHeight="1">
      <c r="B10" s="44"/>
      <c r="C10" s="63" t="str">
        <f>IF('Summary | Sumário'!$D$3=Names!$B$3,Names!BP4,Names!BQ4)</f>
        <v>Income Statement</v>
      </c>
      <c r="D10" s="165"/>
      <c r="E10" s="165"/>
      <c r="F10" s="166"/>
      <c r="H10" s="44"/>
      <c r="I10" s="48" t="str">
        <f>IF('Summary | Sumário'!$D$3=Names!$B$3,Names!BP23,Names!BQ23)</f>
        <v>Interest income + income from securites and derivatives</v>
      </c>
      <c r="J10" s="49">
        <f>('3. IS | DRE'!N4+'3. IS | DRE'!N6)/1000</f>
        <v>1135.2657310000002</v>
      </c>
      <c r="K10" s="49">
        <f>('3. IS | DRE'!O4+'3. IS | DRE'!O6)/1000</f>
        <v>1266.703082</v>
      </c>
      <c r="L10" s="49">
        <f>('3. IS | DRE'!P4+'3. IS | DRE'!P6)/1000</f>
        <v>1384.3328220000001</v>
      </c>
      <c r="M10" s="49">
        <f>('3. IS | DRE'!Q4+'3. IS | DRE'!Q6)/1000</f>
        <v>1494.2809999999999</v>
      </c>
      <c r="N10" s="49">
        <f>('3. IS | DRE'!R4+'3. IS | DRE'!R6)/1000</f>
        <v>1588.9550887400001</v>
      </c>
      <c r="O10" s="49">
        <f>('3. IS | DRE'!S4+'3. IS | DRE'!S6)/1000</f>
        <v>1628.0930892599999</v>
      </c>
      <c r="P10" s="50">
        <f>P12-P11</f>
        <v>1628.0930892599999</v>
      </c>
      <c r="Q10" s="49"/>
      <c r="R10" s="167">
        <f>P10/M10-1</f>
        <v>8.9549481831061151E-2</v>
      </c>
      <c r="S10" s="167">
        <f>N10/M10-1</f>
        <v>6.3357620648325286E-2</v>
      </c>
      <c r="T10" s="167">
        <f>P10/J10-1</f>
        <v>0.43410749113856562</v>
      </c>
      <c r="U10" s="167">
        <f>J10/N10-1</f>
        <v>-0.28552686035938479</v>
      </c>
      <c r="V10" s="44"/>
    </row>
    <row r="11" spans="2:24" ht="15" customHeight="1">
      <c r="B11" s="44"/>
      <c r="C11" s="44" t="str">
        <f>IF('Summary | Sumário'!$D$3=Names!$B$3,Names!BP5,Names!BQ5)</f>
        <v>Cost of funding (%)</v>
      </c>
      <c r="D11" s="168">
        <f t="shared" ref="D11:D16" si="0">E11</f>
        <v>7.2427138105401342E-2</v>
      </c>
      <c r="E11" s="71">
        <f>'5. Funding'!S23</f>
        <v>7.2427138105401342E-2</v>
      </c>
      <c r="F11" s="58"/>
      <c r="H11" s="44"/>
      <c r="I11" s="51" t="str">
        <f>IF('Summary | Sumário'!$D$3=Names!$B$3,Names!BP24,Names!BQ24)</f>
        <v>Interest expenses</v>
      </c>
      <c r="J11" s="52">
        <f>'3. IS | DRE'!N5/1000</f>
        <v>-579.678</v>
      </c>
      <c r="K11" s="52">
        <f>'3. IS | DRE'!O5/1000</f>
        <v>-591.36</v>
      </c>
      <c r="L11" s="52">
        <f>'3. IS | DRE'!P5/1000</f>
        <v>-672.77099999999996</v>
      </c>
      <c r="M11" s="52">
        <f>'3. IS | DRE'!Q5/1000</f>
        <v>-692.20600000000002</v>
      </c>
      <c r="N11" s="52">
        <f>'3. IS | DRE'!R5/1000</f>
        <v>-770.39800000000002</v>
      </c>
      <c r="O11" s="52">
        <f>'3. IS | DRE'!S5/1000</f>
        <v>-752.19800500000008</v>
      </c>
      <c r="P11" s="50">
        <f>-(D11)*AVERAGE(P40,N40)/4*1000</f>
        <v>-752.19800499999997</v>
      </c>
      <c r="Q11" s="52"/>
      <c r="R11" s="169">
        <f>P11/M11-1</f>
        <v>8.6667848877357345E-2</v>
      </c>
      <c r="S11" s="169">
        <f>N11/M11-1</f>
        <v>0.11296059265594338</v>
      </c>
      <c r="T11" s="169">
        <f>P11/J11-1</f>
        <v>0.29761351129420111</v>
      </c>
      <c r="U11" s="169">
        <f>J11/N11-1</f>
        <v>-0.24756035192199355</v>
      </c>
      <c r="V11" s="44"/>
    </row>
    <row r="12" spans="2:24" ht="15" customHeight="1">
      <c r="B12" s="44"/>
      <c r="C12" s="44" t="str">
        <f>IF('Summary | Sumário'!$D$3=Names!$B$3,Names!BP6,Names!BQ6)</f>
        <v>NIM (%) 2.0 - IEP only</v>
      </c>
      <c r="D12" s="168">
        <f t="shared" si="0"/>
        <v>8.9925313340997362E-2</v>
      </c>
      <c r="E12" s="71">
        <f>'7.2. NIMs'!S28</f>
        <v>8.9925313340997362E-2</v>
      </c>
      <c r="F12" s="58"/>
      <c r="H12" s="44"/>
      <c r="I12" s="53" t="str">
        <f>IF('Summary | Sumário'!$D$3=Names!$B$3,Names!BP25,Names!BQ25)</f>
        <v>Net interest income</v>
      </c>
      <c r="J12" s="38">
        <f>SUM(J10:J11)</f>
        <v>555.58773100000019</v>
      </c>
      <c r="K12" s="38">
        <f t="shared" ref="K12:O12" si="1">SUM(K10:K11)</f>
        <v>675.34308199999998</v>
      </c>
      <c r="L12" s="38">
        <f t="shared" si="1"/>
        <v>711.56182200000012</v>
      </c>
      <c r="M12" s="38">
        <f t="shared" si="1"/>
        <v>802.07499999999993</v>
      </c>
      <c r="N12" s="38">
        <f t="shared" si="1"/>
        <v>818.55708874000004</v>
      </c>
      <c r="O12" s="38">
        <f t="shared" si="1"/>
        <v>875.89508425999986</v>
      </c>
      <c r="P12" s="41">
        <f>(D12*AVERAGE(P34,N34)/4)*1000</f>
        <v>875.89508425999998</v>
      </c>
      <c r="Q12" s="38"/>
      <c r="R12" s="170">
        <f>P12/M12-1</f>
        <v>9.2036385948945032E-2</v>
      </c>
      <c r="S12" s="170">
        <f>N12/M12-1</f>
        <v>2.0549311149206773E-2</v>
      </c>
      <c r="T12" s="170">
        <f>P12/J12-1</f>
        <v>0.5765198462598875</v>
      </c>
      <c r="U12" s="170">
        <f>N12/J12-1</f>
        <v>0.4733174313743076</v>
      </c>
      <c r="V12" s="44"/>
    </row>
    <row r="13" spans="2:24" ht="15" customHeight="1">
      <c r="B13" s="44"/>
      <c r="C13" s="44" t="str">
        <f>IF('Summary | Sumário'!$D$3=Names!$B$3,Names!BP7,Names!BQ7)</f>
        <v>Net fee income growth (%, QoQ)</v>
      </c>
      <c r="D13" s="168">
        <f t="shared" si="0"/>
        <v>-2.2151594802859109E-2</v>
      </c>
      <c r="E13" s="71">
        <f>O14/N14-1</f>
        <v>-2.2151594802859109E-2</v>
      </c>
      <c r="F13" s="58"/>
      <c r="H13" s="44"/>
      <c r="I13" s="51"/>
      <c r="J13" s="54"/>
      <c r="K13" s="54"/>
      <c r="L13" s="54"/>
      <c r="M13" s="54"/>
      <c r="N13" s="54"/>
      <c r="O13" s="54"/>
      <c r="P13" s="55"/>
      <c r="Q13" s="54"/>
      <c r="R13" s="171"/>
      <c r="S13" s="171"/>
      <c r="T13" s="171"/>
      <c r="U13" s="171"/>
      <c r="V13" s="44"/>
    </row>
    <row r="14" spans="2:24" ht="15" customHeight="1">
      <c r="B14" s="44"/>
      <c r="C14" s="44" t="str">
        <f>IF('Summary | Sumário'!$D$3=Names!$B$3,Names!BP8,Names!BQ8)</f>
        <v>Cost of risk (%)</v>
      </c>
      <c r="D14" s="168">
        <f t="shared" si="0"/>
        <v>5.1882148962593862E-2</v>
      </c>
      <c r="E14" s="71">
        <f>'7.6. Cost of Risk'!S10</f>
        <v>5.1882148962593862E-2</v>
      </c>
      <c r="F14" s="58"/>
      <c r="H14" s="44"/>
      <c r="I14" s="48" t="str">
        <f>IF('Summary | Sumário'!$D$3=Names!$B$3,Names!BP27,Names!BQ27)</f>
        <v>Net fee revenue + other revenues</v>
      </c>
      <c r="J14" s="56">
        <f>('3. IS | DRE'!N9+'3. IS | DRE'!N10+'3. IS | DRE'!N11)/1000</f>
        <v>294.71600000000001</v>
      </c>
      <c r="K14" s="56">
        <f>('3. IS | DRE'!O9+'3. IS | DRE'!O10+'3. IS | DRE'!O11)/1000</f>
        <v>326.50900000000001</v>
      </c>
      <c r="L14" s="56">
        <f>('3. IS | DRE'!P9+'3. IS | DRE'!P10+'3. IS | DRE'!P11)/1000</f>
        <v>312.55200000000002</v>
      </c>
      <c r="M14" s="56">
        <f>('3. IS | DRE'!Q9+'3. IS | DRE'!Q10+'3. IS | DRE'!Q11)/1000</f>
        <v>347.959</v>
      </c>
      <c r="N14" s="56">
        <f>('3. IS | DRE'!R9+'3. IS | DRE'!R10+'3. IS | DRE'!R11)/1000</f>
        <v>446.93850028000003</v>
      </c>
      <c r="O14" s="56">
        <f>('3. IS | DRE'!S9+'3. IS | DRE'!S10+'3. IS | DRE'!S11)/1000</f>
        <v>437.03809971999993</v>
      </c>
      <c r="P14" s="55">
        <f>N14*(1+D13)</f>
        <v>437.03809971999993</v>
      </c>
      <c r="Q14" s="56"/>
      <c r="R14" s="172">
        <f>P14/M14-1</f>
        <v>0.25600458594259656</v>
      </c>
      <c r="S14" s="172">
        <f>N14/M14-1</f>
        <v>0.28445736503438623</v>
      </c>
      <c r="T14" s="172">
        <f>P14/J14-1</f>
        <v>0.48291270144817355</v>
      </c>
      <c r="U14" s="172">
        <f>N14/J14-1</f>
        <v>0.51650572171174969</v>
      </c>
      <c r="V14" s="44"/>
    </row>
    <row r="15" spans="2:24" ht="15" customHeight="1">
      <c r="B15" s="44"/>
      <c r="C15" s="44" t="str">
        <f>IF('Summary | Sumário'!$D$3=Names!$B$3,Names!BP9,Names!BQ9)</f>
        <v>Efficiency ratio (%)</v>
      </c>
      <c r="D15" s="168">
        <f t="shared" si="0"/>
        <v>0.5136436519943689</v>
      </c>
      <c r="E15" s="71">
        <f>'7.3. Efficiency | Eficiência'!S14</f>
        <v>0.5136436519943689</v>
      </c>
      <c r="F15" s="58"/>
      <c r="H15" s="44"/>
      <c r="I15" s="57" t="str">
        <f>IF('Summary | Sumário'!$D$3=Names!$B$3,Names!BP28,Names!BQ28)</f>
        <v>Revenues</v>
      </c>
      <c r="J15" s="40">
        <f>J12+SUM(J14:J14)</f>
        <v>850.3037310000002</v>
      </c>
      <c r="K15" s="40">
        <f t="shared" ref="K15:O15" si="2">K12+SUM(K14:K14)</f>
        <v>1001.852082</v>
      </c>
      <c r="L15" s="40">
        <f t="shared" si="2"/>
        <v>1024.1138220000003</v>
      </c>
      <c r="M15" s="40">
        <f t="shared" si="2"/>
        <v>1150.0339999999999</v>
      </c>
      <c r="N15" s="40">
        <f t="shared" si="2"/>
        <v>1265.4955890200001</v>
      </c>
      <c r="O15" s="40">
        <f t="shared" si="2"/>
        <v>1312.9331839799997</v>
      </c>
      <c r="P15" s="41">
        <f>SUM(P12,P14)</f>
        <v>1312.93318398</v>
      </c>
      <c r="Q15" s="40"/>
      <c r="R15" s="173">
        <f>P15/M15-1</f>
        <v>0.14164727649791242</v>
      </c>
      <c r="S15" s="173">
        <f>N15/M15-1</f>
        <v>0.10039841345560241</v>
      </c>
      <c r="T15" s="173">
        <f>P15/J15-1</f>
        <v>0.5440755298532256</v>
      </c>
      <c r="U15" s="173">
        <f>N15/J15-1</f>
        <v>0.48828652972240083</v>
      </c>
      <c r="V15" s="44"/>
      <c r="X15" s="125"/>
    </row>
    <row r="16" spans="2:24" ht="15" customHeight="1">
      <c r="B16" s="44"/>
      <c r="C16" s="44" t="str">
        <f>IF('Summary | Sumário'!$D$3=Names!$B$3,Names!BP10,Names!BQ10)</f>
        <v>Tax expenses as % of total revenues</v>
      </c>
      <c r="D16" s="168">
        <f t="shared" si="0"/>
        <v>6.9446010912147499E-2</v>
      </c>
      <c r="E16" s="71">
        <f>-'3. IS | DRE'!S20/'3. IS | DRE'!S12</f>
        <v>6.9446010912147499E-2</v>
      </c>
      <c r="F16" s="58"/>
      <c r="H16" s="44"/>
      <c r="I16" s="48"/>
      <c r="J16" s="56"/>
      <c r="K16" s="56"/>
      <c r="L16" s="56"/>
      <c r="M16" s="56"/>
      <c r="N16" s="56"/>
      <c r="O16" s="56"/>
      <c r="P16" s="55"/>
      <c r="Q16" s="56"/>
      <c r="R16" s="172"/>
      <c r="S16" s="172"/>
      <c r="T16" s="172"/>
      <c r="U16" s="172"/>
      <c r="V16" s="44"/>
    </row>
    <row r="17" spans="2:22" ht="15" customHeight="1">
      <c r="B17" s="44"/>
      <c r="C17" s="63" t="str">
        <f>IF('Summary | Sumário'!$D$3=Names!$B$3,Names!BP11,Names!BQ11)</f>
        <v>Balance Sheet</v>
      </c>
      <c r="D17" s="165"/>
      <c r="E17" s="174"/>
      <c r="F17" s="166"/>
      <c r="H17" s="44"/>
      <c r="I17" s="51" t="str">
        <f>IF('Summary | Sumário'!$D$3=Names!$B$3,Names!BP30,Names!BQ30)</f>
        <v>Impairment losses on financial assets</v>
      </c>
      <c r="J17" s="54">
        <f>'3. IS | DRE'!N14/1000</f>
        <v>-263.113</v>
      </c>
      <c r="K17" s="54">
        <f>'3. IS | DRE'!O14/1000</f>
        <v>-264.714</v>
      </c>
      <c r="L17" s="54">
        <f>'3. IS | DRE'!P14/1000</f>
        <v>-350.68099999999998</v>
      </c>
      <c r="M17" s="54">
        <f>'3. IS | DRE'!Q14/1000</f>
        <v>-398.56</v>
      </c>
      <c r="N17" s="54">
        <f>'3. IS | DRE'!R14/1000</f>
        <v>-407.899</v>
      </c>
      <c r="O17" s="54">
        <f>'3. IS | DRE'!S14/1000</f>
        <v>-384.44400000000002</v>
      </c>
      <c r="P17" s="55">
        <f>-(D14*AVERAGE(P35,N35)/4)*1000</f>
        <v>-384.44399999999996</v>
      </c>
      <c r="Q17" s="54"/>
      <c r="R17" s="171">
        <f>P17/M17-1</f>
        <v>-3.5417503010839124E-2</v>
      </c>
      <c r="S17" s="171">
        <f>N17/M17-1</f>
        <v>2.3431854676836616E-2</v>
      </c>
      <c r="T17" s="171">
        <f>P17/J17-1</f>
        <v>0.46113646988176171</v>
      </c>
      <c r="U17" s="171">
        <f>N17/J17-1</f>
        <v>0.55028067788364687</v>
      </c>
      <c r="V17" s="44"/>
    </row>
    <row r="18" spans="2:22" ht="15" customHeight="1">
      <c r="B18" s="44"/>
      <c r="C18" s="44" t="str">
        <f>IF('Summary | Sumário'!$D$3=Names!$B$3,Names!BP12,Names!BQ12)</f>
        <v>IEP growth (%, QoQ)</v>
      </c>
      <c r="D18" s="77">
        <f>E18</f>
        <v>0.11052826988373643</v>
      </c>
      <c r="E18" s="71">
        <f>O34/N34-1</f>
        <v>0.11052826988373643</v>
      </c>
      <c r="F18" s="58"/>
      <c r="H18" s="44"/>
      <c r="I18" s="53" t="str">
        <f>IF('Summary | Sumário'!$D$3=Names!$B$3,Names!BP31,Names!BQ31)</f>
        <v>Net result of losses</v>
      </c>
      <c r="J18" s="38">
        <f t="shared" ref="J18:P18" si="3">J15+J17</f>
        <v>587.19073100000014</v>
      </c>
      <c r="K18" s="38">
        <f t="shared" ref="K18:O18" si="4">K15+K17</f>
        <v>737.13808199999994</v>
      </c>
      <c r="L18" s="38">
        <f t="shared" si="4"/>
        <v>673.43282200000021</v>
      </c>
      <c r="M18" s="38">
        <f t="shared" si="4"/>
        <v>751.47399999999993</v>
      </c>
      <c r="N18" s="38">
        <f t="shared" si="4"/>
        <v>857.59658902000012</v>
      </c>
      <c r="O18" s="38">
        <f t="shared" si="4"/>
        <v>928.48918397999978</v>
      </c>
      <c r="P18" s="41">
        <f t="shared" si="3"/>
        <v>928.48918398000001</v>
      </c>
      <c r="Q18" s="38"/>
      <c r="R18" s="170">
        <f>P18/M18-1</f>
        <v>0.23555729669955316</v>
      </c>
      <c r="S18" s="170">
        <f>N18/M18-1</f>
        <v>0.14121924247545525</v>
      </c>
      <c r="T18" s="170">
        <f>P18/J18-1</f>
        <v>0.58123951036958688</v>
      </c>
      <c r="U18" s="170">
        <f>N18/J18-1</f>
        <v>0.46050770855918</v>
      </c>
      <c r="V18" s="44"/>
    </row>
    <row r="19" spans="2:22" ht="15" customHeight="1">
      <c r="B19" s="44"/>
      <c r="C19" s="44" t="str">
        <f>IF('Summary | Sumário'!$D$3=Names!$B$3,Names!BP13,Names!BQ13)</f>
        <v>Funding growth (%, QoQ)</v>
      </c>
      <c r="D19" s="77">
        <f t="shared" ref="D19" si="5">E19</f>
        <v>9.9601805184734715E-2</v>
      </c>
      <c r="E19" s="71">
        <f>O40/N40-1</f>
        <v>9.9601805184734715E-2</v>
      </c>
      <c r="F19" s="58"/>
      <c r="H19" s="44"/>
      <c r="I19" s="51"/>
      <c r="J19" s="54"/>
      <c r="K19" s="54"/>
      <c r="L19" s="54"/>
      <c r="M19" s="54"/>
      <c r="N19" s="54"/>
      <c r="O19" s="54"/>
      <c r="P19" s="55"/>
      <c r="Q19" s="54"/>
      <c r="R19" s="171"/>
      <c r="S19" s="171"/>
      <c r="T19" s="171"/>
      <c r="U19" s="171"/>
      <c r="V19" s="44"/>
    </row>
    <row r="20" spans="2:22" ht="15" customHeight="1">
      <c r="B20" s="44"/>
      <c r="C20" s="44"/>
      <c r="D20" s="44"/>
      <c r="E20" s="59"/>
      <c r="F20" s="59"/>
      <c r="H20" s="44"/>
      <c r="I20" s="48" t="str">
        <f>IF('Summary | Sumário'!$D$3=Names!$B$3,Names!BP33,Names!BQ33)</f>
        <v>Operational expenses</v>
      </c>
      <c r="J20" s="56">
        <f>('3. IS | DRE'!N18+'3. IS | DRE'!N19+'3. IS | DRE'!N21)/1000</f>
        <v>-591.798</v>
      </c>
      <c r="K20" s="56">
        <f>('3. IS | DRE'!O18+'3. IS | DRE'!O19+'3. IS | DRE'!O21)/1000</f>
        <v>-685.26400000000001</v>
      </c>
      <c r="L20" s="56">
        <f>('3. IS | DRE'!P18+'3. IS | DRE'!P19+'3. IS | DRE'!P21)/1000</f>
        <v>-595.60400000000004</v>
      </c>
      <c r="M20" s="56">
        <f>('3. IS | DRE'!Q18+'3. IS | DRE'!Q19+'3. IS | DRE'!Q21)/1000</f>
        <v>-575.24699999999996</v>
      </c>
      <c r="N20" s="56">
        <f>('3. IS | DRE'!R18+'3. IS | DRE'!R19+'3. IS | DRE'!R21)/1000</f>
        <v>-614.12900000000002</v>
      </c>
      <c r="O20" s="56">
        <f>('3. IS | DRE'!S18+'3. IS | DRE'!S19+'3. IS | DRE'!S21)/1000</f>
        <v>-627.54700000000003</v>
      </c>
      <c r="P20" s="55">
        <f>-D15*SUM(P12,P14,P21)</f>
        <v>-627.54680881074034</v>
      </c>
      <c r="Q20" s="56"/>
      <c r="R20" s="172">
        <f>P20/M20-1</f>
        <v>9.091713439746818E-2</v>
      </c>
      <c r="S20" s="172">
        <f>N20/M20-1</f>
        <v>6.7591834464151956E-2</v>
      </c>
      <c r="T20" s="172">
        <f>P20/J20-1</f>
        <v>6.04071132561117E-2</v>
      </c>
      <c r="U20" s="172">
        <f>N20/J20-1</f>
        <v>3.773415929083912E-2</v>
      </c>
      <c r="V20" s="44"/>
    </row>
    <row r="21" spans="2:22" ht="15" customHeight="1">
      <c r="H21" s="44"/>
      <c r="I21" s="51" t="str">
        <f>IF('Summary | Sumário'!$D$3=Names!$B$3,Names!BP34,Names!BQ34)</f>
        <v>Tax expenses</v>
      </c>
      <c r="J21" s="54">
        <f>('3. IS | DRE'!N20)/1000</f>
        <v>-61.543999999999997</v>
      </c>
      <c r="K21" s="54">
        <f>('3. IS | DRE'!O20)/1000</f>
        <v>-68.751000000000005</v>
      </c>
      <c r="L21" s="54">
        <f>('3. IS | DRE'!P20)/1000</f>
        <v>-68.870999999999995</v>
      </c>
      <c r="M21" s="54">
        <f>('3. IS | DRE'!Q20)/1000</f>
        <v>-72.462999999999994</v>
      </c>
      <c r="N21" s="54">
        <f>('3. IS | DRE'!R20)/1000</f>
        <v>-94.072000000000003</v>
      </c>
      <c r="O21" s="54">
        <f>('3. IS | DRE'!S20)/1000</f>
        <v>-91.177999999999997</v>
      </c>
      <c r="P21" s="55">
        <f>-D16*P15</f>
        <v>-91.177972221595638</v>
      </c>
      <c r="Q21" s="54"/>
      <c r="R21" s="171">
        <f>P21/M21-1</f>
        <v>0.25826935431317555</v>
      </c>
      <c r="S21" s="171">
        <f>N21/M21-1</f>
        <v>0.29820736099802669</v>
      </c>
      <c r="T21" s="171">
        <f>P21/J21-1</f>
        <v>0.48150871281677565</v>
      </c>
      <c r="U21" s="171">
        <f>N21/J21-1</f>
        <v>0.52853243208111289</v>
      </c>
      <c r="V21" s="44"/>
    </row>
    <row r="22" spans="2:22" ht="15" customHeight="1">
      <c r="H22" s="44"/>
      <c r="I22" s="48" t="str">
        <f>IF('Summary | Sumário'!$D$3=Names!$B$3,Names!BP35,Names!BQ35)</f>
        <v>Other expenses</v>
      </c>
      <c r="J22" s="56">
        <f>'3. IS | DRE'!N22/1000</f>
        <v>-3.8919999999999999</v>
      </c>
      <c r="K22" s="56">
        <f>'3. IS | DRE'!O22/1000</f>
        <v>-3.43</v>
      </c>
      <c r="L22" s="56">
        <f>'3. IS | DRE'!P22/1000</f>
        <v>-3.0609999999999999</v>
      </c>
      <c r="M22" s="56">
        <f>'3. IS | DRE'!Q22/1000</f>
        <v>-23.465</v>
      </c>
      <c r="N22" s="56">
        <f>'3. IS | DRE'!R22/1000</f>
        <v>-4.0708986899999982</v>
      </c>
      <c r="O22" s="56">
        <f>'3. IS | DRE'!S22/1000</f>
        <v>-1.4431013100000019</v>
      </c>
      <c r="P22" s="55">
        <f>IF(D12=0,0,O22)</f>
        <v>-1.4431013100000019</v>
      </c>
      <c r="Q22" s="56"/>
      <c r="R22" s="172">
        <f>P22/M22-1</f>
        <v>-0.93849983763051348</v>
      </c>
      <c r="S22" s="172">
        <f>N22/M22-1</f>
        <v>-0.82651188195184322</v>
      </c>
      <c r="T22" s="172">
        <f>P22/J22-1</f>
        <v>-0.62921343525179807</v>
      </c>
      <c r="U22" s="172">
        <f>N22/J22-1</f>
        <v>4.5965747687563896E-2</v>
      </c>
      <c r="V22" s="44"/>
    </row>
    <row r="23" spans="2:22" ht="15" customHeight="1">
      <c r="B23" s="61"/>
      <c r="C23" s="61"/>
      <c r="D23" s="61"/>
      <c r="E23" s="72"/>
      <c r="F23" s="73"/>
      <c r="H23" s="44"/>
      <c r="I23" s="57" t="str">
        <f>IF('Summary | Sumário'!$D$3=Names!$B$3,Names!BP36,Names!BQ36)</f>
        <v>Profit / (loss) before income tax</v>
      </c>
      <c r="J23" s="40">
        <f t="shared" ref="J23:P23" si="6">J18+SUM(J20:J22)</f>
        <v>-70.043268999999896</v>
      </c>
      <c r="K23" s="40">
        <f t="shared" si="6"/>
        <v>-20.306917999999996</v>
      </c>
      <c r="L23" s="40">
        <f t="shared" si="6"/>
        <v>5.8968220000001565</v>
      </c>
      <c r="M23" s="40">
        <f t="shared" si="6"/>
        <v>80.298999999999978</v>
      </c>
      <c r="N23" s="40">
        <f t="shared" si="6"/>
        <v>145.32469033000007</v>
      </c>
      <c r="O23" s="40">
        <f t="shared" si="6"/>
        <v>208.32108266999978</v>
      </c>
      <c r="P23" s="41">
        <f t="shared" si="6"/>
        <v>208.32130163766408</v>
      </c>
      <c r="Q23" s="40"/>
      <c r="R23" s="173">
        <f>P23/M23-1</f>
        <v>1.5943199994727721</v>
      </c>
      <c r="S23" s="173">
        <f>N23/M23-1</f>
        <v>0.80979452209865754</v>
      </c>
      <c r="T23" s="173">
        <f>P23/J23-1</f>
        <v>-3.9741801690846894</v>
      </c>
      <c r="U23" s="173">
        <f>N23/J23-1</f>
        <v>-3.0747845211222264</v>
      </c>
      <c r="V23" s="44"/>
    </row>
    <row r="24" spans="2:22" ht="15" customHeight="1">
      <c r="B24" s="44"/>
      <c r="C24" s="400" t="str">
        <f>IF('Summary | Sumário'!$D$3=Names!$B$3,Names!BP14,Names!BQ14)</f>
        <v>KPI Outputs</v>
      </c>
      <c r="D24" s="482" t="str">
        <f>IF('Summary | Sumário'!$D$3=Names!$B$3,Names!BP20,Names!BQ20)</f>
        <v>Output</v>
      </c>
      <c r="E24" s="46" t="str">
        <f>IF('Summary | Sumário'!$D$3=Names!$B$3,Names!BP21,Names!BQ21)</f>
        <v>4Q23 Actual</v>
      </c>
      <c r="F24" s="35"/>
      <c r="H24" s="44"/>
      <c r="I24" s="45"/>
      <c r="J24" s="30"/>
      <c r="K24" s="30"/>
      <c r="L24" s="30"/>
      <c r="M24" s="30"/>
      <c r="N24" s="30"/>
      <c r="O24" s="30"/>
      <c r="P24" s="42"/>
      <c r="Q24" s="30"/>
      <c r="R24" s="175"/>
      <c r="S24" s="175"/>
      <c r="T24" s="175"/>
      <c r="U24" s="175"/>
      <c r="V24" s="44"/>
    </row>
    <row r="25" spans="2:22" ht="15" customHeight="1">
      <c r="B25" s="44"/>
      <c r="C25" s="34" t="str">
        <f>IF('Summary | Sumário'!$D$3=Names!$B$3,Names!BP15,Names!BQ15)</f>
        <v>ROEA (%)</v>
      </c>
      <c r="D25" s="126">
        <f>P26*4/(AVERAGE(P42,N42)*1000)</f>
        <v>8.5395572220730798E-2</v>
      </c>
      <c r="E25" s="36">
        <f>O26*4/(AVERAGE(O42,N42)*1000)</f>
        <v>8.5395500420383061E-2</v>
      </c>
      <c r="F25" s="36"/>
      <c r="H25" s="44"/>
      <c r="I25" s="51" t="str">
        <f>IF('Summary | Sumário'!$D$3=Names!$B$3,Names!BP38,Names!BQ38)</f>
        <v>Income tax and social contribution</v>
      </c>
      <c r="J25" s="54">
        <f>'3. IS | DRE'!N25/1000</f>
        <v>40.448</v>
      </c>
      <c r="K25" s="54">
        <f>'3. IS | DRE'!O25/1000</f>
        <v>49.12</v>
      </c>
      <c r="L25" s="54">
        <f>'3. IS | DRE'!P25/1000</f>
        <v>18.318999999999999</v>
      </c>
      <c r="M25" s="54">
        <f>'3. IS | DRE'!Q25/1000</f>
        <v>-16.126999999999999</v>
      </c>
      <c r="N25" s="54">
        <f>'3. IS | DRE'!R25/1000</f>
        <v>-41.194000000000003</v>
      </c>
      <c r="O25" s="54">
        <f>'3. IS | DRE'!S25/1000</f>
        <v>-48.579000000000001</v>
      </c>
      <c r="P25" s="55">
        <f>IF(P23&lt;=O23,O25,O25+((O23-P23)*0.38))</f>
        <v>-48.579083207712436</v>
      </c>
      <c r="Q25" s="54"/>
      <c r="R25" s="171">
        <f>P25/M25-1</f>
        <v>2.0122827064991902</v>
      </c>
      <c r="S25" s="171">
        <f>N25/M25-1</f>
        <v>1.5543498480808586</v>
      </c>
      <c r="T25" s="171">
        <f>P25/J25-1</f>
        <v>-2.201025593545106</v>
      </c>
      <c r="U25" s="171">
        <f>N25/J25-1</f>
        <v>-2.018443433544304</v>
      </c>
      <c r="V25" s="44"/>
    </row>
    <row r="26" spans="2:22" ht="15" customHeight="1">
      <c r="B26" s="44"/>
      <c r="C26" s="34" t="str">
        <f>IF('Summary | Sumário'!$D$3=Names!$B$3,Names!BP16,Names!BQ16)</f>
        <v>ROAA (%)</v>
      </c>
      <c r="D26" s="75">
        <f>(P26*4)/(AVERAGE(N37,P37)*1000)</f>
        <v>1.1071044766998675E-2</v>
      </c>
      <c r="E26" s="36">
        <f>(O26*4)/(AVERAGE(O37,N37)*1000)</f>
        <v>1.1071035358061455E-2</v>
      </c>
      <c r="F26" s="36"/>
      <c r="H26" s="44"/>
      <c r="I26" s="53" t="str">
        <f>IF('Summary | Sumário'!$D$3=Names!$B$3,Names!BP39,Names!BQ39)</f>
        <v>Profit / (loss) for the period</v>
      </c>
      <c r="J26" s="38">
        <f>J23+J25</f>
        <v>-29.595268999999895</v>
      </c>
      <c r="K26" s="38">
        <f t="shared" ref="K26:M26" si="7">K23+K25</f>
        <v>28.813082000000001</v>
      </c>
      <c r="L26" s="38">
        <f t="shared" si="7"/>
        <v>24.215822000000156</v>
      </c>
      <c r="M26" s="38">
        <f t="shared" si="7"/>
        <v>64.171999999999983</v>
      </c>
      <c r="N26" s="38">
        <f>N23+N25</f>
        <v>104.13069033000006</v>
      </c>
      <c r="O26" s="38">
        <f>O23+O25</f>
        <v>159.74208266999977</v>
      </c>
      <c r="P26" s="41">
        <f>P23+P25</f>
        <v>159.74221842995163</v>
      </c>
      <c r="Q26" s="38"/>
      <c r="R26" s="170">
        <f>P26/M26-1</f>
        <v>1.489282217009781</v>
      </c>
      <c r="S26" s="170">
        <f>N26/M26-1</f>
        <v>0.62268108100106101</v>
      </c>
      <c r="T26" s="170">
        <f>P26/J26-1</f>
        <v>-6.3975592663122001</v>
      </c>
      <c r="U26" s="170">
        <f>N26/J26-1</f>
        <v>-4.5184910915998238</v>
      </c>
      <c r="V26" s="44"/>
    </row>
    <row r="27" spans="2:22" ht="15" customHeight="1">
      <c r="B27" s="44"/>
      <c r="C27" s="34" t="str">
        <f>IF('Summary | Sumário'!$D$3=Names!$B$3,Names!BP17,Names!BQ17)</f>
        <v>Fee income ratio (%)</v>
      </c>
      <c r="D27" s="75">
        <f>P14/P15</f>
        <v>0.33287154674175512</v>
      </c>
      <c r="E27" s="36">
        <f>O14/O15</f>
        <v>0.33287154674175518</v>
      </c>
      <c r="F27" s="36"/>
      <c r="H27" s="44"/>
      <c r="I27" s="43"/>
      <c r="J27" s="43"/>
      <c r="K27" s="43"/>
      <c r="L27" s="43"/>
      <c r="M27" s="43"/>
      <c r="N27" s="43"/>
      <c r="O27" s="43"/>
      <c r="P27" s="60"/>
      <c r="Q27" s="61"/>
      <c r="R27" s="61"/>
      <c r="S27" s="61"/>
      <c r="T27" s="43"/>
      <c r="U27" s="43"/>
      <c r="V27" s="44"/>
    </row>
    <row r="28" spans="2:22" ht="15" customHeight="1">
      <c r="B28" s="61"/>
      <c r="C28" s="61"/>
      <c r="D28" s="61"/>
      <c r="E28" s="72"/>
      <c r="F28" s="72"/>
      <c r="I28" s="39"/>
      <c r="J28" s="39"/>
      <c r="K28" s="39"/>
      <c r="L28" s="39"/>
      <c r="M28" s="39"/>
      <c r="N28" s="39"/>
      <c r="O28" s="39"/>
      <c r="P28" s="65"/>
      <c r="T28" s="39"/>
      <c r="U28" s="39"/>
    </row>
    <row r="29" spans="2:22" ht="15" customHeight="1">
      <c r="I29" s="39"/>
      <c r="J29" s="39"/>
      <c r="K29" s="39"/>
      <c r="L29" s="39"/>
      <c r="M29" s="39"/>
      <c r="N29" s="39"/>
      <c r="O29" s="39"/>
      <c r="P29" s="65"/>
      <c r="T29" s="39"/>
      <c r="U29" s="39"/>
    </row>
    <row r="30" spans="2:22" ht="15" customHeight="1">
      <c r="I30" s="39"/>
      <c r="J30" s="39"/>
      <c r="K30" s="39"/>
      <c r="L30" s="39"/>
      <c r="M30" s="39"/>
      <c r="N30" s="39"/>
      <c r="O30" s="39"/>
      <c r="P30" s="65"/>
      <c r="T30" s="39"/>
      <c r="U30" s="39"/>
    </row>
    <row r="31" spans="2:22" ht="15" customHeight="1">
      <c r="H31" s="44"/>
      <c r="I31" s="31"/>
      <c r="J31" s="33"/>
      <c r="K31" s="33"/>
      <c r="L31" s="33"/>
      <c r="M31" s="33"/>
      <c r="N31" s="33"/>
      <c r="O31" s="33"/>
      <c r="P31" s="62"/>
      <c r="Q31" s="44"/>
      <c r="R31" s="507" t="str">
        <f>R8</f>
        <v>Variation %</v>
      </c>
      <c r="S31" s="507"/>
      <c r="T31" s="507"/>
      <c r="U31" s="507"/>
      <c r="V31" s="44"/>
    </row>
    <row r="32" spans="2:22" ht="15" customHeight="1">
      <c r="H32" s="44"/>
      <c r="I32" s="400" t="str">
        <f>IF('Summary | Sumário'!$D$3=Names!$B$3,Names!BP41,Names!BQ41)</f>
        <v>Managerial Balance Sheet (R$ Billions)</v>
      </c>
      <c r="J32" s="46" t="str">
        <f t="shared" ref="J32:P32" si="8">J9</f>
        <v>3Q22</v>
      </c>
      <c r="K32" s="46" t="str">
        <f t="shared" si="8"/>
        <v>4Q22</v>
      </c>
      <c r="L32" s="46" t="str">
        <f t="shared" si="8"/>
        <v>1Q23</v>
      </c>
      <c r="M32" s="46" t="str">
        <f t="shared" si="8"/>
        <v>2Q23</v>
      </c>
      <c r="N32" s="46" t="str">
        <f t="shared" si="8"/>
        <v>3Q23</v>
      </c>
      <c r="O32" s="46" t="str">
        <f t="shared" si="8"/>
        <v>4Q23</v>
      </c>
      <c r="P32" s="483" t="str">
        <f t="shared" si="8"/>
        <v>4Q23S</v>
      </c>
      <c r="Q32" s="47"/>
      <c r="R32" s="164" t="str">
        <f>R9</f>
        <v>Δ QoQS</v>
      </c>
      <c r="S32" s="164" t="str">
        <f>S9</f>
        <v>Δ QoQ Actual</v>
      </c>
      <c r="T32" s="164" t="str">
        <f>T9</f>
        <v>ΔYoYS</v>
      </c>
      <c r="U32" s="164" t="str">
        <f>U9</f>
        <v>ΔYoY Actual</v>
      </c>
      <c r="V32" s="44"/>
    </row>
    <row r="33" spans="2:22" ht="15" customHeight="1">
      <c r="H33" s="44"/>
      <c r="I33" s="122" t="str">
        <f>IF('Summary | Sumário'!$D$3=Names!$B$3,Names!BP42,Names!BQ42)</f>
        <v>Assets</v>
      </c>
      <c r="J33" s="44"/>
      <c r="K33" s="44"/>
      <c r="L33" s="44"/>
      <c r="M33" s="44"/>
      <c r="N33" s="44"/>
      <c r="O33" s="44"/>
      <c r="P33" s="127"/>
      <c r="Q33" s="44"/>
      <c r="R33" s="167"/>
      <c r="S33" s="167"/>
      <c r="T33" s="167"/>
      <c r="U33" s="167"/>
      <c r="V33" s="44"/>
    </row>
    <row r="34" spans="2:22" ht="15" customHeight="1">
      <c r="H34" s="44"/>
      <c r="I34" s="130" t="str">
        <f>IF('Summary | Sumário'!$D$3=Names!$B$3,Names!BP43,Names!BQ43)</f>
        <v>Interest earning portfolio (IEP)</v>
      </c>
      <c r="J34" s="131">
        <f>'7.2. NIMs'!N21/1000000</f>
        <v>31.51051</v>
      </c>
      <c r="K34" s="131">
        <f>'7.2. NIMs'!O21/1000000</f>
        <v>32.675539000000001</v>
      </c>
      <c r="L34" s="131">
        <f>'7.2. NIMs'!P21/1000000</f>
        <v>32.998569170979962</v>
      </c>
      <c r="M34" s="131">
        <f>'7.2. NIMs'!Q21/1000000</f>
        <v>34.350141767574591</v>
      </c>
      <c r="N34" s="131">
        <f>'7.2. NIMs'!R21/1000000</f>
        <v>36.92061634433</v>
      </c>
      <c r="O34" s="131">
        <f>'7.2. NIMs'!S21/1000000</f>
        <v>41.001388191909996</v>
      </c>
      <c r="P34" s="128">
        <f>N34*(1+D18)</f>
        <v>41.001388191909996</v>
      </c>
      <c r="Q34" s="131"/>
      <c r="R34" s="176">
        <f>P34/M34-1</f>
        <v>0.19363082893049266</v>
      </c>
      <c r="S34" s="176">
        <f>N34/M34-1</f>
        <v>7.4831556566728796E-2</v>
      </c>
      <c r="T34" s="176">
        <f>P34/J34-1</f>
        <v>0.30119722568469998</v>
      </c>
      <c r="U34" s="176">
        <f>N34/J34-1</f>
        <v>0.1716921225435577</v>
      </c>
      <c r="V34" s="44"/>
    </row>
    <row r="35" spans="2:22" ht="15" customHeight="1">
      <c r="H35" s="44"/>
      <c r="I35" s="124" t="str">
        <f>IF('Summary | Sumário'!$D$3=Names!$B$3,Names!BP63,Names!BQ63)</f>
        <v>Gross loans and advances to customers</v>
      </c>
      <c r="J35" s="32">
        <f>'7.6. Cost of Risk'!N8/1000000</f>
        <v>22.035053999999999</v>
      </c>
      <c r="K35" s="32">
        <f>'7.6. Cost of Risk'!O8/1000000</f>
        <v>24.543993</v>
      </c>
      <c r="L35" s="32">
        <f>'7.6. Cost of Risk'!P8/1000000</f>
        <v>25.129297999999999</v>
      </c>
      <c r="M35" s="32">
        <f>'7.6. Cost of Risk'!Q8/1000000</f>
        <v>26.474360000000001</v>
      </c>
      <c r="N35" s="32">
        <f>'7.6. Cost of Risk'!R8/1000000</f>
        <v>28.258742999999999</v>
      </c>
      <c r="O35" s="32">
        <f>'7.6. Cost of Risk'!S8/1000000</f>
        <v>31.020837</v>
      </c>
      <c r="P35" s="128">
        <f>O35/O34*P34</f>
        <v>31.020837</v>
      </c>
      <c r="Q35" s="32"/>
      <c r="R35" s="177"/>
      <c r="S35" s="177"/>
      <c r="T35" s="177"/>
      <c r="U35" s="177"/>
      <c r="V35" s="44"/>
    </row>
    <row r="36" spans="2:22" ht="15" customHeight="1">
      <c r="D36" s="67"/>
      <c r="H36" s="44"/>
      <c r="I36" s="130" t="str">
        <f>IF('Summary | Sumário'!$D$3=Names!$B$3,Names!BP44,Names!BQ44)</f>
        <v>Other assets</v>
      </c>
      <c r="J36" s="131">
        <f>J37-J34</f>
        <v>12.333557000000003</v>
      </c>
      <c r="K36" s="131">
        <f t="shared" ref="K36:N36" si="9">K37-K34</f>
        <v>13.667560999999999</v>
      </c>
      <c r="L36" s="131">
        <f t="shared" si="9"/>
        <v>14.702524829020035</v>
      </c>
      <c r="M36" s="131">
        <f t="shared" si="9"/>
        <v>15.65318723242541</v>
      </c>
      <c r="N36" s="131">
        <f t="shared" si="9"/>
        <v>18.15822365567</v>
      </c>
      <c r="O36" s="131">
        <f t="shared" ref="O36" si="10">O37-O34</f>
        <v>19.350408603000005</v>
      </c>
      <c r="P36" s="128">
        <f>O36</f>
        <v>19.350408603000005</v>
      </c>
      <c r="Q36" s="131"/>
      <c r="R36" s="176">
        <f>P36/M36-1</f>
        <v>0.236196074044003</v>
      </c>
      <c r="S36" s="176">
        <f>N36/M36-1</f>
        <v>0.16003363315398378</v>
      </c>
      <c r="T36" s="176">
        <f>P36/J36-1</f>
        <v>0.5689235962504573</v>
      </c>
      <c r="U36" s="176">
        <f>N36/J36-1</f>
        <v>0.4722617048488118</v>
      </c>
      <c r="V36" s="44"/>
    </row>
    <row r="37" spans="2:22" ht="15" customHeight="1">
      <c r="D37" s="76"/>
      <c r="H37" s="44"/>
      <c r="I37" s="53" t="str">
        <f>IF('Summary | Sumário'!$D$3=Names!$B$3,Names!BP45,Names!BQ45)</f>
        <v>Total assets</v>
      </c>
      <c r="J37" s="38">
        <f>'2. BS | BP'!N17/1000000</f>
        <v>43.844067000000003</v>
      </c>
      <c r="K37" s="38">
        <f>'2. BS | BP'!O17/1000000</f>
        <v>46.3431</v>
      </c>
      <c r="L37" s="38">
        <f>'2. BS | BP'!P17/1000000</f>
        <v>47.701093999999998</v>
      </c>
      <c r="M37" s="38">
        <f>'2. BS | BP'!Q17/1000000</f>
        <v>50.003329000000001</v>
      </c>
      <c r="N37" s="38">
        <f>'2. BS | BP'!R17/1000000</f>
        <v>55.07884</v>
      </c>
      <c r="O37" s="38">
        <f>'2. BS | BP'!S17/1000000</f>
        <v>60.351796794910001</v>
      </c>
      <c r="P37" s="129">
        <f>P34+P36</f>
        <v>60.351796794910001</v>
      </c>
      <c r="Q37" s="38"/>
      <c r="R37" s="170">
        <f>P37/M37-1</f>
        <v>0.20695557679589682</v>
      </c>
      <c r="S37" s="170">
        <f>N37/M37-1</f>
        <v>0.10150346189950676</v>
      </c>
      <c r="T37" s="170">
        <f>P37/J37-1</f>
        <v>0.37651000293631509</v>
      </c>
      <c r="U37" s="170">
        <f>N37/J37-1</f>
        <v>0.25624386077140149</v>
      </c>
      <c r="V37" s="44"/>
    </row>
    <row r="38" spans="2:22" ht="15" customHeight="1">
      <c r="H38" s="44"/>
      <c r="I38" s="132"/>
      <c r="J38" s="132"/>
      <c r="K38" s="132"/>
      <c r="L38" s="132"/>
      <c r="M38" s="132"/>
      <c r="N38" s="132"/>
      <c r="O38" s="132"/>
      <c r="P38" s="127"/>
      <c r="Q38" s="132"/>
      <c r="R38" s="132"/>
      <c r="S38" s="132"/>
      <c r="T38" s="132"/>
      <c r="U38" s="132"/>
      <c r="V38" s="44"/>
    </row>
    <row r="39" spans="2:22" ht="15" customHeight="1">
      <c r="H39" s="44"/>
      <c r="I39" s="122" t="str">
        <f>IF('Summary | Sumário'!$D$3=Names!$B$3,Names!BP47,Names!BQ47)</f>
        <v>Liabilities + equity</v>
      </c>
      <c r="J39" s="44"/>
      <c r="K39" s="44"/>
      <c r="L39" s="44"/>
      <c r="M39" s="44"/>
      <c r="N39" s="44"/>
      <c r="O39" s="44"/>
      <c r="P39" s="127"/>
      <c r="Q39" s="44"/>
      <c r="R39" s="167"/>
      <c r="S39" s="167"/>
      <c r="T39" s="167"/>
      <c r="U39" s="167"/>
      <c r="V39" s="44"/>
    </row>
    <row r="40" spans="2:22" ht="15" customHeight="1">
      <c r="H40" s="44"/>
      <c r="I40" s="130" t="str">
        <f>IF('Summary | Sumário'!$D$3=Names!$B$3,Names!BP48,Names!BQ48)</f>
        <v>Total funding</v>
      </c>
      <c r="J40" s="131">
        <f>'5. Funding'!N15/1000000</f>
        <v>30.688589</v>
      </c>
      <c r="K40" s="131">
        <f>'5. Funding'!O15/1000000</f>
        <v>32.516818000000001</v>
      </c>
      <c r="L40" s="131">
        <f>'5. Funding'!P15/1000000</f>
        <v>33.532685000000001</v>
      </c>
      <c r="M40" s="131">
        <f>'5. Funding'!Q15/1000000</f>
        <v>35.665087040739998</v>
      </c>
      <c r="N40" s="131">
        <f>'5. Funding'!R15/1000000</f>
        <v>39.571626560479999</v>
      </c>
      <c r="O40" s="131">
        <f>'5. Funding'!S15/1000000</f>
        <v>43.513032000000003</v>
      </c>
      <c r="P40" s="128">
        <f>O40/O34*P34</f>
        <v>43.513032000000003</v>
      </c>
      <c r="Q40" s="131"/>
      <c r="R40" s="176">
        <f>P40/M40-1</f>
        <v>0.22004558548519304</v>
      </c>
      <c r="S40" s="176">
        <f>N40/M40-1</f>
        <v>0.10953399651815188</v>
      </c>
      <c r="T40" s="176">
        <f>P40/J40-1</f>
        <v>0.41788962666220986</v>
      </c>
      <c r="U40" s="176">
        <f>N40/J40-1</f>
        <v>0.28945734717487337</v>
      </c>
      <c r="V40" s="44"/>
    </row>
    <row r="41" spans="2:22" ht="15" customHeight="1">
      <c r="H41" s="44"/>
      <c r="I41" s="48" t="str">
        <f>IF('Summary | Sumário'!$D$3=Names!$B$3,Names!BP49,Names!BQ49)</f>
        <v>Other liabilities</v>
      </c>
      <c r="J41" s="32">
        <f>J43-J40-J42</f>
        <v>6.0150830000000024</v>
      </c>
      <c r="K41" s="32">
        <f t="shared" ref="K41:N41" si="11">K43-K40-K42</f>
        <v>6.7371779999999992</v>
      </c>
      <c r="L41" s="32">
        <f t="shared" si="11"/>
        <v>7.0285029999999971</v>
      </c>
      <c r="M41" s="32">
        <f t="shared" si="11"/>
        <v>7.0205839592600032</v>
      </c>
      <c r="N41" s="32">
        <f t="shared" si="11"/>
        <v>8.13898643952</v>
      </c>
      <c r="O41" s="32">
        <f t="shared" ref="O41" si="12">O43-O40-O42</f>
        <v>9.2420737949099987</v>
      </c>
      <c r="P41" s="128">
        <f>P43-P40-P42</f>
        <v>9.2420736591500479</v>
      </c>
      <c r="Q41" s="32"/>
      <c r="R41" s="177">
        <f>P41/M41-1</f>
        <v>0.31642520234516192</v>
      </c>
      <c r="S41" s="177">
        <f>N41/M41-1</f>
        <v>0.15930334096850274</v>
      </c>
      <c r="T41" s="177">
        <f>P41/J41-1</f>
        <v>0.53648314730653657</v>
      </c>
      <c r="U41" s="177">
        <f>N41/J41-1</f>
        <v>0.35309628138464544</v>
      </c>
      <c r="V41" s="44"/>
    </row>
    <row r="42" spans="2:22" ht="15" customHeight="1">
      <c r="H42" s="44"/>
      <c r="I42" s="130" t="str">
        <f>IF('Summary | Sumário'!$D$3=Names!$B$3,Names!BP50,Names!BQ50)</f>
        <v>Equity</v>
      </c>
      <c r="J42" s="131">
        <f>'2. BS | BP'!N38/1000000</f>
        <v>7.1403949999999998</v>
      </c>
      <c r="K42" s="131">
        <f>'2. BS | BP'!O38/1000000</f>
        <v>7.0891039999999998</v>
      </c>
      <c r="L42" s="131">
        <f>'2. BS | BP'!P38/1000000</f>
        <v>7.1399059999999999</v>
      </c>
      <c r="M42" s="131">
        <f>'2. BS | BP'!Q38/1000000</f>
        <v>7.3176579999999998</v>
      </c>
      <c r="N42" s="131">
        <f>'2. BS | BP'!R38/1000000</f>
        <v>7.3682270000000001</v>
      </c>
      <c r="O42" s="131">
        <f>'2. BS | BP'!S38/1000000</f>
        <v>7.5966909999999999</v>
      </c>
      <c r="P42" s="128">
        <f>O42+(P26-O26)/1000</f>
        <v>7.5966911357599516</v>
      </c>
      <c r="Q42" s="131"/>
      <c r="R42" s="176">
        <f>P42/M42-1</f>
        <v>3.8131480831702147E-2</v>
      </c>
      <c r="S42" s="176">
        <f>N42/M42-1</f>
        <v>6.9105443298935754E-3</v>
      </c>
      <c r="T42" s="176">
        <f>P42/J42-1</f>
        <v>6.390348653820288E-2</v>
      </c>
      <c r="U42" s="176">
        <f>N42/J42-1</f>
        <v>3.1907478507841702E-2</v>
      </c>
      <c r="V42" s="44"/>
    </row>
    <row r="43" spans="2:22" ht="15" customHeight="1">
      <c r="H43" s="44"/>
      <c r="I43" s="53" t="str">
        <f>IF('Summary | Sumário'!$D$3=Names!$B$3,Names!BP51,Names!BQ51)</f>
        <v>Total liabilities</v>
      </c>
      <c r="J43" s="38">
        <f>J37</f>
        <v>43.844067000000003</v>
      </c>
      <c r="K43" s="38">
        <f t="shared" ref="K43:N43" si="13">K37</f>
        <v>46.3431</v>
      </c>
      <c r="L43" s="38">
        <f t="shared" si="13"/>
        <v>47.701093999999998</v>
      </c>
      <c r="M43" s="38">
        <f t="shared" si="13"/>
        <v>50.003329000000001</v>
      </c>
      <c r="N43" s="38">
        <f t="shared" si="13"/>
        <v>55.07884</v>
      </c>
      <c r="O43" s="38">
        <f t="shared" ref="O43" si="14">O37</f>
        <v>60.351796794910001</v>
      </c>
      <c r="P43" s="129">
        <f>P37</f>
        <v>60.351796794910001</v>
      </c>
      <c r="Q43" s="123"/>
      <c r="R43" s="178">
        <f>P43/M43-1</f>
        <v>0.20695557679589682</v>
      </c>
      <c r="S43" s="178">
        <f>N43/M43-1</f>
        <v>0.10150346189950676</v>
      </c>
      <c r="T43" s="178">
        <f>P43/J43-1</f>
        <v>0.37651000293631509</v>
      </c>
      <c r="U43" s="178">
        <f>N43/J43-1</f>
        <v>0.25624386077140149</v>
      </c>
      <c r="V43" s="44"/>
    </row>
    <row r="44" spans="2:22" ht="15" customHeight="1">
      <c r="H44" s="44"/>
      <c r="I44" s="44"/>
      <c r="J44" s="44"/>
      <c r="K44" s="44"/>
      <c r="L44" s="44"/>
      <c r="M44" s="44"/>
      <c r="N44" s="44"/>
      <c r="O44" s="44"/>
      <c r="P44" s="44"/>
      <c r="Q44" s="44"/>
      <c r="R44" s="44"/>
      <c r="S44" s="44"/>
      <c r="T44" s="44"/>
      <c r="U44" s="44"/>
      <c r="V44" s="44"/>
    </row>
    <row r="46" spans="2:22" ht="15" customHeight="1">
      <c r="B46" s="61"/>
      <c r="C46" s="61"/>
      <c r="D46" s="61"/>
      <c r="E46" s="72"/>
      <c r="F46" s="72"/>
      <c r="G46" s="61"/>
      <c r="H46" s="61"/>
      <c r="I46" s="61"/>
      <c r="J46" s="61"/>
      <c r="K46" s="61"/>
      <c r="L46" s="61"/>
      <c r="M46" s="61"/>
      <c r="N46" s="61"/>
      <c r="O46" s="61"/>
      <c r="P46" s="61"/>
      <c r="Q46" s="61"/>
      <c r="R46" s="61"/>
      <c r="S46" s="61"/>
      <c r="T46" s="61"/>
      <c r="U46" s="61"/>
      <c r="V46" s="61"/>
    </row>
    <row r="47" spans="2:22" ht="49" customHeight="1">
      <c r="B47" s="61"/>
      <c r="C47" s="508" t="str">
        <f>IF('Summary | Sumário'!$D$3=Names!$B$3,Names!BP60,Names!BQ60)</f>
        <v>Disclaimer:
Please note that this simulation is for illustrative purposes only, does not represent actual financial data and the results may not accurately reflect real-world outcomes. The information provided is based on hypothetical scenarios and assumptions. The simulation is intended as a learning tool and does not provide any investment advice, recommendations, or guidance.
Users are advised to exercise caution when interpreting the results and are encouraged to consult with qualified financial professionals.</v>
      </c>
      <c r="D47" s="508"/>
      <c r="E47" s="508"/>
      <c r="F47" s="508"/>
      <c r="G47" s="508"/>
      <c r="H47" s="508"/>
      <c r="I47" s="508"/>
      <c r="J47" s="508"/>
      <c r="K47" s="508"/>
      <c r="L47" s="508"/>
      <c r="M47" s="508"/>
      <c r="N47" s="508"/>
      <c r="O47" s="508"/>
      <c r="P47" s="508"/>
      <c r="Q47" s="508"/>
      <c r="R47" s="508"/>
      <c r="S47" s="508"/>
      <c r="T47" s="508"/>
      <c r="U47" s="508"/>
      <c r="V47" s="508"/>
    </row>
    <row r="48" spans="2:22" ht="15" customHeight="1">
      <c r="B48" s="61"/>
      <c r="C48" s="61"/>
      <c r="D48" s="61"/>
      <c r="E48" s="72"/>
      <c r="F48" s="72"/>
      <c r="G48" s="61"/>
      <c r="H48" s="61"/>
      <c r="I48" s="61"/>
      <c r="J48" s="61"/>
      <c r="K48" s="61"/>
      <c r="L48" s="61"/>
      <c r="M48" s="61"/>
      <c r="N48" s="61"/>
      <c r="O48" s="61"/>
      <c r="P48" s="61"/>
      <c r="Q48" s="61"/>
      <c r="R48" s="61"/>
      <c r="S48" s="61"/>
      <c r="T48" s="61"/>
      <c r="U48" s="61"/>
      <c r="V48" s="61"/>
    </row>
    <row r="64" spans="9:9" ht="15" customHeight="1">
      <c r="I64" s="67"/>
    </row>
    <row r="66" spans="3:17" ht="15" customHeight="1">
      <c r="C66" s="506"/>
      <c r="D66" s="506"/>
      <c r="E66" s="506"/>
      <c r="F66" s="506"/>
      <c r="G66" s="506"/>
      <c r="H66" s="506"/>
      <c r="I66" s="506"/>
      <c r="J66" s="506"/>
      <c r="K66" s="506"/>
      <c r="L66" s="506"/>
      <c r="M66" s="506"/>
      <c r="N66" s="506"/>
      <c r="O66" s="506"/>
      <c r="P66" s="506"/>
      <c r="Q66" s="68"/>
    </row>
  </sheetData>
  <sheetProtection algorithmName="SHA-512" hashValue="KA6JDCsdcQOsLjnxZ4sFMc7+Cqi851mso2dXiC/uYf3VIXQeS/L43P4rT8oINgKwo7x9ihgCQWbHLG3+YUyI1A==" saltValue="OQzR8gpDE62iqUNZvfsUmw==" spinCount="100000" sheet="1" formatCells="0" formatColumns="0" formatRows="0" insertColumns="0" insertRows="0" insertHyperlinks="0" deleteColumns="0" deleteRows="0" sort="0" autoFilter="0" pivotTables="0"/>
  <mergeCells count="6">
    <mergeCell ref="C3:U4"/>
    <mergeCell ref="C5:V5"/>
    <mergeCell ref="C66:P66"/>
    <mergeCell ref="R8:U8"/>
    <mergeCell ref="R31:U31"/>
    <mergeCell ref="C47:V47"/>
  </mergeCells>
  <pageMargins left="0.511811024" right="0.511811024" top="0.78740157499999996" bottom="0.78740157499999996" header="0.31496062000000002" footer="0.31496062000000002"/>
  <pageSetup paperSize="9" orientation="portrait" horizontalDpi="0" verticalDpi="0"/>
  <ignoredErrors>
    <ignoredError sqref="G64 J64:N64 D64:E64 D27 P18:P19 P41 P23:P24 J26:M26 P43 P13 J12:N12 P10 P15:P16 P20 P26 P38:P39 P37 J38:N39 J15:N16 J13:N13 J43:N43 J23:N24 J41:N41 J18:N19 J36:N36" unlockedFormula="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3AFE-1A05-E54A-9DA1-4A8675E3D330}">
  <sheetPr>
    <tabColor theme="0" tint="-0.14999847407452621"/>
  </sheetPr>
  <dimension ref="A1:A33"/>
  <sheetViews>
    <sheetView showGridLines="0" zoomScaleNormal="100" workbookViewId="0"/>
  </sheetViews>
  <sheetFormatPr baseColWidth="10" defaultColWidth="10.83203125" defaultRowHeight="15" customHeight="1"/>
  <cols>
    <col min="1" max="16" width="10.83203125" style="4" customWidth="1"/>
    <col min="17" max="16384" width="10.83203125" style="4"/>
  </cols>
  <sheetData>
    <row r="1"/>
    <row r="2"/>
    <row r="3"/>
    <row r="4"/>
    <row r="5"/>
    <row r="6"/>
    <row r="7"/>
    <row r="8"/>
    <row r="9"/>
    <row r="10"/>
    <row r="11"/>
    <row r="12"/>
    <row r="13"/>
    <row r="14"/>
    <row r="15"/>
    <row r="16"/>
    <row r="17"/>
    <row r="18"/>
    <row r="19"/>
    <row r="20"/>
    <row r="21"/>
    <row r="22"/>
    <row r="23"/>
    <row r="24"/>
    <row r="25"/>
    <row r="26"/>
    <row r="27"/>
    <row r="28"/>
    <row r="29"/>
    <row r="30"/>
    <row r="31"/>
    <row r="32"/>
    <row r="33"/>
  </sheetData>
  <sheetProtection algorithmName="SHA-512" hashValue="zKs9tLWYgQ18dhOgHFYiZeGaZKF3aavVRfgAQNgp1lNu1SRxSAP3OhiAVdxbLZvFFuhmcvpvG/UE/tp1UTPJSg==" saltValue="GPmDQsGpXjRKDrtL/bla4Q==" spinCount="100000" sheet="1" scenarios="1" selectLockedCells="1" selectUnlockedCells="1"/>
  <pageMargins left="0.7" right="0.7" top="0.75" bottom="0.75" header="0.3" footer="0.3"/>
  <pageSetup paperSize="9" orientation="portrait" horizontalDpi="0" verticalDpi="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B4C1-B1C1-1C41-9FFC-03C030DA8A9B}">
  <sheetPr>
    <tabColor theme="0" tint="-0.14999847407452621"/>
  </sheetPr>
  <dimension ref="A1"/>
  <sheetViews>
    <sheetView showGridLines="0" zoomScaleNormal="100" workbookViewId="0"/>
  </sheetViews>
  <sheetFormatPr baseColWidth="10" defaultColWidth="10.83203125" defaultRowHeight="15"/>
  <cols>
    <col min="1" max="31" width="10.83203125" customWidth="1"/>
  </cols>
  <sheetData/>
  <sheetProtection algorithmName="SHA-512" hashValue="RRNHBUSHeOC7ftmaBXDTB50wG5SNZklLl1CSGkRj9V1oEhs9XqFNy4xdKxIP9i0Py7DaBgRU+vL1qA3YNAxIHQ==" saltValue="I5/4EZD+xPcXZOasA3WTtw==" spinCount="100000" sheet="1" scenarios="1" selectLockedCells="1" selectUnlockedCells="1"/>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DF2FD-FBF4-9C48-B72B-97B3EE321880}">
  <sheetPr>
    <tabColor rgb="FFEB7100"/>
  </sheetPr>
  <dimension ref="A1:V43"/>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baseColWidth="10" defaultColWidth="10.83203125" defaultRowHeight="13" customHeight="1"/>
  <cols>
    <col min="1" max="1" width="3.33203125" style="263" customWidth="1"/>
    <col min="2" max="2" width="68.33203125" style="17" bestFit="1" customWidth="1"/>
    <col min="3" max="15" width="10.83203125" style="370" customWidth="1"/>
    <col min="16" max="19" width="10.83203125" style="370"/>
    <col min="20" max="16384" width="10.83203125" style="263"/>
  </cols>
  <sheetData>
    <row r="1" spans="1:22" s="358" customFormat="1" ht="13" customHeight="1">
      <c r="B1" s="11"/>
      <c r="C1" s="359"/>
      <c r="D1" s="359"/>
      <c r="E1" s="359"/>
      <c r="F1" s="359"/>
      <c r="G1" s="359"/>
      <c r="H1" s="359"/>
      <c r="I1" s="359"/>
      <c r="J1" s="359"/>
      <c r="K1" s="359"/>
      <c r="L1" s="359"/>
      <c r="M1" s="359"/>
      <c r="N1" s="359"/>
      <c r="O1" s="359"/>
      <c r="P1" s="359"/>
      <c r="Q1" s="359"/>
      <c r="R1" s="359"/>
      <c r="S1" s="359"/>
    </row>
    <row r="2" spans="1:22" s="12" customFormat="1" ht="13" customHeight="1">
      <c r="B2" s="400" t="str">
        <f>IF('Summary | Sumário'!D3=Names!B3,Names!BL1,Names!BM1)</f>
        <v>Highlights of the Quarter | 4Q23</v>
      </c>
      <c r="C2" s="22" t="str">
        <f>IF('Summary | Sumário'!D3=Names!B3,Names!C10,Names!D10)</f>
        <v>1Q22</v>
      </c>
      <c r="D2" s="22" t="str">
        <f>IF('Summary | Sumário'!D3=Names!B3,Names!C11,Names!D11)</f>
        <v>2Q22</v>
      </c>
      <c r="E2" s="22" t="str">
        <f>IF('Summary | Sumário'!D3=Names!B3,Names!C12,Names!D12)</f>
        <v>3Q22</v>
      </c>
      <c r="F2" s="22" t="str">
        <f>IF('Summary | Sumário'!D3=Names!B3,Names!C13,Names!D13)</f>
        <v>4Q22</v>
      </c>
      <c r="G2" s="22" t="str">
        <f>IF('Summary | Sumário'!D3=Names!B3,Names!C14,Names!D14)</f>
        <v>1Q23</v>
      </c>
      <c r="H2" s="22" t="str">
        <f>IF('Summary | Sumário'!D3=Names!B3,Names!C15,Names!D15)</f>
        <v>2Q23</v>
      </c>
      <c r="I2" s="22" t="str">
        <f>IF('Summary | Sumário'!D3=Names!B3,Names!C16,Names!D16)</f>
        <v>3Q23</v>
      </c>
      <c r="J2" s="402" t="str">
        <f>IF('Summary | Sumário'!D3=Names!B3,Names!C17,Names!D17)</f>
        <v>4Q23</v>
      </c>
      <c r="K2" s="188" t="s">
        <v>828</v>
      </c>
      <c r="L2" s="188" t="s">
        <v>829</v>
      </c>
      <c r="M2" s="23"/>
      <c r="N2" s="23"/>
      <c r="O2" s="23"/>
      <c r="P2" s="23"/>
      <c r="Q2" s="23"/>
      <c r="R2" s="89"/>
      <c r="S2" s="13"/>
      <c r="U2" s="14"/>
      <c r="V2" s="15"/>
    </row>
    <row r="3" spans="1:22" s="218" customFormat="1" ht="13" customHeight="1">
      <c r="B3" s="21"/>
      <c r="C3" s="213"/>
      <c r="D3" s="213"/>
      <c r="E3" s="213"/>
      <c r="F3" s="213"/>
      <c r="G3" s="213"/>
      <c r="H3" s="214"/>
      <c r="I3" s="214"/>
      <c r="J3" s="214"/>
      <c r="K3" s="213"/>
      <c r="L3" s="213"/>
      <c r="M3" s="214"/>
      <c r="N3" s="214"/>
      <c r="O3" s="214"/>
      <c r="P3" s="214"/>
      <c r="Q3" s="214"/>
      <c r="R3" s="216"/>
      <c r="S3" s="217"/>
      <c r="U3" s="219"/>
      <c r="V3" s="220"/>
    </row>
    <row r="4" spans="1:22" ht="13" customHeight="1">
      <c r="A4" s="354"/>
      <c r="B4" s="403" t="str">
        <f>IF('Summary | Sumário'!D3=Names!B3,Names!BL4,Names!BM4)</f>
        <v>Unit Economics</v>
      </c>
      <c r="C4" s="263"/>
      <c r="D4" s="263"/>
      <c r="E4" s="263"/>
      <c r="F4" s="263"/>
      <c r="G4" s="263"/>
      <c r="H4" s="263"/>
      <c r="I4" s="263"/>
      <c r="J4" s="263"/>
      <c r="K4" s="263"/>
      <c r="L4" s="263"/>
      <c r="N4" s="363"/>
      <c r="O4" s="363"/>
      <c r="P4" s="363"/>
      <c r="Q4" s="363"/>
      <c r="R4" s="363"/>
      <c r="S4" s="363"/>
    </row>
    <row r="5" spans="1:22" ht="13" customHeight="1">
      <c r="A5" s="354"/>
      <c r="B5" s="404" t="str">
        <f>IF('Summary | Sumário'!D3=Names!B3,Names!BL5,Names!BM5)</f>
        <v>Total Clients (mm)</v>
      </c>
      <c r="C5" s="405">
        <f>'5. Oper. KPIs | KPIs Oper.'!I7</f>
        <v>18.574000000000002</v>
      </c>
      <c r="D5" s="405">
        <f>'5. Oper. KPIs | KPIs Oper.'!J7</f>
        <v>20.724375999999999</v>
      </c>
      <c r="E5" s="405">
        <f>'5. Oper. KPIs | KPIs Oper.'!K7</f>
        <v>22.766031999999999</v>
      </c>
      <c r="F5" s="405">
        <f>'5. Oper. KPIs | KPIs Oper.'!L7</f>
        <v>24.662092999999999</v>
      </c>
      <c r="G5" s="405">
        <f>'5. Oper. KPIs | KPIs Oper.'!M7</f>
        <v>26.288263000000001</v>
      </c>
      <c r="H5" s="405">
        <f>'5. Oper. KPIs | KPIs Oper.'!N7</f>
        <v>27.774601000000001</v>
      </c>
      <c r="I5" s="405">
        <f>'5. Oper. KPIs | KPIs Oper.'!O7</f>
        <v>29.374635000000001</v>
      </c>
      <c r="J5" s="405">
        <f>'5. Oper. KPIs | KPIs Oper.'!P7</f>
        <v>30.363865000000001</v>
      </c>
      <c r="K5" s="406">
        <f>J5/I5-1</f>
        <v>3.3676333339971665E-2</v>
      </c>
      <c r="L5" s="406">
        <f>J5/F5-1</f>
        <v>0.23119578699180154</v>
      </c>
      <c r="N5" s="363"/>
      <c r="O5" s="363"/>
      <c r="P5" s="363"/>
      <c r="Q5" s="363"/>
      <c r="R5" s="363"/>
      <c r="S5" s="363"/>
    </row>
    <row r="6" spans="1:22" ht="13" customHeight="1">
      <c r="A6" s="354"/>
      <c r="B6" s="18" t="str">
        <f>IF('Summary | Sumário'!D3=Names!B3,Names!BL6,Names!BM6)</f>
        <v>Active Clients (mm)</v>
      </c>
      <c r="C6" s="373">
        <f>'5. Oper. KPIs | KPIs Oper.'!I8</f>
        <v>9.6228320000000007</v>
      </c>
      <c r="D6" s="373">
        <f>'5. Oper. KPIs | KPIs Oper.'!J8</f>
        <v>10.716208999999999</v>
      </c>
      <c r="E6" s="373">
        <f>'5. Oper. KPIs | KPIs Oper.'!K8</f>
        <v>11.649274</v>
      </c>
      <c r="F6" s="373">
        <f>'5. Oper. KPIs | KPIs Oper.'!L8</f>
        <v>12.584403999999999</v>
      </c>
      <c r="G6" s="373">
        <f>'5. Oper. KPIs | KPIs Oper.'!M8</f>
        <v>13.540568</v>
      </c>
      <c r="H6" s="373">
        <f>'5. Oper. KPIs | KPIs Oper.'!N8</f>
        <v>14.494907</v>
      </c>
      <c r="I6" s="373">
        <f>'5. Oper. KPIs | KPIs Oper.'!O8</f>
        <v>15.47322</v>
      </c>
      <c r="J6" s="373">
        <f>'5. Oper. KPIs | KPIs Oper.'!P8</f>
        <v>16.405394000000001</v>
      </c>
      <c r="K6" s="374">
        <f>J6/I6-1</f>
        <v>6.0244344745308487E-2</v>
      </c>
      <c r="L6" s="374">
        <f t="shared" ref="L6:L9" si="0">J6/F6-1</f>
        <v>0.30362899983185554</v>
      </c>
      <c r="N6" s="363"/>
      <c r="O6" s="363"/>
      <c r="P6" s="363"/>
      <c r="Q6" s="363"/>
      <c r="R6" s="363"/>
      <c r="S6" s="363"/>
    </row>
    <row r="7" spans="1:22" ht="13" customHeight="1">
      <c r="A7" s="354"/>
      <c r="B7" s="24" t="str">
        <f>IF('Summary | Sumário'!D3=Names!B3,Names!BL7,Names!BM7)</f>
        <v>Gross ARPAC (R$)</v>
      </c>
      <c r="C7" s="371">
        <f>'7.5. ARPAC'!L16</f>
        <v>45.637602004130095</v>
      </c>
      <c r="D7" s="371">
        <f>'7.5. ARPAC'!M16</f>
        <v>47.272647711128187</v>
      </c>
      <c r="E7" s="371">
        <f>'7.5. ARPAC'!N16</f>
        <v>45.89827789545167</v>
      </c>
      <c r="F7" s="371">
        <f>'7.5. ARPAC'!O16</f>
        <v>46.871330110655649</v>
      </c>
      <c r="G7" s="371">
        <f>'7.5. ARPAC'!P16</f>
        <v>45.928746437189162</v>
      </c>
      <c r="H7" s="371">
        <f>'7.5. ARPAC'!Q16</f>
        <v>46.097358198258931</v>
      </c>
      <c r="I7" s="371">
        <f>'7.5. ARPAC'!R16</f>
        <v>47.683228896709714</v>
      </c>
      <c r="J7" s="371">
        <f>'7.5. ARPAC'!S16</f>
        <v>45.943992190292001</v>
      </c>
      <c r="K7" s="372">
        <f>J7/I7-1</f>
        <v>-3.6474809836917865E-2</v>
      </c>
      <c r="L7" s="372">
        <f t="shared" si="0"/>
        <v>-1.9784757935700892E-2</v>
      </c>
      <c r="O7" s="363"/>
      <c r="P7" s="363"/>
      <c r="Q7" s="363"/>
      <c r="R7" s="363"/>
      <c r="S7" s="363"/>
    </row>
    <row r="8" spans="1:22" ht="13" customHeight="1">
      <c r="A8" s="354"/>
      <c r="B8" s="18" t="str">
        <f>IF('Summary | Sumário'!D3=Names!B3,Names!BL8,Names!BM8)</f>
        <v>CTS (R$)</v>
      </c>
      <c r="C8" s="373">
        <f>'7.4. CTS | Custo de servir'!L14</f>
        <v>17.504516477667522</v>
      </c>
      <c r="D8" s="373">
        <f>'7.4. CTS | Custo de servir'!M14</f>
        <v>15.659009047475479</v>
      </c>
      <c r="E8" s="373">
        <f>'7.4. CTS | Custo de servir'!N14</f>
        <v>15.811985206549455</v>
      </c>
      <c r="F8" s="373">
        <f>'7.4. CTS | Custo de servir'!O14</f>
        <v>17.144369708964526</v>
      </c>
      <c r="G8" s="373">
        <f>'7.4. CTS | Custo de servir'!P14</f>
        <v>13.841844617734584</v>
      </c>
      <c r="H8" s="373">
        <f>'7.4. CTS | Custo de servir'!Q14</f>
        <v>12.525885414818189</v>
      </c>
      <c r="I8" s="373">
        <f>'7.4. CTS | Custo de servir'!R14</f>
        <v>12.654836511248545</v>
      </c>
      <c r="J8" s="373">
        <f>'7.4. CTS | Custo de servir'!S14</f>
        <v>12.494674203389399</v>
      </c>
      <c r="K8" s="374">
        <f>J8/I8-1</f>
        <v>-1.2656213117947623E-2</v>
      </c>
      <c r="L8" s="374">
        <f t="shared" si="0"/>
        <v>-0.2712083082963308</v>
      </c>
      <c r="O8" s="363"/>
      <c r="P8" s="363"/>
      <c r="Q8" s="363"/>
      <c r="R8" s="363"/>
      <c r="S8" s="363"/>
    </row>
    <row r="9" spans="1:22" ht="13" customHeight="1">
      <c r="A9" s="354"/>
      <c r="B9" s="24" t="str">
        <f>IF('Summary | Sumário'!D3=Names!B3,Names!BL9,Names!BM9)</f>
        <v>CAC (R$)</v>
      </c>
      <c r="C9" s="371">
        <f>'5. Oper. KPIs | KPIs Oper.'!I5</f>
        <v>29.04</v>
      </c>
      <c r="D9" s="371">
        <f>'5. Oper. KPIs | KPIs Oper.'!J5</f>
        <v>32.090000000000003</v>
      </c>
      <c r="E9" s="371">
        <f>'5. Oper. KPIs | KPIs Oper.'!K5</f>
        <v>28.25</v>
      </c>
      <c r="F9" s="371">
        <f>'5. Oper. KPIs | KPIs Oper.'!L5</f>
        <v>30.44</v>
      </c>
      <c r="G9" s="371">
        <f>'5. Oper. KPIs | KPIs Oper.'!M5</f>
        <v>29.799999999999997</v>
      </c>
      <c r="H9" s="371">
        <f>'5. Oper. KPIs | KPIs Oper.'!N5</f>
        <v>27.06</v>
      </c>
      <c r="I9" s="371">
        <f>'5. Oper. KPIs | KPIs Oper.'!O5</f>
        <v>25.86</v>
      </c>
      <c r="J9" s="371">
        <f>'5. Oper. KPIs | KPIs Oper.'!P5</f>
        <v>24.645735842009003</v>
      </c>
      <c r="K9" s="372">
        <f>J9/I9-1</f>
        <v>-4.6955303866627829E-2</v>
      </c>
      <c r="L9" s="372">
        <f t="shared" si="0"/>
        <v>-0.1903503337053547</v>
      </c>
      <c r="O9" s="363"/>
      <c r="P9" s="363"/>
      <c r="Q9" s="363"/>
      <c r="R9" s="363"/>
      <c r="S9" s="363"/>
    </row>
    <row r="10" spans="1:22" ht="13" customHeight="1">
      <c r="A10" s="354"/>
      <c r="B10" s="18"/>
      <c r="C10" s="363"/>
      <c r="D10" s="363"/>
      <c r="E10" s="363"/>
      <c r="F10" s="363"/>
      <c r="G10" s="363"/>
      <c r="H10" s="363"/>
      <c r="I10" s="363"/>
      <c r="J10" s="363"/>
      <c r="K10" s="375"/>
      <c r="L10" s="375"/>
      <c r="O10" s="363"/>
      <c r="P10" s="363"/>
      <c r="Q10" s="363"/>
      <c r="R10" s="363"/>
      <c r="S10" s="363"/>
    </row>
    <row r="11" spans="1:22" ht="13" customHeight="1">
      <c r="A11" s="354"/>
      <c r="B11" s="407" t="str">
        <f>IF('Summary | Sumário'!$D$3=Names!$B$3,Names!BL11,Names!BM11)</f>
        <v>Income Statement</v>
      </c>
      <c r="C11" s="408"/>
      <c r="D11" s="408"/>
      <c r="E11" s="408"/>
      <c r="F11" s="408"/>
      <c r="G11" s="408"/>
      <c r="H11" s="408"/>
      <c r="I11" s="408"/>
      <c r="J11" s="408"/>
      <c r="K11" s="409"/>
      <c r="L11" s="409"/>
      <c r="O11" s="363"/>
      <c r="P11" s="363"/>
      <c r="Q11" s="363"/>
      <c r="R11" s="363"/>
      <c r="S11" s="363"/>
    </row>
    <row r="12" spans="1:22" ht="13" customHeight="1">
      <c r="A12" s="354"/>
      <c r="B12" s="412" t="str">
        <f>IF('Summary | Sumário'!$D$3=Names!$B$3,Names!BL12,Names!BM12)</f>
        <v>Gross Revenue (R$ mm)</v>
      </c>
      <c r="C12" s="413">
        <f>'7.5. ARPAC'!L6/1000</f>
        <v>1281.3496319999999</v>
      </c>
      <c r="D12" s="413">
        <f>'7.5. ARPAC'!M6/1000</f>
        <v>1461.2656370000002</v>
      </c>
      <c r="E12" s="413">
        <f>'7.5. ARPAC'!N6/1000</f>
        <v>1539.8057310000002</v>
      </c>
      <c r="F12" s="413">
        <f>'7.5. ARPAC'!O6/1000</f>
        <v>1703.797082</v>
      </c>
      <c r="G12" s="413">
        <f>'7.5. ARPAC'!P6/1000</f>
        <v>1799.8308220000001</v>
      </c>
      <c r="H12" s="413">
        <f>'7.5. ARPAC'!Q6/1000</f>
        <v>1938.5419999999999</v>
      </c>
      <c r="I12" s="413">
        <f>'7.5. ARPAC'!R6/1000</f>
        <v>2143.4655890199997</v>
      </c>
      <c r="J12" s="413">
        <f>'7.5. ARPAC'!S6/1000</f>
        <v>2196.94618898</v>
      </c>
      <c r="K12" s="414">
        <f>J12/I12-1</f>
        <v>2.4950528823022511E-2</v>
      </c>
      <c r="L12" s="414">
        <f t="shared" ref="L12:L15" si="1">J12/F12-1</f>
        <v>0.28944122054788202</v>
      </c>
      <c r="O12" s="363"/>
      <c r="P12" s="363"/>
      <c r="Q12" s="363"/>
      <c r="R12" s="363"/>
      <c r="S12" s="363"/>
    </row>
    <row r="13" spans="1:22" ht="13" customHeight="1">
      <c r="A13" s="354"/>
      <c r="B13" s="24" t="str">
        <f>IF('Summary | Sumário'!$D$3=Names!$B$3,Names!BL13,Names!BM13)</f>
        <v>Net Revenues (R$ mm)</v>
      </c>
      <c r="C13" s="328">
        <f>'3. IS | DRE'!L12/1000</f>
        <v>833.52063199999998</v>
      </c>
      <c r="D13" s="328">
        <f>'3. IS | DRE'!M12/1000</f>
        <v>877.02063700000008</v>
      </c>
      <c r="E13" s="328">
        <f>'3. IS | DRE'!N12/1000</f>
        <v>850.30373100000008</v>
      </c>
      <c r="F13" s="328">
        <f>'3. IS | DRE'!O12/1000</f>
        <v>1001.8520819999999</v>
      </c>
      <c r="G13" s="328">
        <f>'3. IS | DRE'!P12/1000</f>
        <v>1024.113822</v>
      </c>
      <c r="H13" s="328">
        <f>'3. IS | DRE'!Q12/1000</f>
        <v>1150.0340000000001</v>
      </c>
      <c r="I13" s="328">
        <f>'3. IS | DRE'!R12/1000</f>
        <v>1265.4955890200001</v>
      </c>
      <c r="J13" s="328">
        <f>'3. IS | DRE'!S12/1000</f>
        <v>1312.9335839799999</v>
      </c>
      <c r="K13" s="376">
        <f>J13/I13-1</f>
        <v>3.7485705498772726E-2</v>
      </c>
      <c r="L13" s="376">
        <f t="shared" si="1"/>
        <v>0.31050641863116879</v>
      </c>
      <c r="O13" s="363"/>
      <c r="P13" s="363"/>
      <c r="Q13" s="363"/>
      <c r="R13" s="363"/>
      <c r="S13" s="363"/>
    </row>
    <row r="14" spans="1:22" ht="13" customHeight="1">
      <c r="A14" s="354"/>
      <c r="B14" s="18" t="str">
        <f>IF('Summary | Sumário'!$D$3=Names!$B$3,Names!BL14,Names!BM14)</f>
        <v>Pre Tax Net Income (R$ mm)</v>
      </c>
      <c r="C14" s="377">
        <f>'3. IS | DRE'!L23/1000</f>
        <v>-100.09436800000002</v>
      </c>
      <c r="D14" s="377">
        <f>'3. IS | DRE'!M23/1000</f>
        <v>11.871637000000105</v>
      </c>
      <c r="E14" s="377">
        <f>'3. IS | DRE'!N23/1000</f>
        <v>-70.043268999999967</v>
      </c>
      <c r="F14" s="377">
        <f>'3. IS | DRE'!O23/1000</f>
        <v>-20.306918000000064</v>
      </c>
      <c r="G14" s="377">
        <f>'3. IS | DRE'!P23/1000</f>
        <v>5.8968220000000438</v>
      </c>
      <c r="H14" s="377">
        <f>'3. IS | DRE'!Q23/1000</f>
        <v>80.299000000000007</v>
      </c>
      <c r="I14" s="377">
        <f>'3. IS | DRE'!R23/1000</f>
        <v>145.35400000000001</v>
      </c>
      <c r="J14" s="377">
        <f>'3. IS | DRE'!S23/1000</f>
        <v>208.29117799999995</v>
      </c>
      <c r="K14" s="378">
        <f>J14/I14-1</f>
        <v>0.43299240474978284</v>
      </c>
      <c r="L14" s="378">
        <f t="shared" si="1"/>
        <v>-11.257153645865872</v>
      </c>
      <c r="O14" s="363"/>
      <c r="P14" s="363"/>
      <c r="Q14" s="363"/>
      <c r="R14" s="363"/>
      <c r="S14" s="363"/>
    </row>
    <row r="15" spans="1:22" ht="13" customHeight="1">
      <c r="A15" s="354"/>
      <c r="B15" s="24" t="str">
        <f>IF('Summary | Sumário'!$D$3=Names!$B$3,Names!BL15,Names!BM15)</f>
        <v>Net Income (R$ mm)</v>
      </c>
      <c r="C15" s="328">
        <f>'3. IS | DRE'!L26/1000</f>
        <v>-28.822368000000015</v>
      </c>
      <c r="D15" s="328">
        <f>'3. IS | DRE'!M26/1000</f>
        <v>15.525637000000104</v>
      </c>
      <c r="E15" s="328">
        <f>'3. IS | DRE'!N26/1000</f>
        <v>-29.59526899999997</v>
      </c>
      <c r="F15" s="328">
        <f>'3. IS | DRE'!O26/1000</f>
        <v>28.813081999999355</v>
      </c>
      <c r="G15" s="328">
        <f>'3. IS | DRE'!P26/1000</f>
        <v>24.216000000000001</v>
      </c>
      <c r="H15" s="328">
        <f>'3. IS | DRE'!Q26/1000</f>
        <v>64.171999999999997</v>
      </c>
      <c r="I15" s="328">
        <f>'3. IS | DRE'!R26/1000</f>
        <v>104.161</v>
      </c>
      <c r="J15" s="328">
        <f>'3. IS | DRE'!S26/1000</f>
        <v>159.71217799999997</v>
      </c>
      <c r="K15" s="376">
        <f>J15/I15-1</f>
        <v>0.53332032142548513</v>
      </c>
      <c r="L15" s="376">
        <f t="shared" si="1"/>
        <v>4.543043885413006</v>
      </c>
      <c r="O15" s="329"/>
      <c r="P15" s="329"/>
      <c r="Q15" s="329"/>
      <c r="R15" s="329"/>
      <c r="S15" s="329"/>
    </row>
    <row r="16" spans="1:22" ht="13" customHeight="1">
      <c r="A16" s="354"/>
      <c r="B16" s="189"/>
      <c r="C16" s="363"/>
      <c r="D16" s="363"/>
      <c r="E16" s="363"/>
      <c r="F16" s="363"/>
      <c r="G16" s="363"/>
      <c r="H16" s="363"/>
      <c r="I16" s="363"/>
      <c r="J16" s="363"/>
      <c r="K16" s="379"/>
      <c r="L16" s="380"/>
      <c r="O16" s="367"/>
      <c r="P16" s="367"/>
      <c r="Q16" s="367"/>
      <c r="R16" s="367"/>
      <c r="S16" s="341"/>
    </row>
    <row r="17" spans="1:20" ht="13" customHeight="1">
      <c r="A17" s="354"/>
      <c r="B17" s="26" t="str">
        <f>IF('Summary | Sumário'!$D$3=Names!$B$3,Names!BL17,Names!BM17)</f>
        <v>Balance Sheet &amp; Capital</v>
      </c>
      <c r="C17" s="408"/>
      <c r="D17" s="408"/>
      <c r="E17" s="408"/>
      <c r="F17" s="408"/>
      <c r="G17" s="408"/>
      <c r="H17" s="408"/>
      <c r="I17" s="408"/>
      <c r="J17" s="408"/>
      <c r="K17" s="410"/>
      <c r="L17" s="410"/>
      <c r="O17" s="341"/>
      <c r="P17" s="341"/>
      <c r="Q17" s="341"/>
      <c r="R17" s="341"/>
      <c r="S17" s="341"/>
      <c r="T17" s="364"/>
    </row>
    <row r="18" spans="1:20" ht="13" customHeight="1">
      <c r="A18" s="354"/>
      <c r="B18" s="415" t="str">
        <f>IF('Summary | Sumário'!$D$3=Names!$B$3,Names!BL18,Names!BM18)</f>
        <v>Gross Loan Portfolio (R$ bn)</v>
      </c>
      <c r="C18" s="413">
        <f>'4. Credit | Crédito'!I12/1000000</f>
        <v>18.523657585999999</v>
      </c>
      <c r="D18" s="413">
        <f>'4. Credit | Crédito'!J12/1000000</f>
        <v>19.864563610000001</v>
      </c>
      <c r="E18" s="413">
        <f>'4. Credit | Crédito'!K12/1000000</f>
        <v>22.035053999999999</v>
      </c>
      <c r="F18" s="413">
        <f>'4. Credit | Crédito'!L12/1000000</f>
        <v>24.543993</v>
      </c>
      <c r="G18" s="413">
        <f>'4. Credit | Crédito'!M12/1000000</f>
        <v>25.129297999999999</v>
      </c>
      <c r="H18" s="413">
        <f>'4. Credit | Crédito'!N12/1000000</f>
        <v>26.474360000000001</v>
      </c>
      <c r="I18" s="413">
        <f>'4. Credit | Crédito'!O12/1000000</f>
        <v>28.258742999999999</v>
      </c>
      <c r="J18" s="413">
        <f>'4. Credit | Crédito'!P12/1000000</f>
        <v>31.020837</v>
      </c>
      <c r="K18" s="414">
        <f>J18/I18-1</f>
        <v>9.7742988780498807E-2</v>
      </c>
      <c r="L18" s="416">
        <f t="shared" ref="L18:L20" si="2">J18/F18-1</f>
        <v>0.26388713523508578</v>
      </c>
      <c r="O18" s="341"/>
      <c r="P18" s="341"/>
      <c r="Q18" s="341"/>
      <c r="R18" s="341"/>
      <c r="S18" s="341"/>
    </row>
    <row r="19" spans="1:20" ht="13" customHeight="1">
      <c r="A19" s="354"/>
      <c r="B19" s="24" t="str">
        <f>IF('Summary | Sumário'!$D$3=Names!$B$3,Names!BL19,Names!BM19)</f>
        <v>Funding (R$ bn)</v>
      </c>
      <c r="C19" s="362">
        <f>'5. Funding'!L15/1000000</f>
        <v>24.745659</v>
      </c>
      <c r="D19" s="362">
        <f>'5. Funding'!M15/1000000</f>
        <v>27.678137</v>
      </c>
      <c r="E19" s="362">
        <f>'5. Funding'!N15/1000000</f>
        <v>30.688589</v>
      </c>
      <c r="F19" s="362">
        <f>'5. Funding'!O15/1000000</f>
        <v>32.516818000000001</v>
      </c>
      <c r="G19" s="362">
        <f>'5. Funding'!P15/1000000</f>
        <v>33.532685000000001</v>
      </c>
      <c r="H19" s="362">
        <f>'5. Funding'!Q15/1000000</f>
        <v>35.665087040739998</v>
      </c>
      <c r="I19" s="362">
        <f>'5. Funding'!R15/1000000</f>
        <v>39.571626560479999</v>
      </c>
      <c r="J19" s="362">
        <f>'5. Funding'!S15/1000000</f>
        <v>43.513032000000003</v>
      </c>
      <c r="K19" s="372">
        <f>J19/I19-1</f>
        <v>9.9601805184734715E-2</v>
      </c>
      <c r="L19" s="376">
        <f t="shared" si="2"/>
        <v>0.33817005095640051</v>
      </c>
      <c r="O19" s="329"/>
      <c r="P19" s="329"/>
      <c r="Q19" s="329"/>
      <c r="R19" s="329"/>
      <c r="S19" s="329"/>
    </row>
    <row r="20" spans="1:20" ht="13" customHeight="1">
      <c r="A20" s="354"/>
      <c r="B20" s="18" t="str">
        <f>IF('Summary | Sumário'!$D$3=Names!$B$3,Names!BL20,Names!BM20)</f>
        <v>Shareholders` Equity (R$ bn)</v>
      </c>
      <c r="C20" s="373">
        <f>'2. BS | BP'!L38/1000000</f>
        <v>8.3543660000000006</v>
      </c>
      <c r="D20" s="373">
        <f>'2. BS | BP'!M38/1000000</f>
        <v>7.1153810000000002</v>
      </c>
      <c r="E20" s="373">
        <f>'2. BS | BP'!N38/1000000</f>
        <v>7.1403949999999998</v>
      </c>
      <c r="F20" s="373">
        <f>'2. BS | BP'!O38/1000000</f>
        <v>7.0891039999999998</v>
      </c>
      <c r="G20" s="373">
        <f>'2. BS | BP'!P38/1000000</f>
        <v>7.1399059999999999</v>
      </c>
      <c r="H20" s="373">
        <f>'2. BS | BP'!Q38/1000000</f>
        <v>7.3176579999999998</v>
      </c>
      <c r="I20" s="373">
        <f>'2. BS | BP'!R38/1000000</f>
        <v>7.3682270000000001</v>
      </c>
      <c r="J20" s="373">
        <f>'2. BS | BP'!S38/1000000</f>
        <v>7.5966909999999999</v>
      </c>
      <c r="K20" s="374">
        <f>J20/I20-1</f>
        <v>3.1006645153576207E-2</v>
      </c>
      <c r="L20" s="381">
        <f t="shared" si="2"/>
        <v>7.1601009097905788E-2</v>
      </c>
      <c r="O20" s="329"/>
      <c r="P20" s="329"/>
      <c r="Q20" s="329"/>
      <c r="R20" s="329"/>
      <c r="S20" s="329"/>
      <c r="T20" s="365"/>
    </row>
    <row r="21" spans="1:20" ht="13" customHeight="1">
      <c r="A21" s="354"/>
      <c r="B21" s="24" t="str">
        <f>IF('Summary | Sumário'!$D$3=Names!$B$3,Names!BL21,Names!BM21)</f>
        <v>Tier 1 Ratio (%)</v>
      </c>
      <c r="C21" s="382">
        <f>'7.1. Tier I Ratio | Basileia'!L20</f>
        <v>0.35699999999999998</v>
      </c>
      <c r="D21" s="382">
        <f>'7.1. Tier I Ratio | Basileia'!M20</f>
        <v>0.32900000000000001</v>
      </c>
      <c r="E21" s="382">
        <f>'7.1. Tier I Ratio | Basileia'!N20</f>
        <v>0.29799999999999999</v>
      </c>
      <c r="F21" s="382">
        <f>'7.1. Tier I Ratio | Basileia'!O20</f>
        <v>0.24099999999999999</v>
      </c>
      <c r="G21" s="382">
        <f>'7.1. Tier I Ratio | Basileia'!P20</f>
        <v>0.23</v>
      </c>
      <c r="H21" s="382">
        <f>'7.1. Tier I Ratio | Basileia'!Q20</f>
        <v>0.22800000000000001</v>
      </c>
      <c r="I21" s="382">
        <f>'7.1. Tier I Ratio | Basileia'!R20</f>
        <v>0.2374</v>
      </c>
      <c r="J21" s="382">
        <f>'7.1. Tier I Ratio | Basileia'!S20</f>
        <v>0.229501027251763</v>
      </c>
      <c r="K21" s="383">
        <f>(J21-I21)*100</f>
        <v>-0.78989727482370042</v>
      </c>
      <c r="L21" s="384">
        <f>(J21-F21)*100</f>
        <v>-1.1498972748236995</v>
      </c>
      <c r="O21" s="329"/>
      <c r="P21" s="329"/>
      <c r="Q21" s="329"/>
      <c r="R21" s="329"/>
      <c r="S21" s="329"/>
    </row>
    <row r="22" spans="1:20" ht="13" customHeight="1">
      <c r="A22" s="354"/>
      <c r="B22" s="18"/>
      <c r="C22" s="363"/>
      <c r="D22" s="363"/>
      <c r="E22" s="363"/>
      <c r="F22" s="363"/>
      <c r="G22" s="363"/>
      <c r="H22" s="363"/>
      <c r="I22" s="363"/>
      <c r="J22" s="363"/>
      <c r="K22" s="375"/>
      <c r="L22" s="385"/>
      <c r="O22" s="329"/>
      <c r="P22" s="329"/>
      <c r="Q22" s="329"/>
      <c r="R22" s="329"/>
      <c r="S22" s="329"/>
    </row>
    <row r="23" spans="1:20" ht="13" customHeight="1">
      <c r="A23" s="354"/>
      <c r="B23" s="407" t="str">
        <f>IF('Summary | Sumário'!$D$3=Names!$B$3,Names!BL23,Names!BM23)</f>
        <v>Volume KPIs</v>
      </c>
      <c r="C23" s="408"/>
      <c r="D23" s="408"/>
      <c r="E23" s="408"/>
      <c r="F23" s="408"/>
      <c r="G23" s="408"/>
      <c r="H23" s="408"/>
      <c r="I23" s="408"/>
      <c r="J23" s="408"/>
      <c r="K23" s="409"/>
      <c r="L23" s="409"/>
      <c r="O23" s="329"/>
      <c r="P23" s="329"/>
      <c r="Q23" s="329"/>
      <c r="R23" s="329"/>
      <c r="S23" s="329"/>
    </row>
    <row r="24" spans="1:20" ht="13" customHeight="1">
      <c r="A24" s="354"/>
      <c r="B24" s="412" t="str">
        <f>IF('Summary | Sumário'!$D$3=Names!$B$3,Names!BL24,Names!BM24)</f>
        <v>Cards + PIX TPV (R$ bn)</v>
      </c>
      <c r="C24" s="413">
        <f>'4. Digital Acou. | Conta Dig.'!I13/1000</f>
        <v>111.15574794700001</v>
      </c>
      <c r="D24" s="413">
        <f>'4. Digital Acou. | Conta Dig.'!J13/1000</f>
        <v>133.96884775699999</v>
      </c>
      <c r="E24" s="413">
        <f>'4. Digital Acou. | Conta Dig.'!K13/1000</f>
        <v>155.436500177</v>
      </c>
      <c r="F24" s="413">
        <f>'4. Digital Acou. | Conta Dig.'!L13/1000</f>
        <v>177.51524952346</v>
      </c>
      <c r="G24" s="413">
        <f>'4. Digital Acou. | Conta Dig.'!M13/1000</f>
        <v>181.36133153205003</v>
      </c>
      <c r="H24" s="413">
        <f>'4. Digital Acou. | Conta Dig.'!N13/1000</f>
        <v>196.99198220933999</v>
      </c>
      <c r="I24" s="413">
        <f>'4. Digital Acou. | Conta Dig.'!O13/1000</f>
        <v>219.41885998934995</v>
      </c>
      <c r="J24" s="413">
        <f>'4. Digital Acou. | Conta Dig.'!P13/1000</f>
        <v>253.47963343943999</v>
      </c>
      <c r="K24" s="414">
        <f>J24/I24-1</f>
        <v>0.15523174922950234</v>
      </c>
      <c r="L24" s="416">
        <f t="shared" ref="L24:L26" si="3">J24/F24-1</f>
        <v>0.42793159528494895</v>
      </c>
      <c r="O24" s="329"/>
      <c r="P24" s="329"/>
      <c r="Q24" s="329"/>
      <c r="R24" s="329"/>
      <c r="S24" s="329"/>
    </row>
    <row r="25" spans="1:20" ht="13" customHeight="1">
      <c r="A25" s="354"/>
      <c r="B25" s="24" t="str">
        <f>IF('Summary | Sumário'!$D$3=Names!$B$3,Names!BL25,Names!BM25)</f>
        <v>GMV Inter Shop (R$ mm)</v>
      </c>
      <c r="C25" s="328">
        <f>'3. Inter Shop'!H5</f>
        <v>1053.0667530000001</v>
      </c>
      <c r="D25" s="328">
        <f>'3. Inter Shop'!I5</f>
        <v>990.06993699999998</v>
      </c>
      <c r="E25" s="328">
        <f>'3. Inter Shop'!J5</f>
        <v>938.66564000000005</v>
      </c>
      <c r="F25" s="328">
        <f>'3. Inter Shop'!K5</f>
        <v>1003.4261218400001</v>
      </c>
      <c r="G25" s="328">
        <f>'3. Inter Shop'!L5</f>
        <v>829.25831872000003</v>
      </c>
      <c r="H25" s="328">
        <f>'3. Inter Shop'!M5</f>
        <v>755.63938086500002</v>
      </c>
      <c r="I25" s="328">
        <f>'3. Inter Shop'!N5</f>
        <v>869.35878100000002</v>
      </c>
      <c r="J25" s="328">
        <f>'3. Inter Shop'!O5</f>
        <v>1049.8873619999999</v>
      </c>
      <c r="K25" s="376">
        <f>J25/I25-1</f>
        <v>0.20765716634545606</v>
      </c>
      <c r="L25" s="376">
        <f t="shared" si="3"/>
        <v>4.630260180470791E-2</v>
      </c>
      <c r="O25" s="329"/>
      <c r="P25" s="329"/>
      <c r="Q25" s="329"/>
      <c r="R25" s="329"/>
      <c r="S25" s="329"/>
    </row>
    <row r="26" spans="1:20" ht="13" customHeight="1">
      <c r="A26" s="354"/>
      <c r="B26" s="18" t="str">
        <f>IF('Summary | Sumário'!$D$3=Names!$B$3,Names!BL26,Names!BM26)</f>
        <v>AUC  (R$ bn)</v>
      </c>
      <c r="C26" s="386">
        <f>'1. Inter Invest'!I5/1000</f>
        <v>58.13828637349998</v>
      </c>
      <c r="D26" s="386">
        <f>'1. Inter Invest'!J5/1000</f>
        <v>54.559794571609999</v>
      </c>
      <c r="E26" s="386">
        <f>'1. Inter Invest'!K5/1000</f>
        <v>62.349211153180001</v>
      </c>
      <c r="F26" s="386">
        <f>'1. Inter Invest'!L5/1000</f>
        <v>66.723736438719996</v>
      </c>
      <c r="G26" s="386">
        <f>'1. Inter Invest'!M5/1000</f>
        <v>67.986417997459967</v>
      </c>
      <c r="H26" s="386">
        <f>'1. Inter Invest'!N5/1000</f>
        <v>76.842170568875446</v>
      </c>
      <c r="I26" s="386">
        <f>'1. Inter Invest'!O5/1000</f>
        <v>82.892927662269997</v>
      </c>
      <c r="J26" s="386">
        <f>'1. Inter Invest'!P5/1000</f>
        <v>91.798553433999999</v>
      </c>
      <c r="K26" s="378">
        <f>J26/I26-1</f>
        <v>0.10743529059576851</v>
      </c>
      <c r="L26" s="378">
        <f t="shared" si="3"/>
        <v>0.37580055215146801</v>
      </c>
      <c r="O26" s="329"/>
      <c r="P26" s="329"/>
      <c r="Q26" s="329"/>
      <c r="R26" s="329"/>
      <c r="S26" s="329"/>
    </row>
    <row r="27" spans="1:20" ht="13" customHeight="1">
      <c r="A27" s="354"/>
      <c r="B27" s="24"/>
      <c r="C27" s="328"/>
      <c r="D27" s="328"/>
      <c r="E27" s="328"/>
      <c r="F27" s="328"/>
      <c r="G27" s="328"/>
      <c r="H27" s="328"/>
      <c r="I27" s="328"/>
      <c r="J27" s="328"/>
      <c r="K27" s="387"/>
      <c r="L27" s="387"/>
      <c r="O27" s="329"/>
      <c r="P27" s="329"/>
      <c r="Q27" s="329"/>
      <c r="R27" s="329"/>
      <c r="S27" s="329"/>
    </row>
    <row r="28" spans="1:20" ht="13" customHeight="1">
      <c r="A28" s="354"/>
      <c r="B28" s="189" t="str">
        <f>IF('Summary | Sumário'!$D$3=Names!$B$3,Names!BL28,Names!BM28)</f>
        <v>Asset Quality</v>
      </c>
      <c r="K28" s="411"/>
      <c r="L28" s="411"/>
      <c r="O28" s="367"/>
      <c r="P28" s="367"/>
      <c r="Q28" s="367"/>
      <c r="R28" s="367"/>
      <c r="S28" s="341"/>
    </row>
    <row r="29" spans="1:20" ht="13" customHeight="1">
      <c r="A29" s="354"/>
      <c r="B29" s="417" t="str">
        <f>IF('Summary | Sumário'!$D$3=Names!$B$3,Names!BL29,Names!BM29)</f>
        <v>NPL &gt; 90 days (%)</v>
      </c>
      <c r="C29" s="418">
        <f>'4. Credit | Crédito'!I22</f>
        <v>3.428186408174301E-2</v>
      </c>
      <c r="D29" s="418">
        <f>'4. Credit | Crédito'!J22</f>
        <v>3.8004014778354349E-2</v>
      </c>
      <c r="E29" s="418">
        <f>'4. Credit | Crédito'!K22</f>
        <v>3.8069376847907885E-2</v>
      </c>
      <c r="F29" s="418">
        <f>'4. Credit | Crédito'!L22</f>
        <v>4.07236995153967E-2</v>
      </c>
      <c r="G29" s="418">
        <f>'4. Credit | Crédito'!M22</f>
        <v>4.425561390533074E-2</v>
      </c>
      <c r="H29" s="418">
        <f>'4. Credit | Crédito'!N22</f>
        <v>4.6937273988870744E-2</v>
      </c>
      <c r="I29" s="418">
        <f>'4. Credit | Crédito'!O22</f>
        <v>4.6873218175344886E-2</v>
      </c>
      <c r="J29" s="418">
        <f>'4. Credit | Crédito'!P22</f>
        <v>4.5948866208864708E-2</v>
      </c>
      <c r="K29" s="419">
        <f>(J29-I29)*100</f>
        <v>-9.2435196648017748E-2</v>
      </c>
      <c r="L29" s="420">
        <f t="shared" ref="L29:L31" si="4">(J29-F29)*100</f>
        <v>0.52251666934680085</v>
      </c>
      <c r="O29" s="341"/>
      <c r="P29" s="341"/>
      <c r="Q29" s="341"/>
      <c r="R29" s="341"/>
      <c r="S29" s="341"/>
    </row>
    <row r="30" spans="1:20" ht="13" customHeight="1">
      <c r="A30" s="354"/>
      <c r="B30" s="195" t="str">
        <f>IF('Summary | Sumário'!$D$3=Names!$B$3,Names!BL30,Names!BM30)</f>
        <v>NPL 15-90 days (%)</v>
      </c>
      <c r="C30" s="388">
        <f>'4. Credit | Crédito'!I28</f>
        <v>4.5114029137614607E-2</v>
      </c>
      <c r="D30" s="388">
        <f>'4. Credit | Crédito'!J28</f>
        <v>4.5433557125597483E-2</v>
      </c>
      <c r="E30" s="388">
        <f>'4. Credit | Crédito'!K28</f>
        <v>4.314105737204002E-2</v>
      </c>
      <c r="F30" s="388">
        <f>'4. Credit | Crédito'!L28</f>
        <v>4.1430841865461747E-2</v>
      </c>
      <c r="G30" s="388">
        <f>'4. Credit | Crédito'!M28</f>
        <v>4.3458095606172524E-2</v>
      </c>
      <c r="H30" s="388">
        <f>'4. Credit | Crédito'!N28</f>
        <v>4.1964720582480561E-2</v>
      </c>
      <c r="I30" s="388">
        <f>'4. Credit | Crédito'!O28</f>
        <v>4.2636576262433189E-2</v>
      </c>
      <c r="J30" s="388">
        <f>'4. Credit | Crédito'!P28</f>
        <v>4.0071198175600488E-2</v>
      </c>
      <c r="K30" s="389">
        <f>(J30-I30)*100</f>
        <v>-0.25653780868327009</v>
      </c>
      <c r="L30" s="390">
        <f t="shared" si="4"/>
        <v>-0.13596436898612591</v>
      </c>
      <c r="O30" s="341"/>
      <c r="P30" s="341"/>
      <c r="Q30" s="341"/>
      <c r="R30" s="341"/>
      <c r="S30" s="341"/>
    </row>
    <row r="31" spans="1:20" ht="13" customHeight="1">
      <c r="A31" s="354"/>
      <c r="B31" s="24" t="str">
        <f>IF('Summary | Sumário'!$D$3=Names!$B$3,Names!BL31,Names!BM31)</f>
        <v>Coverage Ratio (%)</v>
      </c>
      <c r="C31" s="382">
        <f>'4. Credit | Crédito'!I23</f>
        <v>1.2624248715683484</v>
      </c>
      <c r="D31" s="382">
        <f>'4. Credit | Crédito'!J23</f>
        <v>1.2907857808006844</v>
      </c>
      <c r="E31" s="382">
        <f>'4. Credit | Crédito'!K23</f>
        <v>1.4118731449552733</v>
      </c>
      <c r="F31" s="382">
        <f>'4. Credit | Crédito'!L23</f>
        <v>1.3190422438713376</v>
      </c>
      <c r="G31" s="382">
        <f>'4. Credit | Crédito'!M23</f>
        <v>1.3143517286753656</v>
      </c>
      <c r="H31" s="382">
        <f>'4. Credit | Crédito'!N23</f>
        <v>1.3015905116392614</v>
      </c>
      <c r="I31" s="382">
        <f>'4. Credit | Crédito'!O23</f>
        <v>1.3188960574080884</v>
      </c>
      <c r="J31" s="382">
        <f>'4. Credit | Crédito'!P23</f>
        <v>1.3215901659780338</v>
      </c>
      <c r="K31" s="383">
        <f>(J31-I31)*100</f>
        <v>0.26941085699454526</v>
      </c>
      <c r="L31" s="384">
        <f t="shared" si="4"/>
        <v>0.25479221066961877</v>
      </c>
      <c r="O31" s="363"/>
      <c r="P31" s="363"/>
      <c r="Q31" s="363"/>
      <c r="R31" s="363"/>
      <c r="S31" s="363"/>
    </row>
    <row r="32" spans="1:20" ht="13" customHeight="1">
      <c r="A32" s="354"/>
      <c r="B32" s="196"/>
      <c r="C32" s="363"/>
      <c r="D32" s="363"/>
      <c r="E32" s="363"/>
      <c r="F32" s="363"/>
      <c r="G32" s="363"/>
      <c r="H32" s="363"/>
      <c r="I32" s="363"/>
      <c r="J32" s="363"/>
      <c r="K32" s="375"/>
      <c r="L32" s="385"/>
      <c r="O32" s="329"/>
      <c r="P32" s="329"/>
      <c r="Q32" s="329"/>
      <c r="R32" s="329"/>
      <c r="S32" s="329"/>
    </row>
    <row r="33" spans="1:19" ht="13" customHeight="1">
      <c r="A33" s="354"/>
      <c r="B33" s="407" t="str">
        <f>IF('Summary | Sumário'!$D$3=Names!$B$3,Names!BL33,Names!BM33)</f>
        <v>Performance KPIs</v>
      </c>
      <c r="C33" s="408"/>
      <c r="D33" s="408"/>
      <c r="E33" s="408"/>
      <c r="F33" s="408"/>
      <c r="G33" s="408"/>
      <c r="H33" s="408"/>
      <c r="I33" s="408"/>
      <c r="J33" s="408"/>
      <c r="K33" s="409"/>
      <c r="L33" s="409"/>
      <c r="O33" s="329"/>
      <c r="P33" s="329"/>
      <c r="Q33" s="329"/>
      <c r="R33" s="329"/>
      <c r="S33" s="329"/>
    </row>
    <row r="34" spans="1:19" ht="13" customHeight="1">
      <c r="A34" s="354"/>
      <c r="B34" s="412" t="str">
        <f>IF('Summary | Sumário'!$D$3=Names!$B$3,Names!BL34,Names!BM34)</f>
        <v>NIM 1.0 (%)</v>
      </c>
      <c r="C34" s="421">
        <f>'7.2. NIMs'!L14</f>
        <v>6.9048772905710307E-2</v>
      </c>
      <c r="D34" s="421">
        <f>'7.2. NIMs'!M14</f>
        <v>6.9509885601935162E-2</v>
      </c>
      <c r="E34" s="421">
        <f>'7.2. NIMs'!N14</f>
        <v>6.3804563889878999E-2</v>
      </c>
      <c r="F34" s="421">
        <f>'7.2. NIMs'!O14</f>
        <v>7.2326106208657676E-2</v>
      </c>
      <c r="G34" s="421">
        <f>'7.2. NIMs'!P14</f>
        <v>7.4154768372393848E-2</v>
      </c>
      <c r="H34" s="421">
        <f>'7.2. NIMs'!Q14</f>
        <v>8.1292947827274115E-2</v>
      </c>
      <c r="I34" s="421">
        <f>'7.2. NIMs'!R14</f>
        <v>7.8011077819640784E-2</v>
      </c>
      <c r="J34" s="421">
        <f>'7.2. NIMs'!S14</f>
        <v>7.6016105585943614E-2</v>
      </c>
      <c r="K34" s="422">
        <f>(J34-I34)*100</f>
        <v>-0.19949722336971704</v>
      </c>
      <c r="L34" s="423">
        <f t="shared" ref="L34:L38" si="5">(J34-F34)*100</f>
        <v>0.3689999377285938</v>
      </c>
      <c r="O34" s="329"/>
      <c r="P34" s="329"/>
      <c r="Q34" s="329"/>
      <c r="R34" s="329"/>
      <c r="S34" s="329"/>
    </row>
    <row r="35" spans="1:19" ht="13" customHeight="1">
      <c r="A35" s="354"/>
      <c r="B35" s="24" t="str">
        <f>IF('Summary | Sumário'!$D$3=Names!$B$3,Names!BL35,Names!BM35)</f>
        <v>NIM 2.0 - IEP Only (%)</v>
      </c>
      <c r="C35" s="391">
        <f>'7.2. NIMs'!L28</f>
        <v>7.9975031029914642E-2</v>
      </c>
      <c r="D35" s="391">
        <f>'7.2. NIMs'!M28</f>
        <v>8.1316997280889425E-2</v>
      </c>
      <c r="E35" s="391">
        <f>'7.2. NIMs'!N28</f>
        <v>7.4497874078582174E-2</v>
      </c>
      <c r="F35" s="391">
        <f>'7.2. NIMs'!O28</f>
        <v>8.4173192464300134E-2</v>
      </c>
      <c r="G35" s="391">
        <f>'7.2. NIMs'!P28</f>
        <v>8.6677912110809552E-2</v>
      </c>
      <c r="H35" s="391">
        <f>'7.2. NIMs'!Q28</f>
        <v>9.5274280837448697E-2</v>
      </c>
      <c r="I35" s="391">
        <f>'7.2. NIMs'!R28</f>
        <v>9.1881395447457576E-2</v>
      </c>
      <c r="J35" s="391">
        <f>'7.2. NIMs'!S28</f>
        <v>8.9925313340997362E-2</v>
      </c>
      <c r="K35" s="383">
        <f>(J35-I35)*100</f>
        <v>-0.19560821064602135</v>
      </c>
      <c r="L35" s="384">
        <f t="shared" si="5"/>
        <v>0.57521208766972287</v>
      </c>
      <c r="O35" s="329"/>
      <c r="P35" s="329"/>
      <c r="Q35" s="329"/>
      <c r="R35" s="329"/>
      <c r="S35" s="329"/>
    </row>
    <row r="36" spans="1:19" ht="13" customHeight="1">
      <c r="A36" s="354"/>
      <c r="B36" s="18" t="str">
        <f>IF('Summary | Sumário'!$D$3=Names!$B$3,Names!BL36,Names!BM36)</f>
        <v>All-in Cost of Funding (% of CDI)</v>
      </c>
      <c r="C36" s="336">
        <f>'5. Funding'!L25</f>
        <v>0.54888574052893768</v>
      </c>
      <c r="D36" s="336">
        <f>'5. Funding'!M25</f>
        <v>0.57342847772445593</v>
      </c>
      <c r="E36" s="336">
        <f>'5. Funding'!N25</f>
        <v>0.59005529184779504</v>
      </c>
      <c r="F36" s="336">
        <f>'5. Funding'!O25</f>
        <v>0.54834646565066081</v>
      </c>
      <c r="G36" s="336">
        <f>'5. Funding'!P25</f>
        <v>0.59697348816995932</v>
      </c>
      <c r="H36" s="336">
        <f>'5. Funding'!Q25</f>
        <v>0.5862739307988849</v>
      </c>
      <c r="I36" s="336">
        <f>'5. Funding'!R25</f>
        <v>0.61707902823666128</v>
      </c>
      <c r="J36" s="336">
        <f>'5. Funding'!S25</f>
        <v>0.59171705967014232</v>
      </c>
      <c r="K36" s="389">
        <f>(J36-I36)*100</f>
        <v>-2.5361968566518955</v>
      </c>
      <c r="L36" s="390">
        <f t="shared" si="5"/>
        <v>4.3370594019481512</v>
      </c>
      <c r="O36" s="329"/>
      <c r="P36" s="329"/>
      <c r="Q36" s="329"/>
      <c r="R36" s="329"/>
      <c r="S36" s="329"/>
    </row>
    <row r="37" spans="1:19" ht="13" customHeight="1">
      <c r="A37" s="354"/>
      <c r="B37" s="197" t="str">
        <f>IF('Summary | Sumário'!$D$3=Names!$B$3,Names!BL37,Names!BM37)</f>
        <v>Efficiency Ratio (%)</v>
      </c>
      <c r="C37" s="268">
        <f>'7.3. Efficiency | Eficiência'!L14</f>
        <v>0.71882612950101654</v>
      </c>
      <c r="D37" s="268">
        <f>'7.3. Efficiency | Eficiência'!M14</f>
        <v>0.68258635450748339</v>
      </c>
      <c r="E37" s="268">
        <f>'7.3. Efficiency | Eficiência'!N14</f>
        <v>0.75028931719132097</v>
      </c>
      <c r="F37" s="268">
        <f>'7.3. Efficiency | Eficiência'!O14</f>
        <v>0.73439417574268773</v>
      </c>
      <c r="G37" s="268">
        <f>'7.3. Efficiency | Eficiência'!P14</f>
        <v>0.62351057373347107</v>
      </c>
      <c r="H37" s="268">
        <f>'7.3. Efficiency | Eficiência'!Q14</f>
        <v>0.53383674950420901</v>
      </c>
      <c r="I37" s="268">
        <f>'7.3. Efficiency | Eficiência'!R14</f>
        <v>0.52425869323134722</v>
      </c>
      <c r="J37" s="268">
        <f>'7.3. Efficiency | Eficiência'!S14</f>
        <v>0.5136436519943689</v>
      </c>
      <c r="K37" s="383">
        <f>(J37-I37)*100</f>
        <v>-1.0615041236978318</v>
      </c>
      <c r="L37" s="384">
        <f t="shared" si="5"/>
        <v>-22.075052374831884</v>
      </c>
      <c r="O37" s="367"/>
      <c r="P37" s="367"/>
      <c r="Q37" s="367"/>
      <c r="R37" s="367"/>
      <c r="S37" s="341"/>
    </row>
    <row r="38" spans="1:19" ht="13" customHeight="1">
      <c r="A38" s="354"/>
      <c r="B38" s="195" t="str">
        <f>IF('Summary | Sumário'!$D$3=Names!$B$3,Names!BL38,Names!BM38)</f>
        <v>ROE (%)</v>
      </c>
      <c r="C38" s="392">
        <f>'7. Financial KPIs (Financeiros)'!L13</f>
        <v>-1.3721547930939392E-2</v>
      </c>
      <c r="D38" s="392">
        <f>'7. Financial KPIs (Financeiros)'!M13</f>
        <v>8.0289028644101833E-3</v>
      </c>
      <c r="E38" s="392">
        <f>'7. Financial KPIs (Financeiros)'!N13</f>
        <v>-1.6608156020408833E-2</v>
      </c>
      <c r="F38" s="392">
        <f>'7. Financial KPIs (Financeiros)'!O13</f>
        <v>1.6199070395942601E-2</v>
      </c>
      <c r="G38" s="392">
        <f>'7. Financial KPIs (Financeiros)'!P13</f>
        <v>1.3615002027547946E-2</v>
      </c>
      <c r="H38" s="392">
        <f>'7. Financial KPIs (Financeiros)'!Q13</f>
        <v>3.5509163231094806E-2</v>
      </c>
      <c r="I38" s="392">
        <f>'7. Financial KPIs (Financeiros)'!R13</f>
        <v>5.6740741194691365E-2</v>
      </c>
      <c r="J38" s="392">
        <f>'7. Financial KPIs (Financeiros)'!S13</f>
        <v>8.537951387371448E-2</v>
      </c>
      <c r="K38" s="389">
        <f>(J38-I38)*100</f>
        <v>2.8638772679023115</v>
      </c>
      <c r="L38" s="390">
        <f t="shared" si="5"/>
        <v>6.9180443477771885</v>
      </c>
      <c r="O38" s="367"/>
      <c r="P38" s="367"/>
      <c r="Q38" s="367"/>
      <c r="R38" s="367"/>
      <c r="S38" s="341"/>
    </row>
    <row r="39" spans="1:19" ht="13" customHeight="1">
      <c r="A39" s="354"/>
      <c r="B39" s="20"/>
      <c r="C39" s="393"/>
      <c r="O39" s="367"/>
      <c r="P39" s="367"/>
      <c r="Q39" s="367"/>
      <c r="R39" s="367"/>
      <c r="S39" s="341"/>
    </row>
    <row r="40" spans="1:19" ht="13" customHeight="1">
      <c r="B40" s="20"/>
      <c r="C40" s="368"/>
      <c r="D40" s="368"/>
      <c r="E40" s="368"/>
      <c r="F40" s="368"/>
      <c r="G40" s="368"/>
      <c r="H40" s="368"/>
      <c r="I40" s="368"/>
      <c r="J40" s="368"/>
      <c r="K40" s="368"/>
      <c r="L40" s="368"/>
      <c r="M40" s="368"/>
      <c r="N40" s="368"/>
      <c r="O40" s="368"/>
      <c r="P40" s="368"/>
      <c r="Q40" s="368"/>
      <c r="R40" s="368"/>
      <c r="S40" s="368"/>
    </row>
    <row r="41" spans="1:19" ht="13" customHeight="1">
      <c r="B41" s="20"/>
      <c r="C41" s="368"/>
      <c r="D41" s="368"/>
      <c r="E41" s="368"/>
      <c r="F41" s="368"/>
      <c r="G41" s="368"/>
      <c r="H41" s="368"/>
      <c r="I41" s="368"/>
      <c r="J41" s="368"/>
      <c r="K41" s="368"/>
      <c r="L41" s="368"/>
      <c r="M41" s="368"/>
      <c r="N41" s="368"/>
      <c r="O41" s="368"/>
      <c r="P41" s="368"/>
      <c r="Q41" s="368"/>
      <c r="R41" s="368"/>
      <c r="S41" s="368"/>
    </row>
    <row r="42" spans="1:19" ht="13" customHeight="1">
      <c r="C42" s="369"/>
    </row>
    <row r="43" spans="1:19" ht="13" customHeight="1">
      <c r="G43" s="369"/>
    </row>
  </sheetData>
  <sheetProtection algorithmName="SHA-512" hashValue="5iobRs1lpl4sj1aacHKERaYYtCOWi2aUKYr3+oiwujG9Y1GopH+dyPfV34aNrJfirTbVKhEooMtt3OquOQqaKw==" saltValue="6ezFT6wwL1xqgSWDYtMWWw=="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3347-86B6-1F4F-BD4E-8994EF4F3A57}">
  <sheetPr codeName="Sheet3">
    <tabColor rgb="FFEB7100"/>
  </sheetPr>
  <dimension ref="A1:W47"/>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63" customWidth="1"/>
    <col min="2" max="2" width="68.33203125" style="17" bestFit="1" customWidth="1"/>
    <col min="3" max="20" width="10.83203125" style="370" customWidth="1"/>
    <col min="21" max="21" width="10.83203125" style="263"/>
    <col min="22" max="23" width="10.83203125" style="263" customWidth="1"/>
    <col min="24" max="16384" width="10.83203125" style="263"/>
  </cols>
  <sheetData>
    <row r="1" spans="1:23" s="358" customFormat="1" ht="13" customHeight="1">
      <c r="B1" s="11"/>
      <c r="C1" s="359"/>
      <c r="D1" s="359"/>
      <c r="E1" s="359"/>
      <c r="F1" s="359"/>
      <c r="G1" s="359"/>
      <c r="H1" s="359"/>
      <c r="I1" s="359"/>
      <c r="J1" s="359"/>
      <c r="K1" s="359"/>
      <c r="L1" s="359"/>
      <c r="M1" s="359"/>
      <c r="N1" s="359"/>
      <c r="O1" s="359"/>
      <c r="P1" s="359"/>
      <c r="Q1" s="359"/>
      <c r="R1" s="359"/>
      <c r="S1" s="359"/>
      <c r="T1" s="359"/>
    </row>
    <row r="2" spans="1:23" s="12" customFormat="1" ht="13" customHeight="1">
      <c r="B2" s="400" t="str">
        <f>IF('Summary | Sumário'!D3=Names!B3,Names!K1,Names!L1)</f>
        <v>Balance Sheet (IFRS, R$ Thousands)</v>
      </c>
      <c r="C2" s="207">
        <f>IF('Summary | Sumário'!D3=Names!B3,Names!C2,Names!D2)</f>
        <v>2019</v>
      </c>
      <c r="D2" s="207">
        <f>IF('Summary | Sumário'!D3=Names!B3,Names!C3,Names!D3)</f>
        <v>2020</v>
      </c>
      <c r="E2" s="207">
        <f>IF('Summary | Sumário'!D3=Names!B3,Names!C4,Names!D4)</f>
        <v>2021</v>
      </c>
      <c r="F2" s="207">
        <f>IF('Summary | Sumário'!D3=Names!B3,Names!C5,Names!D5)</f>
        <v>2022</v>
      </c>
      <c r="G2" s="429">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2" t="str">
        <f>IF('Summary | Sumário'!D3=Names!B3,Names!C17,Names!D17)</f>
        <v>4Q23</v>
      </c>
      <c r="T2" s="13"/>
      <c r="V2" s="14"/>
      <c r="W2" s="15"/>
    </row>
    <row r="3" spans="1:23" s="358" customFormat="1" ht="13" customHeight="1">
      <c r="B3" s="16"/>
      <c r="C3" s="222"/>
      <c r="D3" s="222"/>
      <c r="E3" s="222"/>
      <c r="F3" s="222"/>
      <c r="G3" s="223"/>
      <c r="H3" s="223"/>
      <c r="I3" s="223"/>
      <c r="J3" s="223"/>
      <c r="K3" s="223"/>
      <c r="L3" s="223"/>
      <c r="M3" s="223"/>
      <c r="N3" s="223"/>
      <c r="O3" s="223"/>
      <c r="P3" s="223"/>
      <c r="Q3" s="223"/>
      <c r="R3" s="223"/>
      <c r="S3" s="223"/>
      <c r="T3" s="223"/>
    </row>
    <row r="4" spans="1:23" ht="13" customHeight="1">
      <c r="A4" s="354"/>
      <c r="B4" s="11" t="str">
        <f>IF('Summary | Sumário'!D3=Names!B3,Names!K2,Names!L2)</f>
        <v>Assets</v>
      </c>
      <c r="C4" s="360"/>
      <c r="D4" s="360"/>
      <c r="E4" s="360"/>
      <c r="F4" s="360"/>
      <c r="G4" s="361"/>
      <c r="H4" s="360"/>
      <c r="I4" s="360"/>
      <c r="J4" s="360"/>
      <c r="K4" s="360"/>
      <c r="L4" s="360"/>
      <c r="M4" s="360"/>
      <c r="N4" s="361"/>
      <c r="O4" s="361"/>
      <c r="P4" s="361"/>
      <c r="Q4" s="361"/>
      <c r="R4" s="361"/>
      <c r="S4" s="361"/>
      <c r="T4" s="361"/>
    </row>
    <row r="5" spans="1:23" ht="13" customHeight="1">
      <c r="A5" s="354"/>
      <c r="B5" s="24" t="str">
        <f>IF('Summary | Sumário'!D3=Names!B3,Names!K3,Names!L3)</f>
        <v>Cash and cash equivalents</v>
      </c>
      <c r="C5" s="362">
        <v>3114789</v>
      </c>
      <c r="D5" s="362">
        <v>2154687</v>
      </c>
      <c r="E5" s="362">
        <f>K5</f>
        <v>500446</v>
      </c>
      <c r="F5" s="362">
        <f>O5</f>
        <v>1331648</v>
      </c>
      <c r="G5" s="362">
        <f>S5</f>
        <v>4259379</v>
      </c>
      <c r="H5" s="362">
        <v>906123</v>
      </c>
      <c r="I5" s="362">
        <v>5731007.0010000002</v>
      </c>
      <c r="J5" s="362">
        <v>451774.29800000001</v>
      </c>
      <c r="K5" s="362">
        <v>500446</v>
      </c>
      <c r="L5" s="362">
        <v>1171654</v>
      </c>
      <c r="M5" s="362">
        <v>1549158</v>
      </c>
      <c r="N5" s="362">
        <v>838310</v>
      </c>
      <c r="O5" s="362">
        <v>1331648</v>
      </c>
      <c r="P5" s="362">
        <v>1791707</v>
      </c>
      <c r="Q5" s="362">
        <v>3672219</v>
      </c>
      <c r="R5" s="362">
        <v>4297077.8057988677</v>
      </c>
      <c r="S5" s="362">
        <v>4259379</v>
      </c>
      <c r="T5" s="363"/>
    </row>
    <row r="6" spans="1:23" ht="13" customHeight="1">
      <c r="A6" s="354"/>
      <c r="B6" s="18" t="str">
        <f>IF('Summary | Sumário'!D3=Names!B3,Names!K4,Names!L4)</f>
        <v>Amounts due from financial institutions</v>
      </c>
      <c r="C6" s="363">
        <v>256097</v>
      </c>
      <c r="D6" s="363">
        <v>502369</v>
      </c>
      <c r="E6" s="363">
        <f t="shared" ref="E6:E17" si="0">K6</f>
        <v>2051862</v>
      </c>
      <c r="F6" s="363">
        <f t="shared" ref="F6:F17" si="1">O6</f>
        <v>4258856</v>
      </c>
      <c r="G6" s="363">
        <f t="shared" ref="G6:G17" si="2">S6</f>
        <v>3718505.7949100002</v>
      </c>
      <c r="H6" s="363">
        <v>578499</v>
      </c>
      <c r="I6" s="363">
        <v>646905</v>
      </c>
      <c r="J6" s="363">
        <v>1408183</v>
      </c>
      <c r="K6" s="363">
        <v>2051862</v>
      </c>
      <c r="L6" s="363">
        <v>1807258</v>
      </c>
      <c r="M6" s="363">
        <v>1825289</v>
      </c>
      <c r="N6" s="363">
        <v>3417500</v>
      </c>
      <c r="O6" s="363">
        <v>4258856</v>
      </c>
      <c r="P6" s="363">
        <v>3770074</v>
      </c>
      <c r="Q6" s="363">
        <v>2556811</v>
      </c>
      <c r="R6" s="363">
        <v>3474243.8523399998</v>
      </c>
      <c r="S6" s="363">
        <v>3718505.7949100002</v>
      </c>
      <c r="T6" s="363"/>
    </row>
    <row r="7" spans="1:23" ht="13" customHeight="1">
      <c r="A7" s="354"/>
      <c r="B7" s="24" t="str">
        <f>IF('Summary | Sumário'!D3=Names!B3,Names!K5,Names!L5)</f>
        <v>Compulsory deposits at Central Bank of Brazil</v>
      </c>
      <c r="C7" s="362">
        <v>392280</v>
      </c>
      <c r="D7" s="362">
        <v>1709729</v>
      </c>
      <c r="E7" s="362">
        <f t="shared" si="0"/>
        <v>2399488</v>
      </c>
      <c r="F7" s="362">
        <f t="shared" si="1"/>
        <v>2854778</v>
      </c>
      <c r="G7" s="362">
        <f t="shared" si="2"/>
        <v>2664415</v>
      </c>
      <c r="H7" s="362">
        <v>1644359</v>
      </c>
      <c r="I7" s="362">
        <v>1593298</v>
      </c>
      <c r="J7" s="362">
        <v>2331697</v>
      </c>
      <c r="K7" s="362">
        <v>2399488</v>
      </c>
      <c r="L7" s="362">
        <v>2361774</v>
      </c>
      <c r="M7" s="362">
        <v>2580989</v>
      </c>
      <c r="N7" s="362">
        <v>2686243</v>
      </c>
      <c r="O7" s="362">
        <v>2854778</v>
      </c>
      <c r="P7" s="362">
        <v>2993616</v>
      </c>
      <c r="Q7" s="362">
        <v>1703869</v>
      </c>
      <c r="R7" s="362">
        <v>2190872.3033499997</v>
      </c>
      <c r="S7" s="362">
        <v>2664415</v>
      </c>
      <c r="T7" s="363"/>
    </row>
    <row r="8" spans="1:23" ht="13" customHeight="1">
      <c r="A8" s="354"/>
      <c r="B8" s="18" t="str">
        <f>IF('Summary | Sumário'!D3=Names!B3,Names!K6,Names!L6)</f>
        <v>Securities</v>
      </c>
      <c r="C8" s="363">
        <v>1155094</v>
      </c>
      <c r="D8" s="363">
        <v>5812622</v>
      </c>
      <c r="E8" s="363">
        <f t="shared" si="0"/>
        <v>12757687</v>
      </c>
      <c r="F8" s="363">
        <f t="shared" si="1"/>
        <v>12448565</v>
      </c>
      <c r="G8" s="363">
        <f t="shared" si="2"/>
        <v>16868112</v>
      </c>
      <c r="H8" s="363">
        <v>6619726</v>
      </c>
      <c r="I8" s="363">
        <v>8230481</v>
      </c>
      <c r="J8" s="363">
        <v>13241180</v>
      </c>
      <c r="K8" s="363">
        <v>12757687</v>
      </c>
      <c r="L8" s="363">
        <v>12335401</v>
      </c>
      <c r="M8" s="363">
        <v>12710051</v>
      </c>
      <c r="N8" s="363">
        <v>13373465</v>
      </c>
      <c r="O8" s="363">
        <v>12448565</v>
      </c>
      <c r="P8" s="363">
        <v>12535351</v>
      </c>
      <c r="Q8" s="363">
        <v>14169684</v>
      </c>
      <c r="R8" s="363">
        <v>14908297</v>
      </c>
      <c r="S8" s="363">
        <v>16868112</v>
      </c>
      <c r="T8" s="363"/>
    </row>
    <row r="9" spans="1:23" ht="13" customHeight="1">
      <c r="A9" s="354"/>
      <c r="B9" s="24" t="str">
        <f>IF('Summary | Sumário'!D3=Names!B3,Names!K7,Names!L7)</f>
        <v>Derivative financial assets</v>
      </c>
      <c r="C9" s="362">
        <v>0</v>
      </c>
      <c r="D9" s="362">
        <v>27513</v>
      </c>
      <c r="E9" s="362">
        <f t="shared" si="0"/>
        <v>86948</v>
      </c>
      <c r="F9" s="362">
        <f t="shared" si="1"/>
        <v>0</v>
      </c>
      <c r="G9" s="362">
        <f t="shared" si="2"/>
        <v>4238</v>
      </c>
      <c r="H9" s="362">
        <v>18603</v>
      </c>
      <c r="I9" s="362">
        <v>11684</v>
      </c>
      <c r="J9" s="362">
        <v>7643</v>
      </c>
      <c r="K9" s="362">
        <v>86948</v>
      </c>
      <c r="L9" s="362">
        <v>10410</v>
      </c>
      <c r="M9" s="362">
        <v>3212</v>
      </c>
      <c r="N9" s="362">
        <v>581</v>
      </c>
      <c r="O9" s="362">
        <v>0</v>
      </c>
      <c r="P9" s="362">
        <v>1122</v>
      </c>
      <c r="Q9" s="362">
        <v>3625</v>
      </c>
      <c r="R9" s="362">
        <v>9388.5369900000005</v>
      </c>
      <c r="S9" s="362">
        <v>4238</v>
      </c>
      <c r="T9" s="363"/>
    </row>
    <row r="10" spans="1:23" ht="13" customHeight="1">
      <c r="A10" s="354"/>
      <c r="B10" s="18" t="str">
        <f>IF('Summary | Sumário'!D$3=Names!B$3,Names!K8,Names!L8)</f>
        <v>Net loans and advances to customers</v>
      </c>
      <c r="C10" s="363">
        <v>4561824</v>
      </c>
      <c r="D10" s="363">
        <v>8507703</v>
      </c>
      <c r="E10" s="363">
        <f t="shared" si="0"/>
        <v>16535430</v>
      </c>
      <c r="F10" s="363">
        <f t="shared" si="1"/>
        <v>21379916</v>
      </c>
      <c r="G10" s="363">
        <f t="shared" si="2"/>
        <v>27900543</v>
      </c>
      <c r="H10" s="363">
        <v>9908120</v>
      </c>
      <c r="I10" s="363">
        <v>12040483</v>
      </c>
      <c r="J10" s="363">
        <v>14301537</v>
      </c>
      <c r="K10" s="363">
        <v>16535430</v>
      </c>
      <c r="L10" s="363">
        <v>17374632</v>
      </c>
      <c r="M10" s="363">
        <v>18510189</v>
      </c>
      <c r="N10" s="363">
        <v>19820903</v>
      </c>
      <c r="O10" s="363">
        <v>21379916</v>
      </c>
      <c r="P10" s="363">
        <v>22371167</v>
      </c>
      <c r="Q10" s="363">
        <v>23523982</v>
      </c>
      <c r="R10" s="363">
        <v>25296620</v>
      </c>
      <c r="S10" s="363">
        <v>27900543</v>
      </c>
      <c r="T10" s="363"/>
    </row>
    <row r="11" spans="1:23" ht="13" customHeight="1">
      <c r="A11" s="354"/>
      <c r="B11" s="24" t="str">
        <f>IF('Summary | Sumário'!D$3=Names!B$3,Names!K9,Names!L9)</f>
        <v>Non-current assets held for sale</v>
      </c>
      <c r="C11" s="362">
        <v>121632</v>
      </c>
      <c r="D11" s="362">
        <v>119929</v>
      </c>
      <c r="E11" s="362">
        <f t="shared" si="0"/>
        <v>129793</v>
      </c>
      <c r="F11" s="362">
        <f t="shared" si="1"/>
        <v>166943</v>
      </c>
      <c r="G11" s="362">
        <f t="shared" si="2"/>
        <v>174355</v>
      </c>
      <c r="H11" s="362">
        <v>114385</v>
      </c>
      <c r="I11" s="362">
        <v>136305</v>
      </c>
      <c r="J11" s="362">
        <v>134931</v>
      </c>
      <c r="K11" s="362">
        <v>129793</v>
      </c>
      <c r="L11" s="362">
        <v>136641</v>
      </c>
      <c r="M11" s="362">
        <v>161254</v>
      </c>
      <c r="N11" s="362">
        <v>165703</v>
      </c>
      <c r="O11" s="362">
        <v>166943</v>
      </c>
      <c r="P11" s="362">
        <v>178413</v>
      </c>
      <c r="Q11" s="362">
        <v>176866</v>
      </c>
      <c r="R11" s="362">
        <v>169346.87808000002</v>
      </c>
      <c r="S11" s="362">
        <v>174355</v>
      </c>
      <c r="T11" s="363"/>
    </row>
    <row r="12" spans="1:23" ht="13" customHeight="1">
      <c r="A12" s="354"/>
      <c r="B12" s="18" t="str">
        <f>IF('Summary | Sumário'!D$3=Names!B$3,Names!K10,Names!L10)</f>
        <v>Equity accounted investees</v>
      </c>
      <c r="C12" s="363">
        <v>0</v>
      </c>
      <c r="D12" s="363">
        <v>0</v>
      </c>
      <c r="E12" s="363">
        <f t="shared" si="0"/>
        <v>82445</v>
      </c>
      <c r="F12" s="363">
        <f t="shared" si="1"/>
        <v>72090</v>
      </c>
      <c r="G12" s="363">
        <f t="shared" si="2"/>
        <v>90634</v>
      </c>
      <c r="H12" s="363">
        <v>91162</v>
      </c>
      <c r="I12" s="363">
        <v>95055</v>
      </c>
      <c r="J12" s="363">
        <v>148434</v>
      </c>
      <c r="K12" s="363">
        <v>82445</v>
      </c>
      <c r="L12" s="363">
        <v>85231</v>
      </c>
      <c r="M12" s="363">
        <v>80741</v>
      </c>
      <c r="N12" s="363">
        <v>76849</v>
      </c>
      <c r="O12" s="363">
        <v>72090</v>
      </c>
      <c r="P12" s="363">
        <v>70820</v>
      </c>
      <c r="Q12" s="363">
        <v>71900</v>
      </c>
      <c r="R12" s="363">
        <v>71884.022609999229</v>
      </c>
      <c r="S12" s="363">
        <v>90634</v>
      </c>
      <c r="T12" s="363"/>
    </row>
    <row r="13" spans="1:23" ht="13" customHeight="1">
      <c r="A13" s="354"/>
      <c r="B13" s="24" t="str">
        <f>IF('Summary | Sumário'!D$3=Names!B$3,Names!K11,Names!L11)</f>
        <v>Property and equipment</v>
      </c>
      <c r="C13" s="362">
        <v>91851</v>
      </c>
      <c r="D13" s="362">
        <v>137846</v>
      </c>
      <c r="E13" s="362">
        <f t="shared" si="0"/>
        <v>163475</v>
      </c>
      <c r="F13" s="362">
        <f t="shared" si="1"/>
        <v>188019</v>
      </c>
      <c r="G13" s="362">
        <f t="shared" si="2"/>
        <v>167547</v>
      </c>
      <c r="H13" s="362">
        <v>149132</v>
      </c>
      <c r="I13" s="362">
        <v>158686</v>
      </c>
      <c r="J13" s="362">
        <v>379252</v>
      </c>
      <c r="K13" s="362">
        <v>163475</v>
      </c>
      <c r="L13" s="362">
        <v>204039</v>
      </c>
      <c r="M13" s="362">
        <v>200804</v>
      </c>
      <c r="N13" s="362">
        <v>193905</v>
      </c>
      <c r="O13" s="362">
        <v>188019</v>
      </c>
      <c r="P13" s="362">
        <v>180923</v>
      </c>
      <c r="Q13" s="362">
        <v>179317</v>
      </c>
      <c r="R13" s="362">
        <v>173677</v>
      </c>
      <c r="S13" s="362">
        <v>167547</v>
      </c>
      <c r="T13" s="363"/>
    </row>
    <row r="14" spans="1:23" ht="13" customHeight="1">
      <c r="A14" s="354"/>
      <c r="B14" s="18" t="str">
        <f>IF('Summary | Sumário'!D$3=Names!B$3,Names!K12,Names!L12)</f>
        <v>Intangible assets</v>
      </c>
      <c r="C14" s="363">
        <v>79248</v>
      </c>
      <c r="D14" s="363">
        <v>224516</v>
      </c>
      <c r="E14" s="363">
        <f t="shared" si="0"/>
        <v>430504</v>
      </c>
      <c r="F14" s="363">
        <f t="shared" si="1"/>
        <v>1238629</v>
      </c>
      <c r="G14" s="363">
        <f t="shared" si="2"/>
        <v>1345304</v>
      </c>
      <c r="H14" s="363">
        <v>303418</v>
      </c>
      <c r="I14" s="363">
        <v>348745</v>
      </c>
      <c r="J14" s="363">
        <v>569127.75</v>
      </c>
      <c r="K14" s="363">
        <v>430504</v>
      </c>
      <c r="L14" s="363">
        <v>1316366</v>
      </c>
      <c r="M14" s="363">
        <v>1189909</v>
      </c>
      <c r="N14" s="363">
        <v>1209471</v>
      </c>
      <c r="O14" s="363">
        <v>1238629</v>
      </c>
      <c r="P14" s="363">
        <v>1274423</v>
      </c>
      <c r="Q14" s="363">
        <v>1303182</v>
      </c>
      <c r="R14" s="363">
        <v>1322350</v>
      </c>
      <c r="S14" s="363">
        <v>1345304</v>
      </c>
      <c r="T14" s="363"/>
    </row>
    <row r="15" spans="1:23" ht="13" customHeight="1">
      <c r="A15" s="354"/>
      <c r="B15" s="24" t="str">
        <f>IF('Summary | Sumário'!D$3=Names!B$3,Names!K13,Names!L13)</f>
        <v>Deferred tax assets</v>
      </c>
      <c r="C15" s="362">
        <v>112217</v>
      </c>
      <c r="D15" s="362">
        <v>206018</v>
      </c>
      <c r="E15" s="362">
        <f t="shared" si="0"/>
        <v>695525.47689649905</v>
      </c>
      <c r="F15" s="362">
        <f t="shared" si="1"/>
        <v>978148</v>
      </c>
      <c r="G15" s="362">
        <f t="shared" si="2"/>
        <v>1033535</v>
      </c>
      <c r="H15" s="362">
        <v>374673</v>
      </c>
      <c r="I15" s="362">
        <v>512637</v>
      </c>
      <c r="J15" s="362">
        <v>89648</v>
      </c>
      <c r="K15" s="362">
        <v>695525.47689649905</v>
      </c>
      <c r="L15" s="362">
        <v>831698</v>
      </c>
      <c r="M15" s="362">
        <v>931537</v>
      </c>
      <c r="N15" s="362">
        <v>872798</v>
      </c>
      <c r="O15" s="362">
        <v>978148</v>
      </c>
      <c r="P15" s="362">
        <v>1008370</v>
      </c>
      <c r="Q15" s="362">
        <v>940399</v>
      </c>
      <c r="R15" s="362">
        <v>1071248</v>
      </c>
      <c r="S15" s="362">
        <v>1033535</v>
      </c>
      <c r="T15" s="363"/>
    </row>
    <row r="16" spans="1:23" ht="13" customHeight="1">
      <c r="A16" s="354"/>
      <c r="B16" s="18" t="str">
        <f>IF('Summary | Sumário'!D$3=Names!B$3,Names!K14,Names!L14)</f>
        <v>Other assets</v>
      </c>
      <c r="C16" s="329">
        <v>192054</v>
      </c>
      <c r="D16" s="329">
        <v>518681</v>
      </c>
      <c r="E16" s="329">
        <f t="shared" si="0"/>
        <v>792734.63349000004</v>
      </c>
      <c r="F16" s="329">
        <f t="shared" si="1"/>
        <v>1425508</v>
      </c>
      <c r="G16" s="329">
        <f t="shared" si="2"/>
        <v>2125231</v>
      </c>
      <c r="H16" s="329">
        <v>728467</v>
      </c>
      <c r="I16" s="329">
        <v>804207.20399999991</v>
      </c>
      <c r="J16" s="329">
        <v>699185.75381999998</v>
      </c>
      <c r="K16" s="329">
        <v>792734.63349000004</v>
      </c>
      <c r="L16" s="329">
        <v>977090</v>
      </c>
      <c r="M16" s="329">
        <v>1190646</v>
      </c>
      <c r="N16" s="329">
        <v>1188339</v>
      </c>
      <c r="O16" s="329">
        <v>1425508</v>
      </c>
      <c r="P16" s="329">
        <v>1525108</v>
      </c>
      <c r="Q16" s="329">
        <v>1701475</v>
      </c>
      <c r="R16" s="329">
        <v>2093833</v>
      </c>
      <c r="S16" s="329">
        <v>2125231</v>
      </c>
      <c r="T16" s="329"/>
    </row>
    <row r="17" spans="1:21" ht="13" customHeight="1">
      <c r="A17" s="354"/>
      <c r="B17" s="424" t="str">
        <f>IF('Summary | Sumário'!D$3=Names!B$3,Names!K15,Names!L15)</f>
        <v>Total assets</v>
      </c>
      <c r="C17" s="425">
        <v>10077086</v>
      </c>
      <c r="D17" s="425">
        <v>19921613</v>
      </c>
      <c r="E17" s="425">
        <f t="shared" si="0"/>
        <v>36626337.428616509</v>
      </c>
      <c r="F17" s="425">
        <f t="shared" si="1"/>
        <v>46343100</v>
      </c>
      <c r="G17" s="425">
        <f t="shared" si="2"/>
        <v>60351796.794909999</v>
      </c>
      <c r="H17" s="425">
        <v>21436667</v>
      </c>
      <c r="I17" s="425">
        <v>30309493.204999998</v>
      </c>
      <c r="J17" s="425">
        <v>33762592.801820002</v>
      </c>
      <c r="K17" s="425">
        <v>36626337.428616509</v>
      </c>
      <c r="L17" s="425">
        <v>38612194</v>
      </c>
      <c r="M17" s="425">
        <v>40933779</v>
      </c>
      <c r="N17" s="425">
        <v>43844067</v>
      </c>
      <c r="O17" s="425">
        <v>46343100</v>
      </c>
      <c r="P17" s="425">
        <v>47701094</v>
      </c>
      <c r="Q17" s="425">
        <v>50003329</v>
      </c>
      <c r="R17" s="425">
        <v>55078840</v>
      </c>
      <c r="S17" s="425">
        <v>60351796.794909999</v>
      </c>
      <c r="T17" s="341"/>
    </row>
    <row r="18" spans="1:21" ht="13" customHeight="1">
      <c r="A18" s="354"/>
      <c r="B18" s="5"/>
      <c r="C18" s="341"/>
      <c r="D18" s="341"/>
      <c r="E18" s="341"/>
      <c r="F18" s="341"/>
      <c r="G18" s="341"/>
      <c r="H18" s="341"/>
      <c r="I18" s="341"/>
      <c r="J18" s="341"/>
      <c r="K18" s="341"/>
      <c r="L18" s="341"/>
      <c r="M18" s="341"/>
      <c r="N18" s="341"/>
      <c r="O18" s="341"/>
      <c r="P18" s="341"/>
      <c r="Q18" s="341"/>
      <c r="R18" s="341"/>
      <c r="S18" s="341"/>
      <c r="T18" s="341"/>
      <c r="U18" s="364"/>
    </row>
    <row r="19" spans="1:21" ht="13" customHeight="1">
      <c r="A19" s="354"/>
      <c r="B19" s="37" t="str">
        <f>IF('Summary | Sumário'!D$3=Names!B$3,Names!K16,Names!L16)</f>
        <v>Liabilities</v>
      </c>
      <c r="C19" s="355"/>
      <c r="D19" s="355"/>
      <c r="E19" s="355"/>
      <c r="F19" s="355"/>
      <c r="G19" s="355"/>
      <c r="H19" s="355"/>
      <c r="I19" s="355"/>
      <c r="J19" s="355"/>
      <c r="K19" s="355"/>
      <c r="L19" s="355"/>
      <c r="M19" s="355"/>
      <c r="N19" s="355"/>
      <c r="O19" s="355"/>
      <c r="P19" s="355"/>
      <c r="Q19" s="355"/>
      <c r="R19" s="355"/>
      <c r="S19" s="355"/>
      <c r="T19" s="341"/>
    </row>
    <row r="20" spans="1:21" ht="13" customHeight="1">
      <c r="A20" s="354"/>
      <c r="B20" s="18" t="str">
        <f>IF('Summary | Sumário'!D$3=Names!B$3,Names!K17,Names!L17)</f>
        <v xml:space="preserve">Liabilities with financial and similar institutions </v>
      </c>
      <c r="C20" s="363">
        <v>1152492</v>
      </c>
      <c r="D20" s="363">
        <v>1756913</v>
      </c>
      <c r="E20" s="363">
        <f t="shared" ref="E20:E28" si="3">K20</f>
        <v>5341464</v>
      </c>
      <c r="F20" s="363">
        <f t="shared" ref="F20:F28" si="4">O20</f>
        <v>7906897</v>
      </c>
      <c r="G20" s="329">
        <f t="shared" ref="G20:G29" si="5">S20</f>
        <v>9522469</v>
      </c>
      <c r="H20" s="363">
        <v>2236178</v>
      </c>
      <c r="I20" s="363">
        <v>3003367</v>
      </c>
      <c r="J20" s="363">
        <v>4235618</v>
      </c>
      <c r="K20" s="363">
        <v>5341464</v>
      </c>
      <c r="L20" s="363">
        <v>5917844</v>
      </c>
      <c r="M20" s="329">
        <v>6945236</v>
      </c>
      <c r="N20" s="329">
        <v>7349464</v>
      </c>
      <c r="O20" s="329">
        <v>7906897</v>
      </c>
      <c r="P20" s="329">
        <v>8216538</v>
      </c>
      <c r="Q20" s="329">
        <v>8023953</v>
      </c>
      <c r="R20" s="329">
        <v>9418244.5561900008</v>
      </c>
      <c r="S20" s="329">
        <v>9522469</v>
      </c>
      <c r="T20" s="329"/>
    </row>
    <row r="21" spans="1:21" ht="13" customHeight="1">
      <c r="A21" s="354"/>
      <c r="B21" s="24" t="str">
        <f>IF('Summary | Sumário'!D$3=Names!B$3,Names!K18,Names!L18)</f>
        <v>Liabilities with customers</v>
      </c>
      <c r="C21" s="362">
        <v>4714439</v>
      </c>
      <c r="D21" s="362">
        <v>12436632</v>
      </c>
      <c r="E21" s="362">
        <f t="shared" si="3"/>
        <v>18333543</v>
      </c>
      <c r="F21" s="362">
        <f t="shared" si="4"/>
        <v>23642804</v>
      </c>
      <c r="G21" s="328">
        <f t="shared" si="5"/>
        <v>32651620</v>
      </c>
      <c r="H21" s="362">
        <v>13392679</v>
      </c>
      <c r="I21" s="362">
        <v>15629130.619999999</v>
      </c>
      <c r="J21" s="362">
        <v>17093473.298</v>
      </c>
      <c r="K21" s="362">
        <v>18333543</v>
      </c>
      <c r="L21" s="362">
        <v>18958118</v>
      </c>
      <c r="M21" s="328">
        <v>19746409</v>
      </c>
      <c r="N21" s="328">
        <v>21452026</v>
      </c>
      <c r="O21" s="328">
        <v>23642804</v>
      </c>
      <c r="P21" s="328">
        <v>24182006</v>
      </c>
      <c r="Q21" s="328">
        <v>26299326</v>
      </c>
      <c r="R21" s="328">
        <v>29063988</v>
      </c>
      <c r="S21" s="328">
        <v>32651620</v>
      </c>
      <c r="T21" s="329"/>
      <c r="U21" s="365"/>
    </row>
    <row r="22" spans="1:21" ht="13" customHeight="1">
      <c r="A22" s="354"/>
      <c r="B22" s="18" t="str">
        <f>IF('Summary | Sumário'!D$3=Names!B$3,Names!K19,Names!L19)</f>
        <v>Securities issued</v>
      </c>
      <c r="C22" s="363">
        <v>1719580</v>
      </c>
      <c r="D22" s="363">
        <v>1729436</v>
      </c>
      <c r="E22" s="363">
        <f t="shared" si="3"/>
        <v>3572093</v>
      </c>
      <c r="F22" s="363">
        <f t="shared" si="4"/>
        <v>6202165</v>
      </c>
      <c r="G22" s="329">
        <f t="shared" si="5"/>
        <v>8095042</v>
      </c>
      <c r="H22" s="363">
        <v>1704892</v>
      </c>
      <c r="I22" s="363">
        <v>2081723</v>
      </c>
      <c r="J22" s="363">
        <v>3093320</v>
      </c>
      <c r="K22" s="363">
        <v>3572093</v>
      </c>
      <c r="L22" s="363">
        <v>4280956</v>
      </c>
      <c r="M22" s="329">
        <v>6104223</v>
      </c>
      <c r="N22" s="329">
        <v>6916919</v>
      </c>
      <c r="O22" s="329">
        <v>6202165</v>
      </c>
      <c r="P22" s="329">
        <v>6640557</v>
      </c>
      <c r="Q22" s="329">
        <v>7006191.0407400001</v>
      </c>
      <c r="R22" s="329">
        <v>7462564.5372699993</v>
      </c>
      <c r="S22" s="329">
        <v>8095042</v>
      </c>
      <c r="T22" s="329"/>
    </row>
    <row r="23" spans="1:21" ht="13" customHeight="1">
      <c r="A23" s="354"/>
      <c r="B23" s="24" t="str">
        <f>IF('Summary | Sumário'!D$3=Names!B$3,Names!K20,Names!L20)</f>
        <v>Derivative financial liabilities</v>
      </c>
      <c r="C23" s="362">
        <v>20941</v>
      </c>
      <c r="D23" s="362">
        <v>56758</v>
      </c>
      <c r="E23" s="362">
        <f t="shared" si="3"/>
        <v>66545</v>
      </c>
      <c r="F23" s="362">
        <f t="shared" si="4"/>
        <v>37768</v>
      </c>
      <c r="G23" s="328">
        <f t="shared" si="5"/>
        <v>15063</v>
      </c>
      <c r="H23" s="362">
        <v>83222</v>
      </c>
      <c r="I23" s="362">
        <v>78887</v>
      </c>
      <c r="J23" s="362">
        <v>81359</v>
      </c>
      <c r="K23" s="362">
        <v>66545</v>
      </c>
      <c r="L23" s="362">
        <v>76042</v>
      </c>
      <c r="M23" s="328">
        <v>65888</v>
      </c>
      <c r="N23" s="328">
        <v>40347</v>
      </c>
      <c r="O23" s="328">
        <v>37768</v>
      </c>
      <c r="P23" s="328">
        <v>32614</v>
      </c>
      <c r="Q23" s="328">
        <v>27996</v>
      </c>
      <c r="R23" s="328">
        <v>21058.658820000001</v>
      </c>
      <c r="S23" s="328">
        <v>15063</v>
      </c>
      <c r="T23" s="329"/>
    </row>
    <row r="24" spans="1:21" ht="13" customHeight="1">
      <c r="A24" s="354"/>
      <c r="B24" s="18" t="str">
        <f>IF('Summary | Sumário'!D$3=Names!B$3,Names!K21,Names!L21)</f>
        <v>Borrowing and onlending</v>
      </c>
      <c r="C24" s="363">
        <v>29800</v>
      </c>
      <c r="D24" s="363">
        <v>27405</v>
      </c>
      <c r="E24" s="363">
        <f t="shared" si="3"/>
        <v>25071</v>
      </c>
      <c r="F24" s="363">
        <f t="shared" si="4"/>
        <v>36448</v>
      </c>
      <c r="G24" s="329">
        <f t="shared" si="5"/>
        <v>107412</v>
      </c>
      <c r="H24" s="363">
        <v>27179</v>
      </c>
      <c r="I24" s="363">
        <v>26325</v>
      </c>
      <c r="J24" s="363">
        <v>25580</v>
      </c>
      <c r="K24" s="363">
        <v>25071</v>
      </c>
      <c r="L24" s="363">
        <v>33002</v>
      </c>
      <c r="M24" s="329">
        <v>31855</v>
      </c>
      <c r="N24" s="329">
        <v>33119</v>
      </c>
      <c r="O24" s="329">
        <v>36448</v>
      </c>
      <c r="P24" s="329">
        <v>36632</v>
      </c>
      <c r="Q24" s="329">
        <v>38753</v>
      </c>
      <c r="R24" s="329">
        <v>87649</v>
      </c>
      <c r="S24" s="329">
        <v>107412</v>
      </c>
      <c r="T24" s="329"/>
    </row>
    <row r="25" spans="1:21" ht="13" customHeight="1">
      <c r="A25" s="354"/>
      <c r="B25" s="24" t="str">
        <f>IF('Summary | Sumário'!D$3=Names!B$3,Names!K22,Names!L22)</f>
        <v>Tax liabilities</v>
      </c>
      <c r="C25" s="362">
        <v>18202</v>
      </c>
      <c r="D25" s="362">
        <v>30271</v>
      </c>
      <c r="E25" s="362">
        <f t="shared" si="3"/>
        <v>78406</v>
      </c>
      <c r="F25" s="362">
        <f t="shared" si="4"/>
        <v>166865</v>
      </c>
      <c r="G25" s="328">
        <f t="shared" si="5"/>
        <v>363262</v>
      </c>
      <c r="H25" s="362">
        <v>50880</v>
      </c>
      <c r="I25" s="362">
        <v>42517</v>
      </c>
      <c r="J25" s="362">
        <v>55514.155149999999</v>
      </c>
      <c r="K25" s="362">
        <v>78406</v>
      </c>
      <c r="L25" s="362">
        <v>102495</v>
      </c>
      <c r="M25" s="328">
        <v>163665</v>
      </c>
      <c r="N25" s="328">
        <v>153726</v>
      </c>
      <c r="O25" s="328">
        <v>166865</v>
      </c>
      <c r="P25" s="328">
        <v>154341</v>
      </c>
      <c r="Q25" s="328">
        <v>206021</v>
      </c>
      <c r="R25" s="328">
        <v>332844.93984000006</v>
      </c>
      <c r="S25" s="328">
        <v>363262</v>
      </c>
      <c r="T25" s="329"/>
    </row>
    <row r="26" spans="1:21" ht="13" customHeight="1">
      <c r="A26" s="354"/>
      <c r="B26" s="18" t="str">
        <f>IF('Summary | Sumário'!D$3=Names!B$3,Names!K25,Names!L25)</f>
        <v>Provisions</v>
      </c>
      <c r="C26" s="363">
        <v>22055</v>
      </c>
      <c r="D26" s="363">
        <v>23637</v>
      </c>
      <c r="E26" s="363">
        <f t="shared" si="3"/>
        <v>52848</v>
      </c>
      <c r="F26" s="363">
        <f t="shared" si="4"/>
        <v>57449</v>
      </c>
      <c r="G26" s="329">
        <f t="shared" si="5"/>
        <v>70452</v>
      </c>
      <c r="H26" s="363">
        <v>25182</v>
      </c>
      <c r="I26" s="363">
        <v>37558</v>
      </c>
      <c r="J26" s="363">
        <v>41873</v>
      </c>
      <c r="K26" s="363">
        <v>52848</v>
      </c>
      <c r="L26" s="363">
        <v>55607</v>
      </c>
      <c r="M26" s="329">
        <v>61118</v>
      </c>
      <c r="N26" s="329">
        <v>59219</v>
      </c>
      <c r="O26" s="329">
        <v>57449</v>
      </c>
      <c r="P26" s="329">
        <v>63213</v>
      </c>
      <c r="Q26" s="329">
        <v>65931</v>
      </c>
      <c r="R26" s="329">
        <v>35040.451930000003</v>
      </c>
      <c r="S26" s="329">
        <v>70452</v>
      </c>
      <c r="T26" s="329"/>
    </row>
    <row r="27" spans="1:21" ht="13" customHeight="1">
      <c r="A27" s="354"/>
      <c r="B27" s="24" t="str">
        <f>IF('Summary | Sumário'!D$3=Names!B$3,Names!K26,Names!L26)</f>
        <v>Deferred tax liabilities</v>
      </c>
      <c r="C27" s="362">
        <v>21524</v>
      </c>
      <c r="D27" s="362">
        <v>60926</v>
      </c>
      <c r="E27" s="362">
        <f t="shared" si="3"/>
        <v>89235</v>
      </c>
      <c r="F27" s="362">
        <f t="shared" si="4"/>
        <v>30073</v>
      </c>
      <c r="G27" s="328">
        <f t="shared" si="5"/>
        <v>32539</v>
      </c>
      <c r="H27" s="362">
        <v>90691</v>
      </c>
      <c r="I27" s="362">
        <v>85656</v>
      </c>
      <c r="J27" s="362">
        <v>27373.95</v>
      </c>
      <c r="K27" s="362">
        <v>89235</v>
      </c>
      <c r="L27" s="362">
        <v>92379</v>
      </c>
      <c r="M27" s="328">
        <v>81915</v>
      </c>
      <c r="N27" s="328">
        <v>0</v>
      </c>
      <c r="O27" s="328">
        <v>30073</v>
      </c>
      <c r="P27" s="328">
        <v>29638</v>
      </c>
      <c r="Q27" s="328">
        <v>32670</v>
      </c>
      <c r="R27" s="328">
        <v>28894.89588</v>
      </c>
      <c r="S27" s="328">
        <v>32539</v>
      </c>
      <c r="T27" s="329"/>
    </row>
    <row r="28" spans="1:21" ht="13" customHeight="1">
      <c r="A28" s="354"/>
      <c r="B28" s="18" t="str">
        <f>IF('Summary | Sumário'!D$3=Names!B$3,Names!K27,Names!L27)</f>
        <v>Other liabilities</v>
      </c>
      <c r="C28" s="329">
        <v>216115</v>
      </c>
      <c r="D28" s="329">
        <v>475420</v>
      </c>
      <c r="E28" s="329">
        <f t="shared" si="3"/>
        <v>617348.59181000001</v>
      </c>
      <c r="F28" s="329">
        <f t="shared" si="4"/>
        <v>1173527</v>
      </c>
      <c r="G28" s="329">
        <f t="shared" si="5"/>
        <v>1897248</v>
      </c>
      <c r="H28" s="329">
        <v>575148</v>
      </c>
      <c r="I28" s="329">
        <v>631703.80099999998</v>
      </c>
      <c r="J28" s="329">
        <v>570154</v>
      </c>
      <c r="K28" s="329">
        <v>617348.59181000001</v>
      </c>
      <c r="L28" s="329">
        <v>741385</v>
      </c>
      <c r="M28" s="329">
        <v>618089</v>
      </c>
      <c r="N28" s="329">
        <v>698852</v>
      </c>
      <c r="O28" s="329">
        <v>1173527</v>
      </c>
      <c r="P28" s="329">
        <v>1205649</v>
      </c>
      <c r="Q28" s="329">
        <v>984830</v>
      </c>
      <c r="R28" s="329">
        <v>1260329</v>
      </c>
      <c r="S28" s="329">
        <v>1897248</v>
      </c>
      <c r="T28" s="329"/>
    </row>
    <row r="29" spans="1:21" ht="13" customHeight="1">
      <c r="A29" s="354"/>
      <c r="B29" s="424" t="str">
        <f>IF('Summary | Sumário'!D$3=Names!B$3,Names!K28,Names!L28)</f>
        <v>Total liabilities</v>
      </c>
      <c r="C29" s="425">
        <v>7915148</v>
      </c>
      <c r="D29" s="425">
        <v>16597398</v>
      </c>
      <c r="E29" s="425">
        <f>K29</f>
        <v>28176553.591809999</v>
      </c>
      <c r="F29" s="425">
        <f>O29</f>
        <v>39253996</v>
      </c>
      <c r="G29" s="425">
        <f t="shared" si="5"/>
        <v>52755107</v>
      </c>
      <c r="H29" s="425">
        <v>18186051</v>
      </c>
      <c r="I29" s="425">
        <v>21616867.421</v>
      </c>
      <c r="J29" s="425">
        <v>25224265.40315</v>
      </c>
      <c r="K29" s="425">
        <v>28176553.591809999</v>
      </c>
      <c r="L29" s="425">
        <v>30257828</v>
      </c>
      <c r="M29" s="425">
        <v>33818398</v>
      </c>
      <c r="N29" s="425">
        <v>36703672</v>
      </c>
      <c r="O29" s="425">
        <v>39253996</v>
      </c>
      <c r="P29" s="425">
        <v>40561188</v>
      </c>
      <c r="Q29" s="425">
        <v>42685671</v>
      </c>
      <c r="R29" s="425">
        <v>47710613</v>
      </c>
      <c r="S29" s="425">
        <v>52755107</v>
      </c>
      <c r="T29" s="341"/>
    </row>
    <row r="30" spans="1:21" ht="13" customHeight="1">
      <c r="A30" s="354"/>
      <c r="B30" s="5"/>
      <c r="C30" s="341"/>
      <c r="D30" s="341"/>
      <c r="E30" s="341"/>
      <c r="F30" s="341"/>
      <c r="G30" s="341"/>
      <c r="H30" s="341"/>
      <c r="I30" s="341"/>
      <c r="J30" s="341"/>
      <c r="K30" s="341"/>
      <c r="L30" s="341"/>
      <c r="M30" s="341"/>
      <c r="N30" s="341"/>
      <c r="O30" s="341"/>
      <c r="P30" s="341"/>
      <c r="Q30" s="341"/>
      <c r="R30" s="341"/>
      <c r="S30" s="341"/>
      <c r="T30" s="341"/>
    </row>
    <row r="31" spans="1:21" ht="13" customHeight="1">
      <c r="A31" s="354"/>
      <c r="B31" s="37" t="str">
        <f>IF('Summary | Sumário'!D$3=Names!B$3,Names!K29,Names!L29)</f>
        <v>Equity</v>
      </c>
      <c r="C31" s="355"/>
      <c r="D31" s="355"/>
      <c r="E31" s="355"/>
      <c r="F31" s="355"/>
      <c r="G31" s="355"/>
      <c r="H31" s="355"/>
      <c r="I31" s="355"/>
      <c r="J31" s="355"/>
      <c r="K31" s="355"/>
      <c r="L31" s="355"/>
      <c r="M31" s="355"/>
      <c r="N31" s="355"/>
      <c r="O31" s="355"/>
      <c r="P31" s="355"/>
      <c r="Q31" s="355"/>
      <c r="R31" s="355"/>
      <c r="S31" s="355"/>
      <c r="T31" s="341"/>
    </row>
    <row r="32" spans="1:21" ht="13" customHeight="1">
      <c r="A32" s="354"/>
      <c r="B32" s="18" t="str">
        <f>IF('Summary | Sumário'!D$3=Names!B$3,Names!K30,Names!L30)</f>
        <v>Equity attributable to owners of the Company</v>
      </c>
      <c r="C32" s="363">
        <f>SUM(C33:C36)</f>
        <v>2157761</v>
      </c>
      <c r="D32" s="363">
        <f t="shared" ref="D32:O32" si="6">SUM(D33:D36)</f>
        <v>3275634</v>
      </c>
      <c r="E32" s="363">
        <f t="shared" si="6"/>
        <v>2656124.8541782</v>
      </c>
      <c r="F32" s="363">
        <f t="shared" si="6"/>
        <v>6992382</v>
      </c>
      <c r="G32" s="363">
        <f t="shared" ref="G32:G38" si="7">S32</f>
        <v>7471810</v>
      </c>
      <c r="H32" s="363">
        <f t="shared" si="6"/>
        <v>3200971</v>
      </c>
      <c r="I32" s="363">
        <f t="shared" si="6"/>
        <v>2725582.0000000005</v>
      </c>
      <c r="J32" s="363">
        <f t="shared" si="6"/>
        <v>2684449.7805932802</v>
      </c>
      <c r="K32" s="363">
        <f t="shared" si="6"/>
        <v>2656124.8541782</v>
      </c>
      <c r="L32" s="363">
        <f t="shared" si="6"/>
        <v>2615835.2391781998</v>
      </c>
      <c r="M32" s="363">
        <f t="shared" si="6"/>
        <v>7034059</v>
      </c>
      <c r="N32" s="363">
        <f t="shared" si="6"/>
        <v>7044410</v>
      </c>
      <c r="O32" s="363">
        <f t="shared" si="6"/>
        <v>6992382</v>
      </c>
      <c r="P32" s="363">
        <f>SUM(P33:P36)</f>
        <v>7030966</v>
      </c>
      <c r="Q32" s="363">
        <f>SUM(Q33:Q36)</f>
        <v>7203957</v>
      </c>
      <c r="R32" s="363">
        <f>SUM(R33:R36)</f>
        <v>7260368</v>
      </c>
      <c r="S32" s="363">
        <f>SUM(S33:S36)</f>
        <v>7471810</v>
      </c>
      <c r="T32" s="363"/>
    </row>
    <row r="33" spans="1:20" ht="13" customHeight="1">
      <c r="A33" s="354"/>
      <c r="B33" s="25" t="str">
        <f>IF('Summary | Sumário'!D$3=Names!B$3,Names!K31,Names!L31)</f>
        <v>Share capital</v>
      </c>
      <c r="C33" s="362">
        <v>2068305</v>
      </c>
      <c r="D33" s="362">
        <v>3216455</v>
      </c>
      <c r="E33" s="362">
        <f t="shared" ref="E33:E38" si="8">K33</f>
        <v>13.23917819999042</v>
      </c>
      <c r="F33" s="362">
        <f t="shared" ref="F33:F38" si="9">O33</f>
        <v>13</v>
      </c>
      <c r="G33" s="328">
        <f t="shared" si="7"/>
        <v>13</v>
      </c>
      <c r="H33" s="362">
        <v>3216455</v>
      </c>
      <c r="I33" s="362">
        <v>12.78059328001109</v>
      </c>
      <c r="J33" s="362">
        <v>12.78059328001109</v>
      </c>
      <c r="K33" s="362">
        <v>13.23917819999042</v>
      </c>
      <c r="L33" s="362">
        <v>13.23917819999042</v>
      </c>
      <c r="M33" s="328">
        <v>13</v>
      </c>
      <c r="N33" s="328">
        <v>13</v>
      </c>
      <c r="O33" s="328">
        <v>13</v>
      </c>
      <c r="P33" s="328">
        <v>13</v>
      </c>
      <c r="Q33" s="328">
        <v>13</v>
      </c>
      <c r="R33" s="328">
        <v>13</v>
      </c>
      <c r="S33" s="328">
        <v>13</v>
      </c>
      <c r="T33" s="329"/>
    </row>
    <row r="34" spans="1:20" ht="13" customHeight="1">
      <c r="A34" s="354"/>
      <c r="B34" s="19" t="str">
        <f>IF('Summary | Sumário'!D$3=Names!B$3,Names!K32,Names!L32)</f>
        <v>Reserves</v>
      </c>
      <c r="C34" s="363">
        <v>90152</v>
      </c>
      <c r="D34" s="363">
        <v>150709</v>
      </c>
      <c r="E34" s="363">
        <f t="shared" si="8"/>
        <v>2728396</v>
      </c>
      <c r="F34" s="363">
        <f t="shared" si="9"/>
        <v>7817670</v>
      </c>
      <c r="G34" s="329">
        <f t="shared" si="7"/>
        <v>8147285</v>
      </c>
      <c r="H34" s="363">
        <v>57846</v>
      </c>
      <c r="I34" s="363">
        <v>2744512.2194067203</v>
      </c>
      <c r="J34" s="363">
        <v>2733223</v>
      </c>
      <c r="K34" s="363">
        <v>2728396</v>
      </c>
      <c r="L34" s="363">
        <v>2700579</v>
      </c>
      <c r="M34" s="329">
        <v>7842630</v>
      </c>
      <c r="N34" s="329">
        <v>7870186</v>
      </c>
      <c r="O34" s="329">
        <v>7817670</v>
      </c>
      <c r="P34" s="329">
        <v>7855472</v>
      </c>
      <c r="Q34" s="329">
        <v>7902577</v>
      </c>
      <c r="R34" s="329">
        <v>7998214</v>
      </c>
      <c r="S34" s="329">
        <v>8147285</v>
      </c>
      <c r="T34" s="329"/>
    </row>
    <row r="35" spans="1:20" ht="13" customHeight="1">
      <c r="A35" s="354"/>
      <c r="B35" s="25" t="str">
        <f>IF('Summary | Sumário'!D$3=Names!B$3,Names!K33,Names!L33)</f>
        <v>Other comprehensive income</v>
      </c>
      <c r="C35" s="362">
        <v>-696</v>
      </c>
      <c r="D35" s="362">
        <v>25991</v>
      </c>
      <c r="E35" s="362">
        <f t="shared" si="8"/>
        <v>-72284.384999999995</v>
      </c>
      <c r="F35" s="362">
        <f t="shared" si="9"/>
        <v>-825301</v>
      </c>
      <c r="G35" s="328">
        <f t="shared" si="7"/>
        <v>-675488</v>
      </c>
      <c r="H35" s="362">
        <v>-36968</v>
      </c>
      <c r="I35" s="362">
        <v>-18943</v>
      </c>
      <c r="J35" s="362">
        <v>-48786</v>
      </c>
      <c r="K35" s="362">
        <v>-72284.384999999995</v>
      </c>
      <c r="L35" s="362">
        <v>-84757</v>
      </c>
      <c r="M35" s="328">
        <v>-808584</v>
      </c>
      <c r="N35" s="328">
        <v>-825789</v>
      </c>
      <c r="O35" s="328">
        <v>-825301</v>
      </c>
      <c r="P35" s="328">
        <v>-808110</v>
      </c>
      <c r="Q35" s="328">
        <v>-682224</v>
      </c>
      <c r="R35" s="328">
        <v>-729442</v>
      </c>
      <c r="S35" s="328">
        <v>-675488</v>
      </c>
      <c r="T35" s="329"/>
    </row>
    <row r="36" spans="1:20" ht="13" customHeight="1">
      <c r="A36" s="354"/>
      <c r="B36" s="19" t="str">
        <f>IF('Summary | Sumário'!D$3=Names!B$3,Names!K34,Names!L34)</f>
        <v>Treasury shares</v>
      </c>
      <c r="C36" s="363">
        <v>0</v>
      </c>
      <c r="D36" s="363">
        <v>-117521</v>
      </c>
      <c r="E36" s="363">
        <f t="shared" si="8"/>
        <v>0</v>
      </c>
      <c r="F36" s="363">
        <f t="shared" si="9"/>
        <v>0</v>
      </c>
      <c r="G36" s="329">
        <f t="shared" si="7"/>
        <v>0</v>
      </c>
      <c r="H36" s="363">
        <v>-36362</v>
      </c>
      <c r="I36" s="363">
        <v>0</v>
      </c>
      <c r="J36" s="363">
        <v>0</v>
      </c>
      <c r="K36" s="363">
        <v>0</v>
      </c>
      <c r="L36" s="363">
        <v>0</v>
      </c>
      <c r="M36" s="329">
        <v>0</v>
      </c>
      <c r="N36" s="329">
        <v>0</v>
      </c>
      <c r="O36" s="329">
        <v>0</v>
      </c>
      <c r="P36" s="329">
        <v>-16409</v>
      </c>
      <c r="Q36" s="329">
        <v>-16409</v>
      </c>
      <c r="R36" s="329">
        <v>-8417</v>
      </c>
      <c r="S36" s="329">
        <v>0</v>
      </c>
      <c r="T36" s="329"/>
    </row>
    <row r="37" spans="1:20" ht="13" customHeight="1">
      <c r="A37" s="354"/>
      <c r="B37" s="24" t="str">
        <f>IF('Summary | Sumário'!D$3=Names!B$3,Names!K35,Names!L35)</f>
        <v>Non-controlling interest</v>
      </c>
      <c r="C37" s="362">
        <v>4177</v>
      </c>
      <c r="D37" s="362">
        <v>48581</v>
      </c>
      <c r="E37" s="362">
        <f t="shared" si="8"/>
        <v>5793658.7330626091</v>
      </c>
      <c r="F37" s="362">
        <f t="shared" si="9"/>
        <v>96722</v>
      </c>
      <c r="G37" s="328">
        <f t="shared" si="7"/>
        <v>124881</v>
      </c>
      <c r="H37" s="362">
        <v>49645</v>
      </c>
      <c r="I37" s="362">
        <v>5967043.7920000013</v>
      </c>
      <c r="J37" s="362">
        <v>5853877.4000000004</v>
      </c>
      <c r="K37" s="362">
        <v>5793658.7330626091</v>
      </c>
      <c r="L37" s="362">
        <v>5738531</v>
      </c>
      <c r="M37" s="328">
        <v>81322</v>
      </c>
      <c r="N37" s="328">
        <v>95985</v>
      </c>
      <c r="O37" s="328">
        <v>96722</v>
      </c>
      <c r="P37" s="328">
        <v>108940</v>
      </c>
      <c r="Q37" s="328">
        <v>113701</v>
      </c>
      <c r="R37" s="328">
        <v>107859</v>
      </c>
      <c r="S37" s="328">
        <v>124881</v>
      </c>
      <c r="T37" s="329"/>
    </row>
    <row r="38" spans="1:20" ht="13" customHeight="1">
      <c r="A38" s="354"/>
      <c r="B38" s="16" t="str">
        <f>IF('Summary | Sumário'!D$3=Names!B$3,Names!K36,Names!L36)</f>
        <v>Total equity</v>
      </c>
      <c r="C38" s="366">
        <v>2161938</v>
      </c>
      <c r="D38" s="366">
        <v>3324215</v>
      </c>
      <c r="E38" s="366">
        <f t="shared" si="8"/>
        <v>8449783.5872408096</v>
      </c>
      <c r="F38" s="366">
        <f t="shared" si="9"/>
        <v>7089104</v>
      </c>
      <c r="G38" s="367">
        <f t="shared" si="7"/>
        <v>7596691</v>
      </c>
      <c r="H38" s="366">
        <v>3250616</v>
      </c>
      <c r="I38" s="366">
        <v>8692625.7920000013</v>
      </c>
      <c r="J38" s="366">
        <v>8538327.1805932801</v>
      </c>
      <c r="K38" s="366">
        <v>8449783.5872408096</v>
      </c>
      <c r="L38" s="366">
        <v>8354366</v>
      </c>
      <c r="M38" s="367">
        <v>7115381</v>
      </c>
      <c r="N38" s="367">
        <v>7140395</v>
      </c>
      <c r="O38" s="367">
        <v>7089104</v>
      </c>
      <c r="P38" s="367">
        <v>7139906</v>
      </c>
      <c r="Q38" s="367">
        <v>7317658</v>
      </c>
      <c r="R38" s="367">
        <v>7368227</v>
      </c>
      <c r="S38" s="367">
        <v>7596691</v>
      </c>
      <c r="T38" s="341"/>
    </row>
    <row r="39" spans="1:20" ht="13" customHeight="1">
      <c r="A39" s="354"/>
      <c r="B39" s="26"/>
      <c r="C39" s="355"/>
      <c r="D39" s="355"/>
      <c r="E39" s="355"/>
      <c r="F39" s="355"/>
      <c r="G39" s="355"/>
      <c r="H39" s="355"/>
      <c r="I39" s="355"/>
      <c r="J39" s="355"/>
      <c r="K39" s="355"/>
      <c r="L39" s="355"/>
      <c r="M39" s="355"/>
      <c r="N39" s="355"/>
      <c r="O39" s="355"/>
      <c r="P39" s="355"/>
      <c r="Q39" s="355"/>
      <c r="R39" s="355"/>
      <c r="S39" s="355"/>
      <c r="T39" s="341"/>
    </row>
    <row r="40" spans="1:20" ht="13" customHeight="1">
      <c r="A40" s="354"/>
      <c r="B40" s="11" t="str">
        <f>IF('Summary | Sumário'!D$3=Names!B$3,Names!K37,Names!L37)</f>
        <v>Liabilities + equity</v>
      </c>
      <c r="C40" s="367"/>
      <c r="D40" s="367"/>
      <c r="E40" s="367"/>
      <c r="F40" s="367"/>
      <c r="G40" s="367"/>
      <c r="H40" s="367"/>
      <c r="I40" s="367"/>
      <c r="J40" s="367"/>
      <c r="K40" s="367"/>
      <c r="L40" s="367"/>
      <c r="M40" s="367"/>
      <c r="N40" s="367"/>
      <c r="O40" s="367"/>
      <c r="P40" s="367"/>
      <c r="Q40" s="367"/>
      <c r="R40" s="367"/>
      <c r="S40" s="367"/>
      <c r="T40" s="341"/>
    </row>
    <row r="41" spans="1:20" ht="13" customHeight="1">
      <c r="A41" s="354"/>
      <c r="B41" s="426" t="str">
        <f>IF('Summary | Sumário'!D$3=Names!B$3,Names!K38,Names!L38)</f>
        <v>Total liabilities and total equity</v>
      </c>
      <c r="C41" s="427">
        <v>10077086</v>
      </c>
      <c r="D41" s="427">
        <v>19921613</v>
      </c>
      <c r="E41" s="427">
        <f>K41</f>
        <v>36626337.179050811</v>
      </c>
      <c r="F41" s="427">
        <f>O41</f>
        <v>46343100</v>
      </c>
      <c r="G41" s="425">
        <f>S41</f>
        <v>60351797</v>
      </c>
      <c r="H41" s="427">
        <v>21436667</v>
      </c>
      <c r="I41" s="427">
        <v>30309493.213</v>
      </c>
      <c r="J41" s="427">
        <v>33762592.583743282</v>
      </c>
      <c r="K41" s="427">
        <v>36626337.179050811</v>
      </c>
      <c r="L41" s="427">
        <v>38612194</v>
      </c>
      <c r="M41" s="425">
        <v>40933779</v>
      </c>
      <c r="N41" s="425">
        <v>43844067</v>
      </c>
      <c r="O41" s="425">
        <v>46343100</v>
      </c>
      <c r="P41" s="425">
        <v>47701094</v>
      </c>
      <c r="Q41" s="425">
        <v>50003329</v>
      </c>
      <c r="R41" s="425">
        <v>55078840</v>
      </c>
      <c r="S41" s="425">
        <v>60351797</v>
      </c>
      <c r="T41" s="341"/>
    </row>
    <row r="42" spans="1:20" ht="13" customHeight="1">
      <c r="B42" s="16"/>
      <c r="C42" s="368"/>
      <c r="D42" s="368"/>
      <c r="E42" s="368"/>
      <c r="F42" s="368"/>
      <c r="G42" s="368"/>
      <c r="H42" s="368"/>
      <c r="I42" s="368"/>
      <c r="J42" s="368"/>
      <c r="K42" s="368"/>
      <c r="L42" s="368"/>
      <c r="M42" s="368"/>
      <c r="N42" s="368"/>
      <c r="O42" s="368"/>
      <c r="P42" s="368"/>
      <c r="Q42" s="368"/>
      <c r="R42" s="368"/>
      <c r="S42" s="368"/>
      <c r="T42" s="368"/>
    </row>
    <row r="43" spans="1:20" ht="13" customHeight="1">
      <c r="B43" s="20"/>
      <c r="C43" s="368"/>
      <c r="D43" s="368"/>
      <c r="E43" s="368"/>
      <c r="F43" s="368"/>
      <c r="G43" s="368"/>
      <c r="H43" s="368"/>
      <c r="I43" s="368"/>
      <c r="J43" s="368"/>
      <c r="K43" s="368"/>
      <c r="L43" s="368"/>
      <c r="M43" s="368"/>
      <c r="N43" s="368"/>
      <c r="O43" s="368"/>
      <c r="P43" s="368"/>
      <c r="Q43" s="368"/>
      <c r="R43" s="368"/>
      <c r="S43" s="368"/>
      <c r="T43" s="368"/>
    </row>
    <row r="44" spans="1:20" ht="13" customHeight="1">
      <c r="C44" s="369"/>
      <c r="O44" s="369"/>
      <c r="P44" s="369"/>
      <c r="Q44" s="369"/>
      <c r="R44" s="369"/>
      <c r="S44" s="369"/>
    </row>
    <row r="45" spans="1:20" ht="13" customHeight="1">
      <c r="H45" s="369"/>
      <c r="O45" s="369"/>
      <c r="P45" s="369"/>
      <c r="Q45" s="369"/>
      <c r="R45" s="369"/>
      <c r="S45" s="369"/>
    </row>
    <row r="46" spans="1:20" ht="13" customHeight="1">
      <c r="O46" s="369"/>
      <c r="P46" s="369"/>
      <c r="Q46" s="369"/>
      <c r="R46" s="369"/>
      <c r="S46" s="369"/>
    </row>
    <row r="47" spans="1:20" ht="13" customHeight="1">
      <c r="O47" s="369"/>
      <c r="P47" s="369"/>
      <c r="Q47" s="369"/>
      <c r="R47" s="369"/>
      <c r="S47" s="369"/>
    </row>
  </sheetData>
  <sheetProtection algorithmName="SHA-512" hashValue="Xq2+BP94JxfOjJp7NdwpHFfkp8pwRG59nKxAUATSX3BpBYL6Ft1VeDc5h+LkFLSaCYJJXu07U7nYHNmZtZigpg==" saltValue="Se51+0+lw5YeahTG91Gueg==" spinCount="100000" sheet="1" formatCells="0" formatColumns="0" formatRows="0" insertColumns="0" insertRows="0" insertHyperlinks="0" deleteColumns="0" deleteRows="0" sort="0" autoFilter="0" pivotTables="0"/>
  <phoneticPr fontId="6" type="noConversion"/>
  <pageMargins left="0.511811024" right="0.511811024" top="0.78740157499999996" bottom="0.78740157499999996" header="0.31496062000000002" footer="0.31496062000000002"/>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D8006-174F-CB4D-8F57-C3ED229B1EBF}">
  <sheetPr codeName="Sheet4">
    <tabColor rgb="FFEB7100"/>
  </sheetPr>
  <dimension ref="A1:XES27"/>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9" width="10.83203125" style="211" customWidth="1"/>
    <col min="20" max="16384" width="10.83203125" style="211"/>
  </cols>
  <sheetData>
    <row r="1" spans="1:1020 1033:2047 2060:3061 3074:4088 4101:5115 5128:6142 6155:7156 7169:8183 8196:9210 9223:10237 10250:11264 11277:12278 12291:13305 13318:14332 14345:15359 15372:16373" ht="13" customHeight="1">
      <c r="C1" s="212"/>
      <c r="D1" s="212"/>
      <c r="E1" s="212"/>
      <c r="F1" s="212"/>
      <c r="G1" s="212"/>
      <c r="H1" s="212"/>
      <c r="I1" s="212"/>
      <c r="J1" s="212"/>
      <c r="K1" s="212"/>
      <c r="L1" s="212"/>
      <c r="M1" s="212"/>
      <c r="N1" s="212"/>
      <c r="O1" s="212"/>
      <c r="P1" s="212"/>
      <c r="Q1" s="212"/>
      <c r="R1" s="212"/>
      <c r="S1" s="212"/>
    </row>
    <row r="2" spans="1:1020 1033:2047 2060:3061 3074:4088 4101:5115 5128:6142 6155:7156 7169:8183 8196:9210 9223:10237 10250:11264 11277:12278 12291:13305 13318:14332 14345:15359 15372:16373" s="12" customFormat="1" ht="13" customHeight="1">
      <c r="B2" s="400" t="str">
        <f>IF('Summary | Sumário'!D$3=Names!B$3,Names!M1,Names!N1)</f>
        <v>Income Statement (IFRS, R$ Thousands)</v>
      </c>
      <c r="C2" s="207">
        <f>IF('Summary | Sumário'!D3=Names!B3,Names!C2,Names!D2)</f>
        <v>2019</v>
      </c>
      <c r="D2" s="207">
        <f>IF('Summary | Sumário'!D3=Names!B3,Names!C3,Names!D3)</f>
        <v>2020</v>
      </c>
      <c r="E2" s="207">
        <f>IF('Summary | Sumário'!D3=Names!B3,Names!C4,Names!D4)</f>
        <v>2021</v>
      </c>
      <c r="F2" s="207">
        <f>IF('Summary | Sumário'!D3=Names!B3,Names!C5,Names!D5)</f>
        <v>2022</v>
      </c>
      <c r="G2" s="429">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2" t="str">
        <f>IF('Summary | Sumário'!D3=Names!B3,Names!C17,Names!D17)</f>
        <v>4Q23</v>
      </c>
      <c r="T2" s="13"/>
      <c r="V2" s="14"/>
      <c r="W2" s="15"/>
    </row>
    <row r="3" spans="1:1020 1033:2047 2060:3061 3074:4088 4101:5115 5128:6142 6155:7156 7169:8183 8196:9210 9223:10237 10250:11264 11277:12278 12291:13305 13318:14332 14345:15359 15372:16373" ht="13" customHeight="1">
      <c r="B3" s="16"/>
      <c r="C3" s="223"/>
      <c r="D3" s="223"/>
      <c r="E3" s="223"/>
      <c r="F3" s="223"/>
      <c r="G3" s="223"/>
      <c r="H3" s="223"/>
      <c r="I3" s="223"/>
      <c r="J3" s="223"/>
      <c r="K3" s="223"/>
      <c r="L3" s="223"/>
      <c r="M3" s="223"/>
      <c r="N3" s="223"/>
      <c r="O3" s="223"/>
      <c r="P3" s="223"/>
      <c r="Q3" s="223"/>
      <c r="R3" s="223"/>
      <c r="S3" s="223"/>
    </row>
    <row r="4" spans="1:1020 1033:2047 2060:3061 3074:4088 4101:5115 5128:6142 6155:7156 7169:8183 8196:9210 9223:10237 10250:11264 11277:12278 12291:13305 13318:14332 14345:15359 15372:16373" ht="13" customHeight="1">
      <c r="A4" s="325"/>
      <c r="B4" s="18" t="str">
        <f>IF('Summary | Sumário'!D$3=Names!B$3,Names!M2,Names!N2)</f>
        <v>Interest income</v>
      </c>
      <c r="C4" s="296">
        <v>775515</v>
      </c>
      <c r="D4" s="296">
        <v>942655.89517999999</v>
      </c>
      <c r="E4" s="296">
        <v>1435428.2459999998</v>
      </c>
      <c r="F4" s="296">
        <v>2802658.0819999995</v>
      </c>
      <c r="G4" s="296">
        <v>4549827</v>
      </c>
      <c r="H4" s="296">
        <v>289003.935</v>
      </c>
      <c r="I4" s="296">
        <v>305659.75100000005</v>
      </c>
      <c r="J4" s="296">
        <v>367405.88</v>
      </c>
      <c r="K4" s="296">
        <v>473357.68</v>
      </c>
      <c r="L4" s="296">
        <v>521159.63199999993</v>
      </c>
      <c r="M4" s="296">
        <v>622312.6370000001</v>
      </c>
      <c r="N4" s="296">
        <v>788342.73100000003</v>
      </c>
      <c r="O4" s="296">
        <v>870843.08199999994</v>
      </c>
      <c r="P4" s="296">
        <v>1012926.822</v>
      </c>
      <c r="Q4" s="296">
        <v>1151105</v>
      </c>
      <c r="R4" s="296">
        <v>1106935.08874</v>
      </c>
      <c r="S4" s="296">
        <v>1278860.08926</v>
      </c>
    </row>
    <row r="5" spans="1:1020 1033:2047 2060:3061 3074:4088 4101:5115 5128:6142 6155:7156 7169:8183 8196:9210 9223:10237 10250:11264 11277:12278 12291:13305 13318:14332 14345:15359 15372:16373" s="326" customFormat="1" ht="13" customHeight="1">
      <c r="A5" s="325"/>
      <c r="B5" s="24" t="str">
        <f>IF('Summary | Sumário'!D$3=Names!B$3,Names!M3,Names!N3)</f>
        <v>Interest expenses</v>
      </c>
      <c r="C5" s="353">
        <v>-256717</v>
      </c>
      <c r="D5" s="353">
        <v>-184335</v>
      </c>
      <c r="E5" s="353">
        <v>-543242</v>
      </c>
      <c r="F5" s="353">
        <v>-1972850</v>
      </c>
      <c r="G5" s="353">
        <v>-2887573</v>
      </c>
      <c r="H5" s="353">
        <v>-65559</v>
      </c>
      <c r="I5" s="353">
        <v>-86261</v>
      </c>
      <c r="J5" s="353">
        <v>-138587</v>
      </c>
      <c r="K5" s="353">
        <v>-252835</v>
      </c>
      <c r="L5" s="353">
        <v>-336771</v>
      </c>
      <c r="M5" s="353">
        <v>-465041</v>
      </c>
      <c r="N5" s="353">
        <v>-579678</v>
      </c>
      <c r="O5" s="353">
        <v>-591360</v>
      </c>
      <c r="P5" s="353">
        <v>-672771</v>
      </c>
      <c r="Q5" s="353">
        <v>-692206</v>
      </c>
      <c r="R5" s="353">
        <v>-770398</v>
      </c>
      <c r="S5" s="353">
        <v>-752198.00500000012</v>
      </c>
      <c r="T5" s="211"/>
      <c r="AF5" s="327"/>
      <c r="AS5" s="327"/>
      <c r="BF5" s="327"/>
      <c r="BS5" s="327"/>
      <c r="CF5" s="327"/>
      <c r="CS5" s="327"/>
      <c r="DF5" s="327"/>
      <c r="DS5" s="327"/>
      <c r="EF5" s="327"/>
      <c r="ES5" s="327"/>
      <c r="FF5" s="327"/>
      <c r="FS5" s="327"/>
      <c r="GF5" s="327"/>
      <c r="GS5" s="327"/>
      <c r="HF5" s="327"/>
      <c r="HS5" s="327"/>
      <c r="IF5" s="327"/>
      <c r="IS5" s="327"/>
      <c r="JF5" s="327"/>
      <c r="JS5" s="327"/>
      <c r="KF5" s="327"/>
      <c r="KS5" s="327"/>
      <c r="LF5" s="327"/>
      <c r="LS5" s="327"/>
      <c r="MF5" s="327"/>
      <c r="MS5" s="327"/>
      <c r="NF5" s="327"/>
      <c r="NS5" s="327"/>
      <c r="OF5" s="327"/>
      <c r="OS5" s="327"/>
      <c r="PF5" s="327"/>
      <c r="PS5" s="327"/>
      <c r="QF5" s="327"/>
      <c r="QS5" s="327"/>
      <c r="RF5" s="327"/>
      <c r="RS5" s="327"/>
      <c r="SF5" s="327"/>
      <c r="SS5" s="327"/>
      <c r="TF5" s="327"/>
      <c r="TS5" s="327"/>
      <c r="UF5" s="327"/>
      <c r="US5" s="327"/>
      <c r="VF5" s="327"/>
      <c r="VS5" s="327"/>
      <c r="WF5" s="327"/>
      <c r="WS5" s="327"/>
      <c r="XF5" s="327"/>
      <c r="XS5" s="327"/>
      <c r="YF5" s="327"/>
      <c r="YS5" s="327"/>
      <c r="ZF5" s="327"/>
      <c r="ZS5" s="327"/>
      <c r="AAF5" s="327"/>
      <c r="AAS5" s="327"/>
      <c r="ABF5" s="327"/>
      <c r="ABS5" s="327"/>
      <c r="ACF5" s="327"/>
      <c r="ACS5" s="327"/>
      <c r="ADF5" s="327"/>
      <c r="ADS5" s="327"/>
      <c r="AEF5" s="327"/>
      <c r="AES5" s="327"/>
      <c r="AFF5" s="327"/>
      <c r="AFS5" s="327"/>
      <c r="AGF5" s="327"/>
      <c r="AGS5" s="327"/>
      <c r="AHF5" s="327"/>
      <c r="AHS5" s="327"/>
      <c r="AIF5" s="327"/>
      <c r="AIS5" s="327"/>
      <c r="AJF5" s="327"/>
      <c r="AJS5" s="327"/>
      <c r="AKF5" s="327"/>
      <c r="AKS5" s="327"/>
      <c r="ALF5" s="327"/>
      <c r="ALS5" s="327"/>
      <c r="AMF5" s="327"/>
      <c r="AMS5" s="327"/>
      <c r="ANF5" s="327"/>
      <c r="ANS5" s="327"/>
      <c r="AOF5" s="327"/>
      <c r="AOS5" s="327"/>
      <c r="APF5" s="327"/>
      <c r="APS5" s="327"/>
      <c r="AQF5" s="327"/>
      <c r="AQS5" s="327"/>
      <c r="ARF5" s="327"/>
      <c r="ARS5" s="327"/>
      <c r="ASF5" s="327"/>
      <c r="ASS5" s="327"/>
      <c r="ATF5" s="327"/>
      <c r="ATS5" s="327"/>
      <c r="AUF5" s="327"/>
      <c r="AUS5" s="327"/>
      <c r="AVF5" s="327"/>
      <c r="AVS5" s="327"/>
      <c r="AWF5" s="327"/>
      <c r="AWS5" s="327"/>
      <c r="AXF5" s="327"/>
      <c r="AXS5" s="327"/>
      <c r="AYF5" s="327"/>
      <c r="AYS5" s="327"/>
      <c r="AZF5" s="327"/>
      <c r="AZS5" s="327"/>
      <c r="BAF5" s="327"/>
      <c r="BAS5" s="327"/>
      <c r="BBF5" s="327"/>
      <c r="BBS5" s="327"/>
      <c r="BCF5" s="327"/>
      <c r="BCS5" s="327"/>
      <c r="BDF5" s="327"/>
      <c r="BDS5" s="327"/>
      <c r="BEF5" s="327"/>
      <c r="BES5" s="327"/>
      <c r="BFF5" s="327"/>
      <c r="BFS5" s="327"/>
      <c r="BGF5" s="327"/>
      <c r="BGS5" s="327"/>
      <c r="BHF5" s="327"/>
      <c r="BHS5" s="327"/>
      <c r="BIF5" s="327"/>
      <c r="BIS5" s="327"/>
      <c r="BJF5" s="327"/>
      <c r="BJS5" s="327"/>
      <c r="BKF5" s="327"/>
      <c r="BKS5" s="327"/>
      <c r="BLF5" s="327"/>
      <c r="BLS5" s="327"/>
      <c r="BMF5" s="327"/>
      <c r="BMS5" s="327"/>
      <c r="BNF5" s="327"/>
      <c r="BNS5" s="327"/>
      <c r="BOF5" s="327"/>
      <c r="BOS5" s="327"/>
      <c r="BPF5" s="327"/>
      <c r="BPS5" s="327"/>
      <c r="BQF5" s="327"/>
      <c r="BQS5" s="327"/>
      <c r="BRF5" s="327"/>
      <c r="BRS5" s="327"/>
      <c r="BSF5" s="327"/>
      <c r="BSS5" s="327"/>
      <c r="BTF5" s="327"/>
      <c r="BTS5" s="327"/>
      <c r="BUF5" s="327"/>
      <c r="BUS5" s="327"/>
      <c r="BVF5" s="327"/>
      <c r="BVS5" s="327"/>
      <c r="BWF5" s="327"/>
      <c r="BWS5" s="327"/>
      <c r="BXF5" s="327"/>
      <c r="BXS5" s="327"/>
      <c r="BYF5" s="327"/>
      <c r="BYS5" s="327"/>
      <c r="BZF5" s="327"/>
      <c r="BZS5" s="327"/>
      <c r="CAF5" s="327"/>
      <c r="CAS5" s="327"/>
      <c r="CBF5" s="327"/>
      <c r="CBS5" s="327"/>
      <c r="CCF5" s="327"/>
      <c r="CCS5" s="327"/>
      <c r="CDF5" s="327"/>
      <c r="CDS5" s="327"/>
      <c r="CEF5" s="327"/>
      <c r="CES5" s="327"/>
      <c r="CFF5" s="327"/>
      <c r="CFS5" s="327"/>
      <c r="CGF5" s="327"/>
      <c r="CGS5" s="327"/>
      <c r="CHF5" s="327"/>
      <c r="CHS5" s="327"/>
      <c r="CIF5" s="327"/>
      <c r="CIS5" s="327"/>
      <c r="CJF5" s="327"/>
      <c r="CJS5" s="327"/>
      <c r="CKF5" s="327"/>
      <c r="CKS5" s="327"/>
      <c r="CLF5" s="327"/>
      <c r="CLS5" s="327"/>
      <c r="CMF5" s="327"/>
      <c r="CMS5" s="327"/>
      <c r="CNF5" s="327"/>
      <c r="CNS5" s="327"/>
      <c r="COF5" s="327"/>
      <c r="COS5" s="327"/>
      <c r="CPF5" s="327"/>
      <c r="CPS5" s="327"/>
      <c r="CQF5" s="327"/>
      <c r="CQS5" s="327"/>
      <c r="CRF5" s="327"/>
      <c r="CRS5" s="327"/>
      <c r="CSF5" s="327"/>
      <c r="CSS5" s="327"/>
      <c r="CTF5" s="327"/>
      <c r="CTS5" s="327"/>
      <c r="CUF5" s="327"/>
      <c r="CUS5" s="327"/>
      <c r="CVF5" s="327"/>
      <c r="CVS5" s="327"/>
      <c r="CWF5" s="327"/>
      <c r="CWS5" s="327"/>
      <c r="CXF5" s="327"/>
      <c r="CXS5" s="327"/>
      <c r="CYF5" s="327"/>
      <c r="CYS5" s="327"/>
      <c r="CZF5" s="327"/>
      <c r="CZS5" s="327"/>
      <c r="DAF5" s="327"/>
      <c r="DAS5" s="327"/>
      <c r="DBF5" s="327"/>
      <c r="DBS5" s="327"/>
      <c r="DCF5" s="327"/>
      <c r="DCS5" s="327"/>
      <c r="DDF5" s="327"/>
      <c r="DDS5" s="327"/>
      <c r="DEF5" s="327"/>
      <c r="DES5" s="327"/>
      <c r="DFF5" s="327"/>
      <c r="DFS5" s="327"/>
      <c r="DGF5" s="327"/>
      <c r="DGS5" s="327"/>
      <c r="DHF5" s="327"/>
      <c r="DHS5" s="327"/>
      <c r="DIF5" s="327"/>
      <c r="DIS5" s="327"/>
      <c r="DJF5" s="327"/>
      <c r="DJS5" s="327"/>
      <c r="DKF5" s="327"/>
      <c r="DKS5" s="327"/>
      <c r="DLF5" s="327"/>
      <c r="DLS5" s="327"/>
      <c r="DMF5" s="327"/>
      <c r="DMS5" s="327"/>
      <c r="DNF5" s="327"/>
      <c r="DNS5" s="327"/>
      <c r="DOF5" s="327"/>
      <c r="DOS5" s="327"/>
      <c r="DPF5" s="327"/>
      <c r="DPS5" s="327"/>
      <c r="DQF5" s="327"/>
      <c r="DQS5" s="327"/>
      <c r="DRF5" s="327"/>
      <c r="DRS5" s="327"/>
      <c r="DSF5" s="327"/>
      <c r="DSS5" s="327"/>
      <c r="DTF5" s="327"/>
      <c r="DTS5" s="327"/>
      <c r="DUF5" s="327"/>
      <c r="DUS5" s="327"/>
      <c r="DVF5" s="327"/>
      <c r="DVS5" s="327"/>
      <c r="DWF5" s="327"/>
      <c r="DWS5" s="327"/>
      <c r="DXF5" s="327"/>
      <c r="DXS5" s="327"/>
      <c r="DYF5" s="327"/>
      <c r="DYS5" s="327"/>
      <c r="DZF5" s="327"/>
      <c r="DZS5" s="327"/>
      <c r="EAF5" s="327"/>
      <c r="EAS5" s="327"/>
      <c r="EBF5" s="327"/>
      <c r="EBS5" s="327"/>
      <c r="ECF5" s="327"/>
      <c r="ECS5" s="327"/>
      <c r="EDF5" s="327"/>
      <c r="EDS5" s="327"/>
      <c r="EEF5" s="327"/>
      <c r="EES5" s="327"/>
      <c r="EFF5" s="327"/>
      <c r="EFS5" s="327"/>
      <c r="EGF5" s="327"/>
      <c r="EGS5" s="327"/>
      <c r="EHF5" s="327"/>
      <c r="EHS5" s="327"/>
      <c r="EIF5" s="327"/>
      <c r="EIS5" s="327"/>
      <c r="EJF5" s="327"/>
      <c r="EJS5" s="327"/>
      <c r="EKF5" s="327"/>
      <c r="EKS5" s="327"/>
      <c r="ELF5" s="327"/>
      <c r="ELS5" s="327"/>
      <c r="EMF5" s="327"/>
      <c r="EMS5" s="327"/>
      <c r="ENF5" s="327"/>
      <c r="ENS5" s="327"/>
      <c r="EOF5" s="327"/>
      <c r="EOS5" s="327"/>
      <c r="EPF5" s="327"/>
      <c r="EPS5" s="327"/>
      <c r="EQF5" s="327"/>
      <c r="EQS5" s="327"/>
      <c r="ERF5" s="327"/>
      <c r="ERS5" s="327"/>
      <c r="ESF5" s="327"/>
      <c r="ESS5" s="327"/>
      <c r="ETF5" s="327"/>
      <c r="ETS5" s="327"/>
      <c r="EUF5" s="327"/>
      <c r="EUS5" s="327"/>
      <c r="EVF5" s="327"/>
      <c r="EVS5" s="327"/>
      <c r="EWF5" s="327"/>
      <c r="EWS5" s="327"/>
      <c r="EXF5" s="327"/>
      <c r="EXS5" s="327"/>
      <c r="EYF5" s="327"/>
      <c r="EYS5" s="327"/>
      <c r="EZF5" s="327"/>
      <c r="EZS5" s="327"/>
      <c r="FAF5" s="327"/>
      <c r="FAS5" s="327"/>
      <c r="FBF5" s="327"/>
      <c r="FBS5" s="327"/>
      <c r="FCF5" s="327"/>
      <c r="FCS5" s="327"/>
      <c r="FDF5" s="327"/>
      <c r="FDS5" s="327"/>
      <c r="FEF5" s="327"/>
      <c r="FES5" s="327"/>
      <c r="FFF5" s="327"/>
      <c r="FFS5" s="327"/>
      <c r="FGF5" s="327"/>
      <c r="FGS5" s="327"/>
      <c r="FHF5" s="327"/>
      <c r="FHS5" s="327"/>
      <c r="FIF5" s="327"/>
      <c r="FIS5" s="327"/>
      <c r="FJF5" s="327"/>
      <c r="FJS5" s="327"/>
      <c r="FKF5" s="327"/>
      <c r="FKS5" s="327"/>
      <c r="FLF5" s="327"/>
      <c r="FLS5" s="327"/>
      <c r="FMF5" s="327"/>
      <c r="FMS5" s="327"/>
      <c r="FNF5" s="327"/>
      <c r="FNS5" s="327"/>
      <c r="FOF5" s="327"/>
      <c r="FOS5" s="327"/>
      <c r="FPF5" s="327"/>
      <c r="FPS5" s="327"/>
      <c r="FQF5" s="327"/>
      <c r="FQS5" s="327"/>
      <c r="FRF5" s="327"/>
      <c r="FRS5" s="327"/>
      <c r="FSF5" s="327"/>
      <c r="FSS5" s="327"/>
      <c r="FTF5" s="327"/>
      <c r="FTS5" s="327"/>
      <c r="FUF5" s="327"/>
      <c r="FUS5" s="327"/>
      <c r="FVF5" s="327"/>
      <c r="FVS5" s="327"/>
      <c r="FWF5" s="327"/>
      <c r="FWS5" s="327"/>
      <c r="FXF5" s="327"/>
      <c r="FXS5" s="327"/>
      <c r="FYF5" s="327"/>
      <c r="FYS5" s="327"/>
      <c r="FZF5" s="327"/>
      <c r="FZS5" s="327"/>
      <c r="GAF5" s="327"/>
      <c r="GAS5" s="327"/>
      <c r="GBF5" s="327"/>
      <c r="GBS5" s="327"/>
      <c r="GCF5" s="327"/>
      <c r="GCS5" s="327"/>
      <c r="GDF5" s="327"/>
      <c r="GDS5" s="327"/>
      <c r="GEF5" s="327"/>
      <c r="GES5" s="327"/>
      <c r="GFF5" s="327"/>
      <c r="GFS5" s="327"/>
      <c r="GGF5" s="327"/>
      <c r="GGS5" s="327"/>
      <c r="GHF5" s="327"/>
      <c r="GHS5" s="327"/>
      <c r="GIF5" s="327"/>
      <c r="GIS5" s="327"/>
      <c r="GJF5" s="327"/>
      <c r="GJS5" s="327"/>
      <c r="GKF5" s="327"/>
      <c r="GKS5" s="327"/>
      <c r="GLF5" s="327"/>
      <c r="GLS5" s="327"/>
      <c r="GMF5" s="327"/>
      <c r="GMS5" s="327"/>
      <c r="GNF5" s="327"/>
      <c r="GNS5" s="327"/>
      <c r="GOF5" s="327"/>
      <c r="GOS5" s="327"/>
      <c r="GPF5" s="327"/>
      <c r="GPS5" s="327"/>
      <c r="GQF5" s="327"/>
      <c r="GQS5" s="327"/>
      <c r="GRF5" s="327"/>
      <c r="GRS5" s="327"/>
      <c r="GSF5" s="327"/>
      <c r="GSS5" s="327"/>
      <c r="GTF5" s="327"/>
      <c r="GTS5" s="327"/>
      <c r="GUF5" s="327"/>
      <c r="GUS5" s="327"/>
      <c r="GVF5" s="327"/>
      <c r="GVS5" s="327"/>
      <c r="GWF5" s="327"/>
      <c r="GWS5" s="327"/>
      <c r="GXF5" s="327"/>
      <c r="GXS5" s="327"/>
      <c r="GYF5" s="327"/>
      <c r="GYS5" s="327"/>
      <c r="GZF5" s="327"/>
      <c r="GZS5" s="327"/>
      <c r="HAF5" s="327"/>
      <c r="HAS5" s="327"/>
      <c r="HBF5" s="327"/>
      <c r="HBS5" s="327"/>
      <c r="HCF5" s="327"/>
      <c r="HCS5" s="327"/>
      <c r="HDF5" s="327"/>
      <c r="HDS5" s="327"/>
      <c r="HEF5" s="327"/>
      <c r="HES5" s="327"/>
      <c r="HFF5" s="327"/>
      <c r="HFS5" s="327"/>
      <c r="HGF5" s="327"/>
      <c r="HGS5" s="327"/>
      <c r="HHF5" s="327"/>
      <c r="HHS5" s="327"/>
      <c r="HIF5" s="327"/>
      <c r="HIS5" s="327"/>
      <c r="HJF5" s="327"/>
      <c r="HJS5" s="327"/>
      <c r="HKF5" s="327"/>
      <c r="HKS5" s="327"/>
      <c r="HLF5" s="327"/>
      <c r="HLS5" s="327"/>
      <c r="HMF5" s="327"/>
      <c r="HMS5" s="327"/>
      <c r="HNF5" s="327"/>
      <c r="HNS5" s="327"/>
      <c r="HOF5" s="327"/>
      <c r="HOS5" s="327"/>
      <c r="HPF5" s="327"/>
      <c r="HPS5" s="327"/>
      <c r="HQF5" s="327"/>
      <c r="HQS5" s="327"/>
      <c r="HRF5" s="327"/>
      <c r="HRS5" s="327"/>
      <c r="HSF5" s="327"/>
      <c r="HSS5" s="327"/>
      <c r="HTF5" s="327"/>
      <c r="HTS5" s="327"/>
      <c r="HUF5" s="327"/>
      <c r="HUS5" s="327"/>
      <c r="HVF5" s="327"/>
      <c r="HVS5" s="327"/>
      <c r="HWF5" s="327"/>
      <c r="HWS5" s="327"/>
      <c r="HXF5" s="327"/>
      <c r="HXS5" s="327"/>
      <c r="HYF5" s="327"/>
      <c r="HYS5" s="327"/>
      <c r="HZF5" s="327"/>
      <c r="HZS5" s="327"/>
      <c r="IAF5" s="327"/>
      <c r="IAS5" s="327"/>
      <c r="IBF5" s="327"/>
      <c r="IBS5" s="327"/>
      <c r="ICF5" s="327"/>
      <c r="ICS5" s="327"/>
      <c r="IDF5" s="327"/>
      <c r="IDS5" s="327"/>
      <c r="IEF5" s="327"/>
      <c r="IES5" s="327"/>
      <c r="IFF5" s="327"/>
      <c r="IFS5" s="327"/>
      <c r="IGF5" s="327"/>
      <c r="IGS5" s="327"/>
      <c r="IHF5" s="327"/>
      <c r="IHS5" s="327"/>
      <c r="IIF5" s="327"/>
      <c r="IIS5" s="327"/>
      <c r="IJF5" s="327"/>
      <c r="IJS5" s="327"/>
      <c r="IKF5" s="327"/>
      <c r="IKS5" s="327"/>
      <c r="ILF5" s="327"/>
      <c r="ILS5" s="327"/>
      <c r="IMF5" s="327"/>
      <c r="IMS5" s="327"/>
      <c r="INF5" s="327"/>
      <c r="INS5" s="327"/>
      <c r="IOF5" s="327"/>
      <c r="IOS5" s="327"/>
      <c r="IPF5" s="327"/>
      <c r="IPS5" s="327"/>
      <c r="IQF5" s="327"/>
      <c r="IQS5" s="327"/>
      <c r="IRF5" s="327"/>
      <c r="IRS5" s="327"/>
      <c r="ISF5" s="327"/>
      <c r="ISS5" s="327"/>
      <c r="ITF5" s="327"/>
      <c r="ITS5" s="327"/>
      <c r="IUF5" s="327"/>
      <c r="IUS5" s="327"/>
      <c r="IVF5" s="327"/>
      <c r="IVS5" s="327"/>
      <c r="IWF5" s="327"/>
      <c r="IWS5" s="327"/>
      <c r="IXF5" s="327"/>
      <c r="IXS5" s="327"/>
      <c r="IYF5" s="327"/>
      <c r="IYS5" s="327"/>
      <c r="IZF5" s="327"/>
      <c r="IZS5" s="327"/>
      <c r="JAF5" s="327"/>
      <c r="JAS5" s="327"/>
      <c r="JBF5" s="327"/>
      <c r="JBS5" s="327"/>
      <c r="JCF5" s="327"/>
      <c r="JCS5" s="327"/>
      <c r="JDF5" s="327"/>
      <c r="JDS5" s="327"/>
      <c r="JEF5" s="327"/>
      <c r="JES5" s="327"/>
      <c r="JFF5" s="327"/>
      <c r="JFS5" s="327"/>
      <c r="JGF5" s="327"/>
      <c r="JGS5" s="327"/>
      <c r="JHF5" s="327"/>
      <c r="JHS5" s="327"/>
      <c r="JIF5" s="327"/>
      <c r="JIS5" s="327"/>
      <c r="JJF5" s="327"/>
      <c r="JJS5" s="327"/>
      <c r="JKF5" s="327"/>
      <c r="JKS5" s="327"/>
      <c r="JLF5" s="327"/>
      <c r="JLS5" s="327"/>
      <c r="JMF5" s="327"/>
      <c r="JMS5" s="327"/>
      <c r="JNF5" s="327"/>
      <c r="JNS5" s="327"/>
      <c r="JOF5" s="327"/>
      <c r="JOS5" s="327"/>
      <c r="JPF5" s="327"/>
      <c r="JPS5" s="327"/>
      <c r="JQF5" s="327"/>
      <c r="JQS5" s="327"/>
      <c r="JRF5" s="327"/>
      <c r="JRS5" s="327"/>
      <c r="JSF5" s="327"/>
      <c r="JSS5" s="327"/>
      <c r="JTF5" s="327"/>
      <c r="JTS5" s="327"/>
      <c r="JUF5" s="327"/>
      <c r="JUS5" s="327"/>
      <c r="JVF5" s="327"/>
      <c r="JVS5" s="327"/>
      <c r="JWF5" s="327"/>
      <c r="JWS5" s="327"/>
      <c r="JXF5" s="327"/>
      <c r="JXS5" s="327"/>
      <c r="JYF5" s="327"/>
      <c r="JYS5" s="327"/>
      <c r="JZF5" s="327"/>
      <c r="JZS5" s="327"/>
      <c r="KAF5" s="327"/>
      <c r="KAS5" s="327"/>
      <c r="KBF5" s="327"/>
      <c r="KBS5" s="327"/>
      <c r="KCF5" s="327"/>
      <c r="KCS5" s="327"/>
      <c r="KDF5" s="327"/>
      <c r="KDS5" s="327"/>
      <c r="KEF5" s="327"/>
      <c r="KES5" s="327"/>
      <c r="KFF5" s="327"/>
      <c r="KFS5" s="327"/>
      <c r="KGF5" s="327"/>
      <c r="KGS5" s="327"/>
      <c r="KHF5" s="327"/>
      <c r="KHS5" s="327"/>
      <c r="KIF5" s="327"/>
      <c r="KIS5" s="327"/>
      <c r="KJF5" s="327"/>
      <c r="KJS5" s="327"/>
      <c r="KKF5" s="327"/>
      <c r="KKS5" s="327"/>
      <c r="KLF5" s="327"/>
      <c r="KLS5" s="327"/>
      <c r="KMF5" s="327"/>
      <c r="KMS5" s="327"/>
      <c r="KNF5" s="327"/>
      <c r="KNS5" s="327"/>
      <c r="KOF5" s="327"/>
      <c r="KOS5" s="327"/>
      <c r="KPF5" s="327"/>
      <c r="KPS5" s="327"/>
      <c r="KQF5" s="327"/>
      <c r="KQS5" s="327"/>
      <c r="KRF5" s="327"/>
      <c r="KRS5" s="327"/>
      <c r="KSF5" s="327"/>
      <c r="KSS5" s="327"/>
      <c r="KTF5" s="327"/>
      <c r="KTS5" s="327"/>
      <c r="KUF5" s="327"/>
      <c r="KUS5" s="327"/>
      <c r="KVF5" s="327"/>
      <c r="KVS5" s="327"/>
      <c r="KWF5" s="327"/>
      <c r="KWS5" s="327"/>
      <c r="KXF5" s="327"/>
      <c r="KXS5" s="327"/>
      <c r="KYF5" s="327"/>
      <c r="KYS5" s="327"/>
      <c r="KZF5" s="327"/>
      <c r="KZS5" s="327"/>
      <c r="LAF5" s="327"/>
      <c r="LAS5" s="327"/>
      <c r="LBF5" s="327"/>
      <c r="LBS5" s="327"/>
      <c r="LCF5" s="327"/>
      <c r="LCS5" s="327"/>
      <c r="LDF5" s="327"/>
      <c r="LDS5" s="327"/>
      <c r="LEF5" s="327"/>
      <c r="LES5" s="327"/>
      <c r="LFF5" s="327"/>
      <c r="LFS5" s="327"/>
      <c r="LGF5" s="327"/>
      <c r="LGS5" s="327"/>
      <c r="LHF5" s="327"/>
      <c r="LHS5" s="327"/>
      <c r="LIF5" s="327"/>
      <c r="LIS5" s="327"/>
      <c r="LJF5" s="327"/>
      <c r="LJS5" s="327"/>
      <c r="LKF5" s="327"/>
      <c r="LKS5" s="327"/>
      <c r="LLF5" s="327"/>
      <c r="LLS5" s="327"/>
      <c r="LMF5" s="327"/>
      <c r="LMS5" s="327"/>
      <c r="LNF5" s="327"/>
      <c r="LNS5" s="327"/>
      <c r="LOF5" s="327"/>
      <c r="LOS5" s="327"/>
      <c r="LPF5" s="327"/>
      <c r="LPS5" s="327"/>
      <c r="LQF5" s="327"/>
      <c r="LQS5" s="327"/>
      <c r="LRF5" s="327"/>
      <c r="LRS5" s="327"/>
      <c r="LSF5" s="327"/>
      <c r="LSS5" s="327"/>
      <c r="LTF5" s="327"/>
      <c r="LTS5" s="327"/>
      <c r="LUF5" s="327"/>
      <c r="LUS5" s="327"/>
      <c r="LVF5" s="327"/>
      <c r="LVS5" s="327"/>
      <c r="LWF5" s="327"/>
      <c r="LWS5" s="327"/>
      <c r="LXF5" s="327"/>
      <c r="LXS5" s="327"/>
      <c r="LYF5" s="327"/>
      <c r="LYS5" s="327"/>
      <c r="LZF5" s="327"/>
      <c r="LZS5" s="327"/>
      <c r="MAF5" s="327"/>
      <c r="MAS5" s="327"/>
      <c r="MBF5" s="327"/>
      <c r="MBS5" s="327"/>
      <c r="MCF5" s="327"/>
      <c r="MCS5" s="327"/>
      <c r="MDF5" s="327"/>
      <c r="MDS5" s="327"/>
      <c r="MEF5" s="327"/>
      <c r="MES5" s="327"/>
      <c r="MFF5" s="327"/>
      <c r="MFS5" s="327"/>
      <c r="MGF5" s="327"/>
      <c r="MGS5" s="327"/>
      <c r="MHF5" s="327"/>
      <c r="MHS5" s="327"/>
      <c r="MIF5" s="327"/>
      <c r="MIS5" s="327"/>
      <c r="MJF5" s="327"/>
      <c r="MJS5" s="327"/>
      <c r="MKF5" s="327"/>
      <c r="MKS5" s="327"/>
      <c r="MLF5" s="327"/>
      <c r="MLS5" s="327"/>
      <c r="MMF5" s="327"/>
      <c r="MMS5" s="327"/>
      <c r="MNF5" s="327"/>
      <c r="MNS5" s="327"/>
      <c r="MOF5" s="327"/>
      <c r="MOS5" s="327"/>
      <c r="MPF5" s="327"/>
      <c r="MPS5" s="327"/>
      <c r="MQF5" s="327"/>
      <c r="MQS5" s="327"/>
      <c r="MRF5" s="327"/>
      <c r="MRS5" s="327"/>
      <c r="MSF5" s="327"/>
      <c r="MSS5" s="327"/>
      <c r="MTF5" s="327"/>
      <c r="MTS5" s="327"/>
      <c r="MUF5" s="327"/>
      <c r="MUS5" s="327"/>
      <c r="MVF5" s="327"/>
      <c r="MVS5" s="327"/>
      <c r="MWF5" s="327"/>
      <c r="MWS5" s="327"/>
      <c r="MXF5" s="327"/>
      <c r="MXS5" s="327"/>
      <c r="MYF5" s="327"/>
      <c r="MYS5" s="327"/>
      <c r="MZF5" s="327"/>
      <c r="MZS5" s="327"/>
      <c r="NAF5" s="327"/>
      <c r="NAS5" s="327"/>
      <c r="NBF5" s="327"/>
      <c r="NBS5" s="327"/>
      <c r="NCF5" s="327"/>
      <c r="NCS5" s="327"/>
      <c r="NDF5" s="327"/>
      <c r="NDS5" s="327"/>
      <c r="NEF5" s="327"/>
      <c r="NES5" s="327"/>
      <c r="NFF5" s="327"/>
      <c r="NFS5" s="327"/>
      <c r="NGF5" s="327"/>
      <c r="NGS5" s="327"/>
      <c r="NHF5" s="327"/>
      <c r="NHS5" s="327"/>
      <c r="NIF5" s="327"/>
      <c r="NIS5" s="327"/>
      <c r="NJF5" s="327"/>
      <c r="NJS5" s="327"/>
      <c r="NKF5" s="327"/>
      <c r="NKS5" s="327"/>
      <c r="NLF5" s="327"/>
      <c r="NLS5" s="327"/>
      <c r="NMF5" s="327"/>
      <c r="NMS5" s="327"/>
      <c r="NNF5" s="327"/>
      <c r="NNS5" s="327"/>
      <c r="NOF5" s="327"/>
      <c r="NOS5" s="327"/>
      <c r="NPF5" s="327"/>
      <c r="NPS5" s="327"/>
      <c r="NQF5" s="327"/>
      <c r="NQS5" s="327"/>
      <c r="NRF5" s="327"/>
      <c r="NRS5" s="327"/>
      <c r="NSF5" s="327"/>
      <c r="NSS5" s="327"/>
      <c r="NTF5" s="327"/>
      <c r="NTS5" s="327"/>
      <c r="NUF5" s="327"/>
      <c r="NUS5" s="327"/>
      <c r="NVF5" s="327"/>
      <c r="NVS5" s="327"/>
      <c r="NWF5" s="327"/>
      <c r="NWS5" s="327"/>
      <c r="NXF5" s="327"/>
      <c r="NXS5" s="327"/>
      <c r="NYF5" s="327"/>
      <c r="NYS5" s="327"/>
      <c r="NZF5" s="327"/>
      <c r="NZS5" s="327"/>
      <c r="OAF5" s="327"/>
      <c r="OAS5" s="327"/>
      <c r="OBF5" s="327"/>
      <c r="OBS5" s="327"/>
      <c r="OCF5" s="327"/>
      <c r="OCS5" s="327"/>
      <c r="ODF5" s="327"/>
      <c r="ODS5" s="327"/>
      <c r="OEF5" s="327"/>
      <c r="OES5" s="327"/>
      <c r="OFF5" s="327"/>
      <c r="OFS5" s="327"/>
      <c r="OGF5" s="327"/>
      <c r="OGS5" s="327"/>
      <c r="OHF5" s="327"/>
      <c r="OHS5" s="327"/>
      <c r="OIF5" s="327"/>
      <c r="OIS5" s="327"/>
      <c r="OJF5" s="327"/>
      <c r="OJS5" s="327"/>
      <c r="OKF5" s="327"/>
      <c r="OKS5" s="327"/>
      <c r="OLF5" s="327"/>
      <c r="OLS5" s="327"/>
      <c r="OMF5" s="327"/>
      <c r="OMS5" s="327"/>
      <c r="ONF5" s="327"/>
      <c r="ONS5" s="327"/>
      <c r="OOF5" s="327"/>
      <c r="OOS5" s="327"/>
      <c r="OPF5" s="327"/>
      <c r="OPS5" s="327"/>
      <c r="OQF5" s="327"/>
      <c r="OQS5" s="327"/>
      <c r="ORF5" s="327"/>
      <c r="ORS5" s="327"/>
      <c r="OSF5" s="327"/>
      <c r="OSS5" s="327"/>
      <c r="OTF5" s="327"/>
      <c r="OTS5" s="327"/>
      <c r="OUF5" s="327"/>
      <c r="OUS5" s="327"/>
      <c r="OVF5" s="327"/>
      <c r="OVS5" s="327"/>
      <c r="OWF5" s="327"/>
      <c r="OWS5" s="327"/>
      <c r="OXF5" s="327"/>
      <c r="OXS5" s="327"/>
      <c r="OYF5" s="327"/>
      <c r="OYS5" s="327"/>
      <c r="OZF5" s="327"/>
      <c r="OZS5" s="327"/>
      <c r="PAF5" s="327"/>
      <c r="PAS5" s="327"/>
      <c r="PBF5" s="327"/>
      <c r="PBS5" s="327"/>
      <c r="PCF5" s="327"/>
      <c r="PCS5" s="327"/>
      <c r="PDF5" s="327"/>
      <c r="PDS5" s="327"/>
      <c r="PEF5" s="327"/>
      <c r="PES5" s="327"/>
      <c r="PFF5" s="327"/>
      <c r="PFS5" s="327"/>
      <c r="PGF5" s="327"/>
      <c r="PGS5" s="327"/>
      <c r="PHF5" s="327"/>
      <c r="PHS5" s="327"/>
      <c r="PIF5" s="327"/>
      <c r="PIS5" s="327"/>
      <c r="PJF5" s="327"/>
      <c r="PJS5" s="327"/>
      <c r="PKF5" s="327"/>
      <c r="PKS5" s="327"/>
      <c r="PLF5" s="327"/>
      <c r="PLS5" s="327"/>
      <c r="PMF5" s="327"/>
      <c r="PMS5" s="327"/>
      <c r="PNF5" s="327"/>
      <c r="PNS5" s="327"/>
      <c r="POF5" s="327"/>
      <c r="POS5" s="327"/>
      <c r="PPF5" s="327"/>
      <c r="PPS5" s="327"/>
      <c r="PQF5" s="327"/>
      <c r="PQS5" s="327"/>
      <c r="PRF5" s="327"/>
      <c r="PRS5" s="327"/>
      <c r="PSF5" s="327"/>
      <c r="PSS5" s="327"/>
      <c r="PTF5" s="327"/>
      <c r="PTS5" s="327"/>
      <c r="PUF5" s="327"/>
      <c r="PUS5" s="327"/>
      <c r="PVF5" s="327"/>
      <c r="PVS5" s="327"/>
      <c r="PWF5" s="327"/>
      <c r="PWS5" s="327"/>
      <c r="PXF5" s="327"/>
      <c r="PXS5" s="327"/>
      <c r="PYF5" s="327"/>
      <c r="PYS5" s="327"/>
      <c r="PZF5" s="327"/>
      <c r="PZS5" s="327"/>
      <c r="QAF5" s="327"/>
      <c r="QAS5" s="327"/>
      <c r="QBF5" s="327"/>
      <c r="QBS5" s="327"/>
      <c r="QCF5" s="327"/>
      <c r="QCS5" s="327"/>
      <c r="QDF5" s="327"/>
      <c r="QDS5" s="327"/>
      <c r="QEF5" s="327"/>
      <c r="QES5" s="327"/>
      <c r="QFF5" s="327"/>
      <c r="QFS5" s="327"/>
      <c r="QGF5" s="327"/>
      <c r="QGS5" s="327"/>
      <c r="QHF5" s="327"/>
      <c r="QHS5" s="327"/>
      <c r="QIF5" s="327"/>
      <c r="QIS5" s="327"/>
      <c r="QJF5" s="327"/>
      <c r="QJS5" s="327"/>
      <c r="QKF5" s="327"/>
      <c r="QKS5" s="327"/>
      <c r="QLF5" s="327"/>
      <c r="QLS5" s="327"/>
      <c r="QMF5" s="327"/>
      <c r="QMS5" s="327"/>
      <c r="QNF5" s="327"/>
      <c r="QNS5" s="327"/>
      <c r="QOF5" s="327"/>
      <c r="QOS5" s="327"/>
      <c r="QPF5" s="327"/>
      <c r="QPS5" s="327"/>
      <c r="QQF5" s="327"/>
      <c r="QQS5" s="327"/>
      <c r="QRF5" s="327"/>
      <c r="QRS5" s="327"/>
      <c r="QSF5" s="327"/>
      <c r="QSS5" s="327"/>
      <c r="QTF5" s="327"/>
      <c r="QTS5" s="327"/>
      <c r="QUF5" s="327"/>
      <c r="QUS5" s="327"/>
      <c r="QVF5" s="327"/>
      <c r="QVS5" s="327"/>
      <c r="QWF5" s="327"/>
      <c r="QWS5" s="327"/>
      <c r="QXF5" s="327"/>
      <c r="QXS5" s="327"/>
      <c r="QYF5" s="327"/>
      <c r="QYS5" s="327"/>
      <c r="QZF5" s="327"/>
      <c r="QZS5" s="327"/>
      <c r="RAF5" s="327"/>
      <c r="RAS5" s="327"/>
      <c r="RBF5" s="327"/>
      <c r="RBS5" s="327"/>
      <c r="RCF5" s="327"/>
      <c r="RCS5" s="327"/>
      <c r="RDF5" s="327"/>
      <c r="RDS5" s="327"/>
      <c r="REF5" s="327"/>
      <c r="RES5" s="327"/>
      <c r="RFF5" s="327"/>
      <c r="RFS5" s="327"/>
      <c r="RGF5" s="327"/>
      <c r="RGS5" s="327"/>
      <c r="RHF5" s="327"/>
      <c r="RHS5" s="327"/>
      <c r="RIF5" s="327"/>
      <c r="RIS5" s="327"/>
      <c r="RJF5" s="327"/>
      <c r="RJS5" s="327"/>
      <c r="RKF5" s="327"/>
      <c r="RKS5" s="327"/>
      <c r="RLF5" s="327"/>
      <c r="RLS5" s="327"/>
      <c r="RMF5" s="327"/>
      <c r="RMS5" s="327"/>
      <c r="RNF5" s="327"/>
      <c r="RNS5" s="327"/>
      <c r="ROF5" s="327"/>
      <c r="ROS5" s="327"/>
      <c r="RPF5" s="327"/>
      <c r="RPS5" s="327"/>
      <c r="RQF5" s="327"/>
      <c r="RQS5" s="327"/>
      <c r="RRF5" s="327"/>
      <c r="RRS5" s="327"/>
      <c r="RSF5" s="327"/>
      <c r="RSS5" s="327"/>
      <c r="RTF5" s="327"/>
      <c r="RTS5" s="327"/>
      <c r="RUF5" s="327"/>
      <c r="RUS5" s="327"/>
      <c r="RVF5" s="327"/>
      <c r="RVS5" s="327"/>
      <c r="RWF5" s="327"/>
      <c r="RWS5" s="327"/>
      <c r="RXF5" s="327"/>
      <c r="RXS5" s="327"/>
      <c r="RYF5" s="327"/>
      <c r="RYS5" s="327"/>
      <c r="RZF5" s="327"/>
      <c r="RZS5" s="327"/>
      <c r="SAF5" s="327"/>
      <c r="SAS5" s="327"/>
      <c r="SBF5" s="327"/>
      <c r="SBS5" s="327"/>
      <c r="SCF5" s="327"/>
      <c r="SCS5" s="327"/>
      <c r="SDF5" s="327"/>
      <c r="SDS5" s="327"/>
      <c r="SEF5" s="327"/>
      <c r="SES5" s="327"/>
      <c r="SFF5" s="327"/>
      <c r="SFS5" s="327"/>
      <c r="SGF5" s="327"/>
      <c r="SGS5" s="327"/>
      <c r="SHF5" s="327"/>
      <c r="SHS5" s="327"/>
      <c r="SIF5" s="327"/>
      <c r="SIS5" s="327"/>
      <c r="SJF5" s="327"/>
      <c r="SJS5" s="327"/>
      <c r="SKF5" s="327"/>
      <c r="SKS5" s="327"/>
      <c r="SLF5" s="327"/>
      <c r="SLS5" s="327"/>
      <c r="SMF5" s="327"/>
      <c r="SMS5" s="327"/>
      <c r="SNF5" s="327"/>
      <c r="SNS5" s="327"/>
      <c r="SOF5" s="327"/>
      <c r="SOS5" s="327"/>
      <c r="SPF5" s="327"/>
      <c r="SPS5" s="327"/>
      <c r="SQF5" s="327"/>
      <c r="SQS5" s="327"/>
      <c r="SRF5" s="327"/>
      <c r="SRS5" s="327"/>
      <c r="SSF5" s="327"/>
      <c r="SSS5" s="327"/>
      <c r="STF5" s="327"/>
      <c r="STS5" s="327"/>
      <c r="SUF5" s="327"/>
      <c r="SUS5" s="327"/>
      <c r="SVF5" s="327"/>
      <c r="SVS5" s="327"/>
      <c r="SWF5" s="327"/>
      <c r="SWS5" s="327"/>
      <c r="SXF5" s="327"/>
      <c r="SXS5" s="327"/>
      <c r="SYF5" s="327"/>
      <c r="SYS5" s="327"/>
      <c r="SZF5" s="327"/>
      <c r="SZS5" s="327"/>
      <c r="TAF5" s="327"/>
      <c r="TAS5" s="327"/>
      <c r="TBF5" s="327"/>
      <c r="TBS5" s="327"/>
      <c r="TCF5" s="327"/>
      <c r="TCS5" s="327"/>
      <c r="TDF5" s="327"/>
      <c r="TDS5" s="327"/>
      <c r="TEF5" s="327"/>
      <c r="TES5" s="327"/>
      <c r="TFF5" s="327"/>
      <c r="TFS5" s="327"/>
      <c r="TGF5" s="327"/>
      <c r="TGS5" s="327"/>
      <c r="THF5" s="327"/>
      <c r="THS5" s="327"/>
      <c r="TIF5" s="327"/>
      <c r="TIS5" s="327"/>
      <c r="TJF5" s="327"/>
      <c r="TJS5" s="327"/>
      <c r="TKF5" s="327"/>
      <c r="TKS5" s="327"/>
      <c r="TLF5" s="327"/>
      <c r="TLS5" s="327"/>
      <c r="TMF5" s="327"/>
      <c r="TMS5" s="327"/>
      <c r="TNF5" s="327"/>
      <c r="TNS5" s="327"/>
      <c r="TOF5" s="327"/>
      <c r="TOS5" s="327"/>
      <c r="TPF5" s="327"/>
      <c r="TPS5" s="327"/>
      <c r="TQF5" s="327"/>
      <c r="TQS5" s="327"/>
      <c r="TRF5" s="327"/>
      <c r="TRS5" s="327"/>
      <c r="TSF5" s="327"/>
      <c r="TSS5" s="327"/>
      <c r="TTF5" s="327"/>
      <c r="TTS5" s="327"/>
      <c r="TUF5" s="327"/>
      <c r="TUS5" s="327"/>
      <c r="TVF5" s="327"/>
      <c r="TVS5" s="327"/>
      <c r="TWF5" s="327"/>
      <c r="TWS5" s="327"/>
      <c r="TXF5" s="327"/>
      <c r="TXS5" s="327"/>
      <c r="TYF5" s="327"/>
      <c r="TYS5" s="327"/>
      <c r="TZF5" s="327"/>
      <c r="TZS5" s="327"/>
      <c r="UAF5" s="327"/>
      <c r="UAS5" s="327"/>
      <c r="UBF5" s="327"/>
      <c r="UBS5" s="327"/>
      <c r="UCF5" s="327"/>
      <c r="UCS5" s="327"/>
      <c r="UDF5" s="327"/>
      <c r="UDS5" s="327"/>
      <c r="UEF5" s="327"/>
      <c r="UES5" s="327"/>
      <c r="UFF5" s="327"/>
      <c r="UFS5" s="327"/>
      <c r="UGF5" s="327"/>
      <c r="UGS5" s="327"/>
      <c r="UHF5" s="327"/>
      <c r="UHS5" s="327"/>
      <c r="UIF5" s="327"/>
      <c r="UIS5" s="327"/>
      <c r="UJF5" s="327"/>
      <c r="UJS5" s="327"/>
      <c r="UKF5" s="327"/>
      <c r="UKS5" s="327"/>
      <c r="ULF5" s="327"/>
      <c r="ULS5" s="327"/>
      <c r="UMF5" s="327"/>
      <c r="UMS5" s="327"/>
      <c r="UNF5" s="327"/>
      <c r="UNS5" s="327"/>
      <c r="UOF5" s="327"/>
      <c r="UOS5" s="327"/>
      <c r="UPF5" s="327"/>
      <c r="UPS5" s="327"/>
      <c r="UQF5" s="327"/>
      <c r="UQS5" s="327"/>
      <c r="URF5" s="327"/>
      <c r="URS5" s="327"/>
      <c r="USF5" s="327"/>
      <c r="USS5" s="327"/>
      <c r="UTF5" s="327"/>
      <c r="UTS5" s="327"/>
      <c r="UUF5" s="327"/>
      <c r="UUS5" s="327"/>
      <c r="UVF5" s="327"/>
      <c r="UVS5" s="327"/>
      <c r="UWF5" s="327"/>
      <c r="UWS5" s="327"/>
      <c r="UXF5" s="327"/>
      <c r="UXS5" s="327"/>
      <c r="UYF5" s="327"/>
      <c r="UYS5" s="327"/>
      <c r="UZF5" s="327"/>
      <c r="UZS5" s="327"/>
      <c r="VAF5" s="327"/>
      <c r="VAS5" s="327"/>
      <c r="VBF5" s="327"/>
      <c r="VBS5" s="327"/>
      <c r="VCF5" s="327"/>
      <c r="VCS5" s="327"/>
      <c r="VDF5" s="327"/>
      <c r="VDS5" s="327"/>
      <c r="VEF5" s="327"/>
      <c r="VES5" s="327"/>
      <c r="VFF5" s="327"/>
      <c r="VFS5" s="327"/>
      <c r="VGF5" s="327"/>
      <c r="VGS5" s="327"/>
      <c r="VHF5" s="327"/>
      <c r="VHS5" s="327"/>
      <c r="VIF5" s="327"/>
      <c r="VIS5" s="327"/>
      <c r="VJF5" s="327"/>
      <c r="VJS5" s="327"/>
      <c r="VKF5" s="327"/>
      <c r="VKS5" s="327"/>
      <c r="VLF5" s="327"/>
      <c r="VLS5" s="327"/>
      <c r="VMF5" s="327"/>
      <c r="VMS5" s="327"/>
      <c r="VNF5" s="327"/>
      <c r="VNS5" s="327"/>
      <c r="VOF5" s="327"/>
      <c r="VOS5" s="327"/>
      <c r="VPF5" s="327"/>
      <c r="VPS5" s="327"/>
      <c r="VQF5" s="327"/>
      <c r="VQS5" s="327"/>
      <c r="VRF5" s="327"/>
      <c r="VRS5" s="327"/>
      <c r="VSF5" s="327"/>
      <c r="VSS5" s="327"/>
      <c r="VTF5" s="327"/>
      <c r="VTS5" s="327"/>
      <c r="VUF5" s="327"/>
      <c r="VUS5" s="327"/>
      <c r="VVF5" s="327"/>
      <c r="VVS5" s="327"/>
      <c r="VWF5" s="327"/>
      <c r="VWS5" s="327"/>
      <c r="VXF5" s="327"/>
      <c r="VXS5" s="327"/>
      <c r="VYF5" s="327"/>
      <c r="VYS5" s="327"/>
      <c r="VZF5" s="327"/>
      <c r="VZS5" s="327"/>
      <c r="WAF5" s="327"/>
      <c r="WAS5" s="327"/>
      <c r="WBF5" s="327"/>
      <c r="WBS5" s="327"/>
      <c r="WCF5" s="327"/>
      <c r="WCS5" s="327"/>
      <c r="WDF5" s="327"/>
      <c r="WDS5" s="327"/>
      <c r="WEF5" s="327"/>
      <c r="WES5" s="327"/>
      <c r="WFF5" s="327"/>
      <c r="WFS5" s="327"/>
      <c r="WGF5" s="327"/>
      <c r="WGS5" s="327"/>
      <c r="WHF5" s="327"/>
      <c r="WHS5" s="327"/>
      <c r="WIF5" s="327"/>
      <c r="WIS5" s="327"/>
      <c r="WJF5" s="327"/>
      <c r="WJS5" s="327"/>
      <c r="WKF5" s="327"/>
      <c r="WKS5" s="327"/>
      <c r="WLF5" s="327"/>
      <c r="WLS5" s="327"/>
      <c r="WMF5" s="327"/>
      <c r="WMS5" s="327"/>
      <c r="WNF5" s="327"/>
      <c r="WNS5" s="327"/>
      <c r="WOF5" s="327"/>
      <c r="WOS5" s="327"/>
      <c r="WPF5" s="327"/>
      <c r="WPS5" s="327"/>
      <c r="WQF5" s="327"/>
      <c r="WQS5" s="327"/>
      <c r="WRF5" s="327"/>
      <c r="WRS5" s="327"/>
      <c r="WSF5" s="327"/>
      <c r="WSS5" s="327"/>
      <c r="WTF5" s="327"/>
      <c r="WTS5" s="327"/>
      <c r="WUF5" s="327"/>
      <c r="WUS5" s="327"/>
      <c r="WVF5" s="327"/>
      <c r="WVS5" s="327"/>
      <c r="WWF5" s="327"/>
      <c r="WWS5" s="327"/>
      <c r="WXF5" s="327"/>
      <c r="WXS5" s="327"/>
      <c r="WYF5" s="327"/>
      <c r="WYS5" s="327"/>
      <c r="WZF5" s="327"/>
      <c r="WZS5" s="327"/>
      <c r="XAF5" s="327"/>
      <c r="XAS5" s="327"/>
      <c r="XBF5" s="327"/>
      <c r="XBS5" s="327"/>
      <c r="XCF5" s="327"/>
      <c r="XCS5" s="327"/>
      <c r="XDF5" s="327"/>
      <c r="XDS5" s="327"/>
      <c r="XEF5" s="327"/>
      <c r="XES5" s="327"/>
    </row>
    <row r="6" spans="1:1020 1033:2047 2060:3061 3074:4088 4101:5115 5128:6142 6155:7156 7169:8183 8196:9210 9223:10237 10250:11264 11277:12278 12291:13305 13318:14332 14345:15359 15372:16373" s="269" customFormat="1" ht="13" customHeight="1">
      <c r="A6" s="338"/>
      <c r="B6" s="18" t="str">
        <f>IF('Summary | Sumário'!D$3=Names!B$3,Names!M4,Names!N4)</f>
        <v>Income from securities and derivatives</v>
      </c>
      <c r="C6" s="329">
        <v>66753</v>
      </c>
      <c r="D6" s="329">
        <v>-42358</v>
      </c>
      <c r="E6" s="329">
        <v>697283</v>
      </c>
      <c r="F6" s="329">
        <v>1505621</v>
      </c>
      <c r="G6" s="329">
        <v>1545835</v>
      </c>
      <c r="H6" s="329">
        <v>68136</v>
      </c>
      <c r="I6" s="329">
        <v>82897</v>
      </c>
      <c r="J6" s="329">
        <v>218551</v>
      </c>
      <c r="K6" s="329">
        <v>327699</v>
      </c>
      <c r="L6" s="329">
        <v>359022</v>
      </c>
      <c r="M6" s="329">
        <v>403816</v>
      </c>
      <c r="N6" s="329">
        <v>346923</v>
      </c>
      <c r="O6" s="329">
        <v>395860</v>
      </c>
      <c r="P6" s="329">
        <v>371406</v>
      </c>
      <c r="Q6" s="329">
        <v>343176</v>
      </c>
      <c r="R6" s="329">
        <v>482020</v>
      </c>
      <c r="S6" s="329">
        <v>349233</v>
      </c>
    </row>
    <row r="7" spans="1:1020 1033:2047 2060:3061 3074:4088 4101:5115 5128:6142 6155:7156 7169:8183 8196:9210 9223:10237 10250:11264 11277:12278 12291:13305 13318:14332 14345:15359 15372:16373" s="263" customFormat="1" ht="13" customHeight="1">
      <c r="A7" s="354"/>
      <c r="B7" s="430" t="str">
        <f>IF('Summary | Sumário'!D$3=Names!B$3,Names!M5,Names!N5)</f>
        <v>Net interest income</v>
      </c>
      <c r="C7" s="431">
        <v>585551</v>
      </c>
      <c r="D7" s="431">
        <v>715962.89517999999</v>
      </c>
      <c r="E7" s="431">
        <v>1589469.2459999998</v>
      </c>
      <c r="F7" s="431">
        <v>2335429.0819999995</v>
      </c>
      <c r="G7" s="431">
        <v>3208088</v>
      </c>
      <c r="H7" s="431">
        <v>291580.935</v>
      </c>
      <c r="I7" s="431">
        <v>302295.75100000005</v>
      </c>
      <c r="J7" s="431">
        <v>447369.88</v>
      </c>
      <c r="K7" s="431">
        <v>548221.67999999993</v>
      </c>
      <c r="L7" s="431">
        <v>543410.63199999998</v>
      </c>
      <c r="M7" s="431">
        <v>561087.6370000001</v>
      </c>
      <c r="N7" s="431">
        <v>555587.73100000003</v>
      </c>
      <c r="O7" s="431">
        <v>675343.08199999994</v>
      </c>
      <c r="P7" s="431">
        <v>711561.82200000004</v>
      </c>
      <c r="Q7" s="431">
        <v>802075</v>
      </c>
      <c r="R7" s="431">
        <v>818557.08874000004</v>
      </c>
      <c r="S7" s="431">
        <v>875895.08425999992</v>
      </c>
    </row>
    <row r="8" spans="1:1020 1033:2047 2060:3061 3074:4088 4101:5115 5128:6142 6155:7156 7169:8183 8196:9210 9223:10237 10250:11264 11277:12278 12291:13305 13318:14332 14345:15359 15372:16373" ht="13" customHeight="1">
      <c r="C8" s="212"/>
      <c r="D8" s="212"/>
      <c r="E8" s="212"/>
      <c r="F8" s="212"/>
      <c r="G8" s="212"/>
      <c r="H8" s="212"/>
      <c r="I8" s="212"/>
      <c r="J8" s="212"/>
      <c r="K8" s="212"/>
      <c r="L8" s="212"/>
      <c r="M8" s="212"/>
      <c r="N8" s="212"/>
      <c r="O8" s="212"/>
      <c r="P8" s="212"/>
      <c r="Q8" s="212"/>
      <c r="R8" s="212"/>
      <c r="S8" s="212"/>
    </row>
    <row r="9" spans="1:1020 1033:2047 2060:3061 3074:4088 4101:5115 5128:6142 6155:7156 7169:8183 8196:9210 9223:10237 10250:11264 11277:12278 12291:13305 13318:14332 14345:15359 15372:16373" s="326" customFormat="1" ht="13" customHeight="1">
      <c r="A9" s="325"/>
      <c r="B9" s="24" t="str">
        <f>IF('Summary | Sumário'!D$3=Names!B$3,Names!M6,Names!N6)</f>
        <v xml:space="preserve">Revenues from services and commissions </v>
      </c>
      <c r="C9" s="353">
        <v>130457</v>
      </c>
      <c r="D9" s="353">
        <v>257145</v>
      </c>
      <c r="E9" s="353">
        <v>542569</v>
      </c>
      <c r="F9" s="353">
        <v>968039</v>
      </c>
      <c r="G9" s="353">
        <v>1304382</v>
      </c>
      <c r="H9" s="353">
        <v>100965</v>
      </c>
      <c r="I9" s="353">
        <v>110911</v>
      </c>
      <c r="J9" s="353">
        <v>149283</v>
      </c>
      <c r="K9" s="353">
        <v>181410</v>
      </c>
      <c r="L9" s="353">
        <v>206219</v>
      </c>
      <c r="M9" s="353">
        <v>238515</v>
      </c>
      <c r="N9" s="353">
        <v>250433</v>
      </c>
      <c r="O9" s="353">
        <v>272872</v>
      </c>
      <c r="P9" s="353">
        <v>282353</v>
      </c>
      <c r="Q9" s="353">
        <v>298524</v>
      </c>
      <c r="R9" s="353">
        <v>347780</v>
      </c>
      <c r="S9" s="353">
        <v>375724.6</v>
      </c>
      <c r="T9" s="211"/>
      <c r="AF9" s="327"/>
      <c r="AS9" s="327"/>
      <c r="BF9" s="327"/>
      <c r="BS9" s="327"/>
      <c r="CF9" s="327"/>
      <c r="CS9" s="327"/>
      <c r="DF9" s="327"/>
      <c r="DS9" s="327"/>
      <c r="EF9" s="327"/>
      <c r="ES9" s="327"/>
      <c r="FF9" s="327"/>
      <c r="FS9" s="327"/>
      <c r="GF9" s="327"/>
      <c r="GS9" s="327"/>
      <c r="HF9" s="327"/>
      <c r="HS9" s="327"/>
      <c r="IF9" s="327"/>
      <c r="IS9" s="327"/>
      <c r="JF9" s="327"/>
      <c r="JS9" s="327"/>
      <c r="KF9" s="327"/>
      <c r="KS9" s="327"/>
      <c r="LF9" s="327"/>
      <c r="LS9" s="327"/>
      <c r="MF9" s="327"/>
      <c r="MS9" s="327"/>
      <c r="NF9" s="327"/>
      <c r="NS9" s="327"/>
      <c r="OF9" s="327"/>
      <c r="OS9" s="327"/>
      <c r="PF9" s="327"/>
      <c r="PS9" s="327"/>
      <c r="QF9" s="327"/>
      <c r="QS9" s="327"/>
      <c r="RF9" s="327"/>
      <c r="RS9" s="327"/>
      <c r="SF9" s="327"/>
      <c r="SS9" s="327"/>
      <c r="TF9" s="327"/>
      <c r="TS9" s="327"/>
      <c r="UF9" s="327"/>
      <c r="US9" s="327"/>
      <c r="VF9" s="327"/>
      <c r="VS9" s="327"/>
      <c r="WF9" s="327"/>
      <c r="WS9" s="327"/>
      <c r="XF9" s="327"/>
      <c r="XS9" s="327"/>
      <c r="YF9" s="327"/>
      <c r="YS9" s="327"/>
      <c r="ZF9" s="327"/>
      <c r="ZS9" s="327"/>
      <c r="AAF9" s="327"/>
      <c r="AAS9" s="327"/>
      <c r="ABF9" s="327"/>
      <c r="ABS9" s="327"/>
      <c r="ACF9" s="327"/>
      <c r="ACS9" s="327"/>
      <c r="ADF9" s="327"/>
      <c r="ADS9" s="327"/>
      <c r="AEF9" s="327"/>
      <c r="AES9" s="327"/>
      <c r="AFF9" s="327"/>
      <c r="AFS9" s="327"/>
      <c r="AGF9" s="327"/>
      <c r="AGS9" s="327"/>
      <c r="AHF9" s="327"/>
      <c r="AHS9" s="327"/>
      <c r="AIF9" s="327"/>
      <c r="AIS9" s="327"/>
      <c r="AJF9" s="327"/>
      <c r="AJS9" s="327"/>
      <c r="AKF9" s="327"/>
      <c r="AKS9" s="327"/>
      <c r="ALF9" s="327"/>
      <c r="ALS9" s="327"/>
      <c r="AMF9" s="327"/>
      <c r="AMS9" s="327"/>
      <c r="ANF9" s="327"/>
      <c r="ANS9" s="327"/>
      <c r="AOF9" s="327"/>
      <c r="AOS9" s="327"/>
      <c r="APF9" s="327"/>
      <c r="APS9" s="327"/>
      <c r="AQF9" s="327"/>
      <c r="AQS9" s="327"/>
      <c r="ARF9" s="327"/>
      <c r="ARS9" s="327"/>
      <c r="ASF9" s="327"/>
      <c r="ASS9" s="327"/>
      <c r="ATF9" s="327"/>
      <c r="ATS9" s="327"/>
      <c r="AUF9" s="327"/>
      <c r="AUS9" s="327"/>
      <c r="AVF9" s="327"/>
      <c r="AVS9" s="327"/>
      <c r="AWF9" s="327"/>
      <c r="AWS9" s="327"/>
      <c r="AXF9" s="327"/>
      <c r="AXS9" s="327"/>
      <c r="AYF9" s="327"/>
      <c r="AYS9" s="327"/>
      <c r="AZF9" s="327"/>
      <c r="AZS9" s="327"/>
      <c r="BAF9" s="327"/>
      <c r="BAS9" s="327"/>
      <c r="BBF9" s="327"/>
      <c r="BBS9" s="327"/>
      <c r="BCF9" s="327"/>
      <c r="BCS9" s="327"/>
      <c r="BDF9" s="327"/>
      <c r="BDS9" s="327"/>
      <c r="BEF9" s="327"/>
      <c r="BES9" s="327"/>
      <c r="BFF9" s="327"/>
      <c r="BFS9" s="327"/>
      <c r="BGF9" s="327"/>
      <c r="BGS9" s="327"/>
      <c r="BHF9" s="327"/>
      <c r="BHS9" s="327"/>
      <c r="BIF9" s="327"/>
      <c r="BIS9" s="327"/>
      <c r="BJF9" s="327"/>
      <c r="BJS9" s="327"/>
      <c r="BKF9" s="327"/>
      <c r="BKS9" s="327"/>
      <c r="BLF9" s="327"/>
      <c r="BLS9" s="327"/>
      <c r="BMF9" s="327"/>
      <c r="BMS9" s="327"/>
      <c r="BNF9" s="327"/>
      <c r="BNS9" s="327"/>
      <c r="BOF9" s="327"/>
      <c r="BOS9" s="327"/>
      <c r="BPF9" s="327"/>
      <c r="BPS9" s="327"/>
      <c r="BQF9" s="327"/>
      <c r="BQS9" s="327"/>
      <c r="BRF9" s="327"/>
      <c r="BRS9" s="327"/>
      <c r="BSF9" s="327"/>
      <c r="BSS9" s="327"/>
      <c r="BTF9" s="327"/>
      <c r="BTS9" s="327"/>
      <c r="BUF9" s="327"/>
      <c r="BUS9" s="327"/>
      <c r="BVF9" s="327"/>
      <c r="BVS9" s="327"/>
      <c r="BWF9" s="327"/>
      <c r="BWS9" s="327"/>
      <c r="BXF9" s="327"/>
      <c r="BXS9" s="327"/>
      <c r="BYF9" s="327"/>
      <c r="BYS9" s="327"/>
      <c r="BZF9" s="327"/>
      <c r="BZS9" s="327"/>
      <c r="CAF9" s="327"/>
      <c r="CAS9" s="327"/>
      <c r="CBF9" s="327"/>
      <c r="CBS9" s="327"/>
      <c r="CCF9" s="327"/>
      <c r="CCS9" s="327"/>
      <c r="CDF9" s="327"/>
      <c r="CDS9" s="327"/>
      <c r="CEF9" s="327"/>
      <c r="CES9" s="327"/>
      <c r="CFF9" s="327"/>
      <c r="CFS9" s="327"/>
      <c r="CGF9" s="327"/>
      <c r="CGS9" s="327"/>
      <c r="CHF9" s="327"/>
      <c r="CHS9" s="327"/>
      <c r="CIF9" s="327"/>
      <c r="CIS9" s="327"/>
      <c r="CJF9" s="327"/>
      <c r="CJS9" s="327"/>
      <c r="CKF9" s="327"/>
      <c r="CKS9" s="327"/>
      <c r="CLF9" s="327"/>
      <c r="CLS9" s="327"/>
      <c r="CMF9" s="327"/>
      <c r="CMS9" s="327"/>
      <c r="CNF9" s="327"/>
      <c r="CNS9" s="327"/>
      <c r="COF9" s="327"/>
      <c r="COS9" s="327"/>
      <c r="CPF9" s="327"/>
      <c r="CPS9" s="327"/>
      <c r="CQF9" s="327"/>
      <c r="CQS9" s="327"/>
      <c r="CRF9" s="327"/>
      <c r="CRS9" s="327"/>
      <c r="CSF9" s="327"/>
      <c r="CSS9" s="327"/>
      <c r="CTF9" s="327"/>
      <c r="CTS9" s="327"/>
      <c r="CUF9" s="327"/>
      <c r="CUS9" s="327"/>
      <c r="CVF9" s="327"/>
      <c r="CVS9" s="327"/>
      <c r="CWF9" s="327"/>
      <c r="CWS9" s="327"/>
      <c r="CXF9" s="327"/>
      <c r="CXS9" s="327"/>
      <c r="CYF9" s="327"/>
      <c r="CYS9" s="327"/>
      <c r="CZF9" s="327"/>
      <c r="CZS9" s="327"/>
      <c r="DAF9" s="327"/>
      <c r="DAS9" s="327"/>
      <c r="DBF9" s="327"/>
      <c r="DBS9" s="327"/>
      <c r="DCF9" s="327"/>
      <c r="DCS9" s="327"/>
      <c r="DDF9" s="327"/>
      <c r="DDS9" s="327"/>
      <c r="DEF9" s="327"/>
      <c r="DES9" s="327"/>
      <c r="DFF9" s="327"/>
      <c r="DFS9" s="327"/>
      <c r="DGF9" s="327"/>
      <c r="DGS9" s="327"/>
      <c r="DHF9" s="327"/>
      <c r="DHS9" s="327"/>
      <c r="DIF9" s="327"/>
      <c r="DIS9" s="327"/>
      <c r="DJF9" s="327"/>
      <c r="DJS9" s="327"/>
      <c r="DKF9" s="327"/>
      <c r="DKS9" s="327"/>
      <c r="DLF9" s="327"/>
      <c r="DLS9" s="327"/>
      <c r="DMF9" s="327"/>
      <c r="DMS9" s="327"/>
      <c r="DNF9" s="327"/>
      <c r="DNS9" s="327"/>
      <c r="DOF9" s="327"/>
      <c r="DOS9" s="327"/>
      <c r="DPF9" s="327"/>
      <c r="DPS9" s="327"/>
      <c r="DQF9" s="327"/>
      <c r="DQS9" s="327"/>
      <c r="DRF9" s="327"/>
      <c r="DRS9" s="327"/>
      <c r="DSF9" s="327"/>
      <c r="DSS9" s="327"/>
      <c r="DTF9" s="327"/>
      <c r="DTS9" s="327"/>
      <c r="DUF9" s="327"/>
      <c r="DUS9" s="327"/>
      <c r="DVF9" s="327"/>
      <c r="DVS9" s="327"/>
      <c r="DWF9" s="327"/>
      <c r="DWS9" s="327"/>
      <c r="DXF9" s="327"/>
      <c r="DXS9" s="327"/>
      <c r="DYF9" s="327"/>
      <c r="DYS9" s="327"/>
      <c r="DZF9" s="327"/>
      <c r="DZS9" s="327"/>
      <c r="EAF9" s="327"/>
      <c r="EAS9" s="327"/>
      <c r="EBF9" s="327"/>
      <c r="EBS9" s="327"/>
      <c r="ECF9" s="327"/>
      <c r="ECS9" s="327"/>
      <c r="EDF9" s="327"/>
      <c r="EDS9" s="327"/>
      <c r="EEF9" s="327"/>
      <c r="EES9" s="327"/>
      <c r="EFF9" s="327"/>
      <c r="EFS9" s="327"/>
      <c r="EGF9" s="327"/>
      <c r="EGS9" s="327"/>
      <c r="EHF9" s="327"/>
      <c r="EHS9" s="327"/>
      <c r="EIF9" s="327"/>
      <c r="EIS9" s="327"/>
      <c r="EJF9" s="327"/>
      <c r="EJS9" s="327"/>
      <c r="EKF9" s="327"/>
      <c r="EKS9" s="327"/>
      <c r="ELF9" s="327"/>
      <c r="ELS9" s="327"/>
      <c r="EMF9" s="327"/>
      <c r="EMS9" s="327"/>
      <c r="ENF9" s="327"/>
      <c r="ENS9" s="327"/>
      <c r="EOF9" s="327"/>
      <c r="EOS9" s="327"/>
      <c r="EPF9" s="327"/>
      <c r="EPS9" s="327"/>
      <c r="EQF9" s="327"/>
      <c r="EQS9" s="327"/>
      <c r="ERF9" s="327"/>
      <c r="ERS9" s="327"/>
      <c r="ESF9" s="327"/>
      <c r="ESS9" s="327"/>
      <c r="ETF9" s="327"/>
      <c r="ETS9" s="327"/>
      <c r="EUF9" s="327"/>
      <c r="EUS9" s="327"/>
      <c r="EVF9" s="327"/>
      <c r="EVS9" s="327"/>
      <c r="EWF9" s="327"/>
      <c r="EWS9" s="327"/>
      <c r="EXF9" s="327"/>
      <c r="EXS9" s="327"/>
      <c r="EYF9" s="327"/>
      <c r="EYS9" s="327"/>
      <c r="EZF9" s="327"/>
      <c r="EZS9" s="327"/>
      <c r="FAF9" s="327"/>
      <c r="FAS9" s="327"/>
      <c r="FBF9" s="327"/>
      <c r="FBS9" s="327"/>
      <c r="FCF9" s="327"/>
      <c r="FCS9" s="327"/>
      <c r="FDF9" s="327"/>
      <c r="FDS9" s="327"/>
      <c r="FEF9" s="327"/>
      <c r="FES9" s="327"/>
      <c r="FFF9" s="327"/>
      <c r="FFS9" s="327"/>
      <c r="FGF9" s="327"/>
      <c r="FGS9" s="327"/>
      <c r="FHF9" s="327"/>
      <c r="FHS9" s="327"/>
      <c r="FIF9" s="327"/>
      <c r="FIS9" s="327"/>
      <c r="FJF9" s="327"/>
      <c r="FJS9" s="327"/>
      <c r="FKF9" s="327"/>
      <c r="FKS9" s="327"/>
      <c r="FLF9" s="327"/>
      <c r="FLS9" s="327"/>
      <c r="FMF9" s="327"/>
      <c r="FMS9" s="327"/>
      <c r="FNF9" s="327"/>
      <c r="FNS9" s="327"/>
      <c r="FOF9" s="327"/>
      <c r="FOS9" s="327"/>
      <c r="FPF9" s="327"/>
      <c r="FPS9" s="327"/>
      <c r="FQF9" s="327"/>
      <c r="FQS9" s="327"/>
      <c r="FRF9" s="327"/>
      <c r="FRS9" s="327"/>
      <c r="FSF9" s="327"/>
      <c r="FSS9" s="327"/>
      <c r="FTF9" s="327"/>
      <c r="FTS9" s="327"/>
      <c r="FUF9" s="327"/>
      <c r="FUS9" s="327"/>
      <c r="FVF9" s="327"/>
      <c r="FVS9" s="327"/>
      <c r="FWF9" s="327"/>
      <c r="FWS9" s="327"/>
      <c r="FXF9" s="327"/>
      <c r="FXS9" s="327"/>
      <c r="FYF9" s="327"/>
      <c r="FYS9" s="327"/>
      <c r="FZF9" s="327"/>
      <c r="FZS9" s="327"/>
      <c r="GAF9" s="327"/>
      <c r="GAS9" s="327"/>
      <c r="GBF9" s="327"/>
      <c r="GBS9" s="327"/>
      <c r="GCF9" s="327"/>
      <c r="GCS9" s="327"/>
      <c r="GDF9" s="327"/>
      <c r="GDS9" s="327"/>
      <c r="GEF9" s="327"/>
      <c r="GES9" s="327"/>
      <c r="GFF9" s="327"/>
      <c r="GFS9" s="327"/>
      <c r="GGF9" s="327"/>
      <c r="GGS9" s="327"/>
      <c r="GHF9" s="327"/>
      <c r="GHS9" s="327"/>
      <c r="GIF9" s="327"/>
      <c r="GIS9" s="327"/>
      <c r="GJF9" s="327"/>
      <c r="GJS9" s="327"/>
      <c r="GKF9" s="327"/>
      <c r="GKS9" s="327"/>
      <c r="GLF9" s="327"/>
      <c r="GLS9" s="327"/>
      <c r="GMF9" s="327"/>
      <c r="GMS9" s="327"/>
      <c r="GNF9" s="327"/>
      <c r="GNS9" s="327"/>
      <c r="GOF9" s="327"/>
      <c r="GOS9" s="327"/>
      <c r="GPF9" s="327"/>
      <c r="GPS9" s="327"/>
      <c r="GQF9" s="327"/>
      <c r="GQS9" s="327"/>
      <c r="GRF9" s="327"/>
      <c r="GRS9" s="327"/>
      <c r="GSF9" s="327"/>
      <c r="GSS9" s="327"/>
      <c r="GTF9" s="327"/>
      <c r="GTS9" s="327"/>
      <c r="GUF9" s="327"/>
      <c r="GUS9" s="327"/>
      <c r="GVF9" s="327"/>
      <c r="GVS9" s="327"/>
      <c r="GWF9" s="327"/>
      <c r="GWS9" s="327"/>
      <c r="GXF9" s="327"/>
      <c r="GXS9" s="327"/>
      <c r="GYF9" s="327"/>
      <c r="GYS9" s="327"/>
      <c r="GZF9" s="327"/>
      <c r="GZS9" s="327"/>
      <c r="HAF9" s="327"/>
      <c r="HAS9" s="327"/>
      <c r="HBF9" s="327"/>
      <c r="HBS9" s="327"/>
      <c r="HCF9" s="327"/>
      <c r="HCS9" s="327"/>
      <c r="HDF9" s="327"/>
      <c r="HDS9" s="327"/>
      <c r="HEF9" s="327"/>
      <c r="HES9" s="327"/>
      <c r="HFF9" s="327"/>
      <c r="HFS9" s="327"/>
      <c r="HGF9" s="327"/>
      <c r="HGS9" s="327"/>
      <c r="HHF9" s="327"/>
      <c r="HHS9" s="327"/>
      <c r="HIF9" s="327"/>
      <c r="HIS9" s="327"/>
      <c r="HJF9" s="327"/>
      <c r="HJS9" s="327"/>
      <c r="HKF9" s="327"/>
      <c r="HKS9" s="327"/>
      <c r="HLF9" s="327"/>
      <c r="HLS9" s="327"/>
      <c r="HMF9" s="327"/>
      <c r="HMS9" s="327"/>
      <c r="HNF9" s="327"/>
      <c r="HNS9" s="327"/>
      <c r="HOF9" s="327"/>
      <c r="HOS9" s="327"/>
      <c r="HPF9" s="327"/>
      <c r="HPS9" s="327"/>
      <c r="HQF9" s="327"/>
      <c r="HQS9" s="327"/>
      <c r="HRF9" s="327"/>
      <c r="HRS9" s="327"/>
      <c r="HSF9" s="327"/>
      <c r="HSS9" s="327"/>
      <c r="HTF9" s="327"/>
      <c r="HTS9" s="327"/>
      <c r="HUF9" s="327"/>
      <c r="HUS9" s="327"/>
      <c r="HVF9" s="327"/>
      <c r="HVS9" s="327"/>
      <c r="HWF9" s="327"/>
      <c r="HWS9" s="327"/>
      <c r="HXF9" s="327"/>
      <c r="HXS9" s="327"/>
      <c r="HYF9" s="327"/>
      <c r="HYS9" s="327"/>
      <c r="HZF9" s="327"/>
      <c r="HZS9" s="327"/>
      <c r="IAF9" s="327"/>
      <c r="IAS9" s="327"/>
      <c r="IBF9" s="327"/>
      <c r="IBS9" s="327"/>
      <c r="ICF9" s="327"/>
      <c r="ICS9" s="327"/>
      <c r="IDF9" s="327"/>
      <c r="IDS9" s="327"/>
      <c r="IEF9" s="327"/>
      <c r="IES9" s="327"/>
      <c r="IFF9" s="327"/>
      <c r="IFS9" s="327"/>
      <c r="IGF9" s="327"/>
      <c r="IGS9" s="327"/>
      <c r="IHF9" s="327"/>
      <c r="IHS9" s="327"/>
      <c r="IIF9" s="327"/>
      <c r="IIS9" s="327"/>
      <c r="IJF9" s="327"/>
      <c r="IJS9" s="327"/>
      <c r="IKF9" s="327"/>
      <c r="IKS9" s="327"/>
      <c r="ILF9" s="327"/>
      <c r="ILS9" s="327"/>
      <c r="IMF9" s="327"/>
      <c r="IMS9" s="327"/>
      <c r="INF9" s="327"/>
      <c r="INS9" s="327"/>
      <c r="IOF9" s="327"/>
      <c r="IOS9" s="327"/>
      <c r="IPF9" s="327"/>
      <c r="IPS9" s="327"/>
      <c r="IQF9" s="327"/>
      <c r="IQS9" s="327"/>
      <c r="IRF9" s="327"/>
      <c r="IRS9" s="327"/>
      <c r="ISF9" s="327"/>
      <c r="ISS9" s="327"/>
      <c r="ITF9" s="327"/>
      <c r="ITS9" s="327"/>
      <c r="IUF9" s="327"/>
      <c r="IUS9" s="327"/>
      <c r="IVF9" s="327"/>
      <c r="IVS9" s="327"/>
      <c r="IWF9" s="327"/>
      <c r="IWS9" s="327"/>
      <c r="IXF9" s="327"/>
      <c r="IXS9" s="327"/>
      <c r="IYF9" s="327"/>
      <c r="IYS9" s="327"/>
      <c r="IZF9" s="327"/>
      <c r="IZS9" s="327"/>
      <c r="JAF9" s="327"/>
      <c r="JAS9" s="327"/>
      <c r="JBF9" s="327"/>
      <c r="JBS9" s="327"/>
      <c r="JCF9" s="327"/>
      <c r="JCS9" s="327"/>
      <c r="JDF9" s="327"/>
      <c r="JDS9" s="327"/>
      <c r="JEF9" s="327"/>
      <c r="JES9" s="327"/>
      <c r="JFF9" s="327"/>
      <c r="JFS9" s="327"/>
      <c r="JGF9" s="327"/>
      <c r="JGS9" s="327"/>
      <c r="JHF9" s="327"/>
      <c r="JHS9" s="327"/>
      <c r="JIF9" s="327"/>
      <c r="JIS9" s="327"/>
      <c r="JJF9" s="327"/>
      <c r="JJS9" s="327"/>
      <c r="JKF9" s="327"/>
      <c r="JKS9" s="327"/>
      <c r="JLF9" s="327"/>
      <c r="JLS9" s="327"/>
      <c r="JMF9" s="327"/>
      <c r="JMS9" s="327"/>
      <c r="JNF9" s="327"/>
      <c r="JNS9" s="327"/>
      <c r="JOF9" s="327"/>
      <c r="JOS9" s="327"/>
      <c r="JPF9" s="327"/>
      <c r="JPS9" s="327"/>
      <c r="JQF9" s="327"/>
      <c r="JQS9" s="327"/>
      <c r="JRF9" s="327"/>
      <c r="JRS9" s="327"/>
      <c r="JSF9" s="327"/>
      <c r="JSS9" s="327"/>
      <c r="JTF9" s="327"/>
      <c r="JTS9" s="327"/>
      <c r="JUF9" s="327"/>
      <c r="JUS9" s="327"/>
      <c r="JVF9" s="327"/>
      <c r="JVS9" s="327"/>
      <c r="JWF9" s="327"/>
      <c r="JWS9" s="327"/>
      <c r="JXF9" s="327"/>
      <c r="JXS9" s="327"/>
      <c r="JYF9" s="327"/>
      <c r="JYS9" s="327"/>
      <c r="JZF9" s="327"/>
      <c r="JZS9" s="327"/>
      <c r="KAF9" s="327"/>
      <c r="KAS9" s="327"/>
      <c r="KBF9" s="327"/>
      <c r="KBS9" s="327"/>
      <c r="KCF9" s="327"/>
      <c r="KCS9" s="327"/>
      <c r="KDF9" s="327"/>
      <c r="KDS9" s="327"/>
      <c r="KEF9" s="327"/>
      <c r="KES9" s="327"/>
      <c r="KFF9" s="327"/>
      <c r="KFS9" s="327"/>
      <c r="KGF9" s="327"/>
      <c r="KGS9" s="327"/>
      <c r="KHF9" s="327"/>
      <c r="KHS9" s="327"/>
      <c r="KIF9" s="327"/>
      <c r="KIS9" s="327"/>
      <c r="KJF9" s="327"/>
      <c r="KJS9" s="327"/>
      <c r="KKF9" s="327"/>
      <c r="KKS9" s="327"/>
      <c r="KLF9" s="327"/>
      <c r="KLS9" s="327"/>
      <c r="KMF9" s="327"/>
      <c r="KMS9" s="327"/>
      <c r="KNF9" s="327"/>
      <c r="KNS9" s="327"/>
      <c r="KOF9" s="327"/>
      <c r="KOS9" s="327"/>
      <c r="KPF9" s="327"/>
      <c r="KPS9" s="327"/>
      <c r="KQF9" s="327"/>
      <c r="KQS9" s="327"/>
      <c r="KRF9" s="327"/>
      <c r="KRS9" s="327"/>
      <c r="KSF9" s="327"/>
      <c r="KSS9" s="327"/>
      <c r="KTF9" s="327"/>
      <c r="KTS9" s="327"/>
      <c r="KUF9" s="327"/>
      <c r="KUS9" s="327"/>
      <c r="KVF9" s="327"/>
      <c r="KVS9" s="327"/>
      <c r="KWF9" s="327"/>
      <c r="KWS9" s="327"/>
      <c r="KXF9" s="327"/>
      <c r="KXS9" s="327"/>
      <c r="KYF9" s="327"/>
      <c r="KYS9" s="327"/>
      <c r="KZF9" s="327"/>
      <c r="KZS9" s="327"/>
      <c r="LAF9" s="327"/>
      <c r="LAS9" s="327"/>
      <c r="LBF9" s="327"/>
      <c r="LBS9" s="327"/>
      <c r="LCF9" s="327"/>
      <c r="LCS9" s="327"/>
      <c r="LDF9" s="327"/>
      <c r="LDS9" s="327"/>
      <c r="LEF9" s="327"/>
      <c r="LES9" s="327"/>
      <c r="LFF9" s="327"/>
      <c r="LFS9" s="327"/>
      <c r="LGF9" s="327"/>
      <c r="LGS9" s="327"/>
      <c r="LHF9" s="327"/>
      <c r="LHS9" s="327"/>
      <c r="LIF9" s="327"/>
      <c r="LIS9" s="327"/>
      <c r="LJF9" s="327"/>
      <c r="LJS9" s="327"/>
      <c r="LKF9" s="327"/>
      <c r="LKS9" s="327"/>
      <c r="LLF9" s="327"/>
      <c r="LLS9" s="327"/>
      <c r="LMF9" s="327"/>
      <c r="LMS9" s="327"/>
      <c r="LNF9" s="327"/>
      <c r="LNS9" s="327"/>
      <c r="LOF9" s="327"/>
      <c r="LOS9" s="327"/>
      <c r="LPF9" s="327"/>
      <c r="LPS9" s="327"/>
      <c r="LQF9" s="327"/>
      <c r="LQS9" s="327"/>
      <c r="LRF9" s="327"/>
      <c r="LRS9" s="327"/>
      <c r="LSF9" s="327"/>
      <c r="LSS9" s="327"/>
      <c r="LTF9" s="327"/>
      <c r="LTS9" s="327"/>
      <c r="LUF9" s="327"/>
      <c r="LUS9" s="327"/>
      <c r="LVF9" s="327"/>
      <c r="LVS9" s="327"/>
      <c r="LWF9" s="327"/>
      <c r="LWS9" s="327"/>
      <c r="LXF9" s="327"/>
      <c r="LXS9" s="327"/>
      <c r="LYF9" s="327"/>
      <c r="LYS9" s="327"/>
      <c r="LZF9" s="327"/>
      <c r="LZS9" s="327"/>
      <c r="MAF9" s="327"/>
      <c r="MAS9" s="327"/>
      <c r="MBF9" s="327"/>
      <c r="MBS9" s="327"/>
      <c r="MCF9" s="327"/>
      <c r="MCS9" s="327"/>
      <c r="MDF9" s="327"/>
      <c r="MDS9" s="327"/>
      <c r="MEF9" s="327"/>
      <c r="MES9" s="327"/>
      <c r="MFF9" s="327"/>
      <c r="MFS9" s="327"/>
      <c r="MGF9" s="327"/>
      <c r="MGS9" s="327"/>
      <c r="MHF9" s="327"/>
      <c r="MHS9" s="327"/>
      <c r="MIF9" s="327"/>
      <c r="MIS9" s="327"/>
      <c r="MJF9" s="327"/>
      <c r="MJS9" s="327"/>
      <c r="MKF9" s="327"/>
      <c r="MKS9" s="327"/>
      <c r="MLF9" s="327"/>
      <c r="MLS9" s="327"/>
      <c r="MMF9" s="327"/>
      <c r="MMS9" s="327"/>
      <c r="MNF9" s="327"/>
      <c r="MNS9" s="327"/>
      <c r="MOF9" s="327"/>
      <c r="MOS9" s="327"/>
      <c r="MPF9" s="327"/>
      <c r="MPS9" s="327"/>
      <c r="MQF9" s="327"/>
      <c r="MQS9" s="327"/>
      <c r="MRF9" s="327"/>
      <c r="MRS9" s="327"/>
      <c r="MSF9" s="327"/>
      <c r="MSS9" s="327"/>
      <c r="MTF9" s="327"/>
      <c r="MTS9" s="327"/>
      <c r="MUF9" s="327"/>
      <c r="MUS9" s="327"/>
      <c r="MVF9" s="327"/>
      <c r="MVS9" s="327"/>
      <c r="MWF9" s="327"/>
      <c r="MWS9" s="327"/>
      <c r="MXF9" s="327"/>
      <c r="MXS9" s="327"/>
      <c r="MYF9" s="327"/>
      <c r="MYS9" s="327"/>
      <c r="MZF9" s="327"/>
      <c r="MZS9" s="327"/>
      <c r="NAF9" s="327"/>
      <c r="NAS9" s="327"/>
      <c r="NBF9" s="327"/>
      <c r="NBS9" s="327"/>
      <c r="NCF9" s="327"/>
      <c r="NCS9" s="327"/>
      <c r="NDF9" s="327"/>
      <c r="NDS9" s="327"/>
      <c r="NEF9" s="327"/>
      <c r="NES9" s="327"/>
      <c r="NFF9" s="327"/>
      <c r="NFS9" s="327"/>
      <c r="NGF9" s="327"/>
      <c r="NGS9" s="327"/>
      <c r="NHF9" s="327"/>
      <c r="NHS9" s="327"/>
      <c r="NIF9" s="327"/>
      <c r="NIS9" s="327"/>
      <c r="NJF9" s="327"/>
      <c r="NJS9" s="327"/>
      <c r="NKF9" s="327"/>
      <c r="NKS9" s="327"/>
      <c r="NLF9" s="327"/>
      <c r="NLS9" s="327"/>
      <c r="NMF9" s="327"/>
      <c r="NMS9" s="327"/>
      <c r="NNF9" s="327"/>
      <c r="NNS9" s="327"/>
      <c r="NOF9" s="327"/>
      <c r="NOS9" s="327"/>
      <c r="NPF9" s="327"/>
      <c r="NPS9" s="327"/>
      <c r="NQF9" s="327"/>
      <c r="NQS9" s="327"/>
      <c r="NRF9" s="327"/>
      <c r="NRS9" s="327"/>
      <c r="NSF9" s="327"/>
      <c r="NSS9" s="327"/>
      <c r="NTF9" s="327"/>
      <c r="NTS9" s="327"/>
      <c r="NUF9" s="327"/>
      <c r="NUS9" s="327"/>
      <c r="NVF9" s="327"/>
      <c r="NVS9" s="327"/>
      <c r="NWF9" s="327"/>
      <c r="NWS9" s="327"/>
      <c r="NXF9" s="327"/>
      <c r="NXS9" s="327"/>
      <c r="NYF9" s="327"/>
      <c r="NYS9" s="327"/>
      <c r="NZF9" s="327"/>
      <c r="NZS9" s="327"/>
      <c r="OAF9" s="327"/>
      <c r="OAS9" s="327"/>
      <c r="OBF9" s="327"/>
      <c r="OBS9" s="327"/>
      <c r="OCF9" s="327"/>
      <c r="OCS9" s="327"/>
      <c r="ODF9" s="327"/>
      <c r="ODS9" s="327"/>
      <c r="OEF9" s="327"/>
      <c r="OES9" s="327"/>
      <c r="OFF9" s="327"/>
      <c r="OFS9" s="327"/>
      <c r="OGF9" s="327"/>
      <c r="OGS9" s="327"/>
      <c r="OHF9" s="327"/>
      <c r="OHS9" s="327"/>
      <c r="OIF9" s="327"/>
      <c r="OIS9" s="327"/>
      <c r="OJF9" s="327"/>
      <c r="OJS9" s="327"/>
      <c r="OKF9" s="327"/>
      <c r="OKS9" s="327"/>
      <c r="OLF9" s="327"/>
      <c r="OLS9" s="327"/>
      <c r="OMF9" s="327"/>
      <c r="OMS9" s="327"/>
      <c r="ONF9" s="327"/>
      <c r="ONS9" s="327"/>
      <c r="OOF9" s="327"/>
      <c r="OOS9" s="327"/>
      <c r="OPF9" s="327"/>
      <c r="OPS9" s="327"/>
      <c r="OQF9" s="327"/>
      <c r="OQS9" s="327"/>
      <c r="ORF9" s="327"/>
      <c r="ORS9" s="327"/>
      <c r="OSF9" s="327"/>
      <c r="OSS9" s="327"/>
      <c r="OTF9" s="327"/>
      <c r="OTS9" s="327"/>
      <c r="OUF9" s="327"/>
      <c r="OUS9" s="327"/>
      <c r="OVF9" s="327"/>
      <c r="OVS9" s="327"/>
      <c r="OWF9" s="327"/>
      <c r="OWS9" s="327"/>
      <c r="OXF9" s="327"/>
      <c r="OXS9" s="327"/>
      <c r="OYF9" s="327"/>
      <c r="OYS9" s="327"/>
      <c r="OZF9" s="327"/>
      <c r="OZS9" s="327"/>
      <c r="PAF9" s="327"/>
      <c r="PAS9" s="327"/>
      <c r="PBF9" s="327"/>
      <c r="PBS9" s="327"/>
      <c r="PCF9" s="327"/>
      <c r="PCS9" s="327"/>
      <c r="PDF9" s="327"/>
      <c r="PDS9" s="327"/>
      <c r="PEF9" s="327"/>
      <c r="PES9" s="327"/>
      <c r="PFF9" s="327"/>
      <c r="PFS9" s="327"/>
      <c r="PGF9" s="327"/>
      <c r="PGS9" s="327"/>
      <c r="PHF9" s="327"/>
      <c r="PHS9" s="327"/>
      <c r="PIF9" s="327"/>
      <c r="PIS9" s="327"/>
      <c r="PJF9" s="327"/>
      <c r="PJS9" s="327"/>
      <c r="PKF9" s="327"/>
      <c r="PKS9" s="327"/>
      <c r="PLF9" s="327"/>
      <c r="PLS9" s="327"/>
      <c r="PMF9" s="327"/>
      <c r="PMS9" s="327"/>
      <c r="PNF9" s="327"/>
      <c r="PNS9" s="327"/>
      <c r="POF9" s="327"/>
      <c r="POS9" s="327"/>
      <c r="PPF9" s="327"/>
      <c r="PPS9" s="327"/>
      <c r="PQF9" s="327"/>
      <c r="PQS9" s="327"/>
      <c r="PRF9" s="327"/>
      <c r="PRS9" s="327"/>
      <c r="PSF9" s="327"/>
      <c r="PSS9" s="327"/>
      <c r="PTF9" s="327"/>
      <c r="PTS9" s="327"/>
      <c r="PUF9" s="327"/>
      <c r="PUS9" s="327"/>
      <c r="PVF9" s="327"/>
      <c r="PVS9" s="327"/>
      <c r="PWF9" s="327"/>
      <c r="PWS9" s="327"/>
      <c r="PXF9" s="327"/>
      <c r="PXS9" s="327"/>
      <c r="PYF9" s="327"/>
      <c r="PYS9" s="327"/>
      <c r="PZF9" s="327"/>
      <c r="PZS9" s="327"/>
      <c r="QAF9" s="327"/>
      <c r="QAS9" s="327"/>
      <c r="QBF9" s="327"/>
      <c r="QBS9" s="327"/>
      <c r="QCF9" s="327"/>
      <c r="QCS9" s="327"/>
      <c r="QDF9" s="327"/>
      <c r="QDS9" s="327"/>
      <c r="QEF9" s="327"/>
      <c r="QES9" s="327"/>
      <c r="QFF9" s="327"/>
      <c r="QFS9" s="327"/>
      <c r="QGF9" s="327"/>
      <c r="QGS9" s="327"/>
      <c r="QHF9" s="327"/>
      <c r="QHS9" s="327"/>
      <c r="QIF9" s="327"/>
      <c r="QIS9" s="327"/>
      <c r="QJF9" s="327"/>
      <c r="QJS9" s="327"/>
      <c r="QKF9" s="327"/>
      <c r="QKS9" s="327"/>
      <c r="QLF9" s="327"/>
      <c r="QLS9" s="327"/>
      <c r="QMF9" s="327"/>
      <c r="QMS9" s="327"/>
      <c r="QNF9" s="327"/>
      <c r="QNS9" s="327"/>
      <c r="QOF9" s="327"/>
      <c r="QOS9" s="327"/>
      <c r="QPF9" s="327"/>
      <c r="QPS9" s="327"/>
      <c r="QQF9" s="327"/>
      <c r="QQS9" s="327"/>
      <c r="QRF9" s="327"/>
      <c r="QRS9" s="327"/>
      <c r="QSF9" s="327"/>
      <c r="QSS9" s="327"/>
      <c r="QTF9" s="327"/>
      <c r="QTS9" s="327"/>
      <c r="QUF9" s="327"/>
      <c r="QUS9" s="327"/>
      <c r="QVF9" s="327"/>
      <c r="QVS9" s="327"/>
      <c r="QWF9" s="327"/>
      <c r="QWS9" s="327"/>
      <c r="QXF9" s="327"/>
      <c r="QXS9" s="327"/>
      <c r="QYF9" s="327"/>
      <c r="QYS9" s="327"/>
      <c r="QZF9" s="327"/>
      <c r="QZS9" s="327"/>
      <c r="RAF9" s="327"/>
      <c r="RAS9" s="327"/>
      <c r="RBF9" s="327"/>
      <c r="RBS9" s="327"/>
      <c r="RCF9" s="327"/>
      <c r="RCS9" s="327"/>
      <c r="RDF9" s="327"/>
      <c r="RDS9" s="327"/>
      <c r="REF9" s="327"/>
      <c r="RES9" s="327"/>
      <c r="RFF9" s="327"/>
      <c r="RFS9" s="327"/>
      <c r="RGF9" s="327"/>
      <c r="RGS9" s="327"/>
      <c r="RHF9" s="327"/>
      <c r="RHS9" s="327"/>
      <c r="RIF9" s="327"/>
      <c r="RIS9" s="327"/>
      <c r="RJF9" s="327"/>
      <c r="RJS9" s="327"/>
      <c r="RKF9" s="327"/>
      <c r="RKS9" s="327"/>
      <c r="RLF9" s="327"/>
      <c r="RLS9" s="327"/>
      <c r="RMF9" s="327"/>
      <c r="RMS9" s="327"/>
      <c r="RNF9" s="327"/>
      <c r="RNS9" s="327"/>
      <c r="ROF9" s="327"/>
      <c r="ROS9" s="327"/>
      <c r="RPF9" s="327"/>
      <c r="RPS9" s="327"/>
      <c r="RQF9" s="327"/>
      <c r="RQS9" s="327"/>
      <c r="RRF9" s="327"/>
      <c r="RRS9" s="327"/>
      <c r="RSF9" s="327"/>
      <c r="RSS9" s="327"/>
      <c r="RTF9" s="327"/>
      <c r="RTS9" s="327"/>
      <c r="RUF9" s="327"/>
      <c r="RUS9" s="327"/>
      <c r="RVF9" s="327"/>
      <c r="RVS9" s="327"/>
      <c r="RWF9" s="327"/>
      <c r="RWS9" s="327"/>
      <c r="RXF9" s="327"/>
      <c r="RXS9" s="327"/>
      <c r="RYF9" s="327"/>
      <c r="RYS9" s="327"/>
      <c r="RZF9" s="327"/>
      <c r="RZS9" s="327"/>
      <c r="SAF9" s="327"/>
      <c r="SAS9" s="327"/>
      <c r="SBF9" s="327"/>
      <c r="SBS9" s="327"/>
      <c r="SCF9" s="327"/>
      <c r="SCS9" s="327"/>
      <c r="SDF9" s="327"/>
      <c r="SDS9" s="327"/>
      <c r="SEF9" s="327"/>
      <c r="SES9" s="327"/>
      <c r="SFF9" s="327"/>
      <c r="SFS9" s="327"/>
      <c r="SGF9" s="327"/>
      <c r="SGS9" s="327"/>
      <c r="SHF9" s="327"/>
      <c r="SHS9" s="327"/>
      <c r="SIF9" s="327"/>
      <c r="SIS9" s="327"/>
      <c r="SJF9" s="327"/>
      <c r="SJS9" s="327"/>
      <c r="SKF9" s="327"/>
      <c r="SKS9" s="327"/>
      <c r="SLF9" s="327"/>
      <c r="SLS9" s="327"/>
      <c r="SMF9" s="327"/>
      <c r="SMS9" s="327"/>
      <c r="SNF9" s="327"/>
      <c r="SNS9" s="327"/>
      <c r="SOF9" s="327"/>
      <c r="SOS9" s="327"/>
      <c r="SPF9" s="327"/>
      <c r="SPS9" s="327"/>
      <c r="SQF9" s="327"/>
      <c r="SQS9" s="327"/>
      <c r="SRF9" s="327"/>
      <c r="SRS9" s="327"/>
      <c r="SSF9" s="327"/>
      <c r="SSS9" s="327"/>
      <c r="STF9" s="327"/>
      <c r="STS9" s="327"/>
      <c r="SUF9" s="327"/>
      <c r="SUS9" s="327"/>
      <c r="SVF9" s="327"/>
      <c r="SVS9" s="327"/>
      <c r="SWF9" s="327"/>
      <c r="SWS9" s="327"/>
      <c r="SXF9" s="327"/>
      <c r="SXS9" s="327"/>
      <c r="SYF9" s="327"/>
      <c r="SYS9" s="327"/>
      <c r="SZF9" s="327"/>
      <c r="SZS9" s="327"/>
      <c r="TAF9" s="327"/>
      <c r="TAS9" s="327"/>
      <c r="TBF9" s="327"/>
      <c r="TBS9" s="327"/>
      <c r="TCF9" s="327"/>
      <c r="TCS9" s="327"/>
      <c r="TDF9" s="327"/>
      <c r="TDS9" s="327"/>
      <c r="TEF9" s="327"/>
      <c r="TES9" s="327"/>
      <c r="TFF9" s="327"/>
      <c r="TFS9" s="327"/>
      <c r="TGF9" s="327"/>
      <c r="TGS9" s="327"/>
      <c r="THF9" s="327"/>
      <c r="THS9" s="327"/>
      <c r="TIF9" s="327"/>
      <c r="TIS9" s="327"/>
      <c r="TJF9" s="327"/>
      <c r="TJS9" s="327"/>
      <c r="TKF9" s="327"/>
      <c r="TKS9" s="327"/>
      <c r="TLF9" s="327"/>
      <c r="TLS9" s="327"/>
      <c r="TMF9" s="327"/>
      <c r="TMS9" s="327"/>
      <c r="TNF9" s="327"/>
      <c r="TNS9" s="327"/>
      <c r="TOF9" s="327"/>
      <c r="TOS9" s="327"/>
      <c r="TPF9" s="327"/>
      <c r="TPS9" s="327"/>
      <c r="TQF9" s="327"/>
      <c r="TQS9" s="327"/>
      <c r="TRF9" s="327"/>
      <c r="TRS9" s="327"/>
      <c r="TSF9" s="327"/>
      <c r="TSS9" s="327"/>
      <c r="TTF9" s="327"/>
      <c r="TTS9" s="327"/>
      <c r="TUF9" s="327"/>
      <c r="TUS9" s="327"/>
      <c r="TVF9" s="327"/>
      <c r="TVS9" s="327"/>
      <c r="TWF9" s="327"/>
      <c r="TWS9" s="327"/>
      <c r="TXF9" s="327"/>
      <c r="TXS9" s="327"/>
      <c r="TYF9" s="327"/>
      <c r="TYS9" s="327"/>
      <c r="TZF9" s="327"/>
      <c r="TZS9" s="327"/>
      <c r="UAF9" s="327"/>
      <c r="UAS9" s="327"/>
      <c r="UBF9" s="327"/>
      <c r="UBS9" s="327"/>
      <c r="UCF9" s="327"/>
      <c r="UCS9" s="327"/>
      <c r="UDF9" s="327"/>
      <c r="UDS9" s="327"/>
      <c r="UEF9" s="327"/>
      <c r="UES9" s="327"/>
      <c r="UFF9" s="327"/>
      <c r="UFS9" s="327"/>
      <c r="UGF9" s="327"/>
      <c r="UGS9" s="327"/>
      <c r="UHF9" s="327"/>
      <c r="UHS9" s="327"/>
      <c r="UIF9" s="327"/>
      <c r="UIS9" s="327"/>
      <c r="UJF9" s="327"/>
      <c r="UJS9" s="327"/>
      <c r="UKF9" s="327"/>
      <c r="UKS9" s="327"/>
      <c r="ULF9" s="327"/>
      <c r="ULS9" s="327"/>
      <c r="UMF9" s="327"/>
      <c r="UMS9" s="327"/>
      <c r="UNF9" s="327"/>
      <c r="UNS9" s="327"/>
      <c r="UOF9" s="327"/>
      <c r="UOS9" s="327"/>
      <c r="UPF9" s="327"/>
      <c r="UPS9" s="327"/>
      <c r="UQF9" s="327"/>
      <c r="UQS9" s="327"/>
      <c r="URF9" s="327"/>
      <c r="URS9" s="327"/>
      <c r="USF9" s="327"/>
      <c r="USS9" s="327"/>
      <c r="UTF9" s="327"/>
      <c r="UTS9" s="327"/>
      <c r="UUF9" s="327"/>
      <c r="UUS9" s="327"/>
      <c r="UVF9" s="327"/>
      <c r="UVS9" s="327"/>
      <c r="UWF9" s="327"/>
      <c r="UWS9" s="327"/>
      <c r="UXF9" s="327"/>
      <c r="UXS9" s="327"/>
      <c r="UYF9" s="327"/>
      <c r="UYS9" s="327"/>
      <c r="UZF9" s="327"/>
      <c r="UZS9" s="327"/>
      <c r="VAF9" s="327"/>
      <c r="VAS9" s="327"/>
      <c r="VBF9" s="327"/>
      <c r="VBS9" s="327"/>
      <c r="VCF9" s="327"/>
      <c r="VCS9" s="327"/>
      <c r="VDF9" s="327"/>
      <c r="VDS9" s="327"/>
      <c r="VEF9" s="327"/>
      <c r="VES9" s="327"/>
      <c r="VFF9" s="327"/>
      <c r="VFS9" s="327"/>
      <c r="VGF9" s="327"/>
      <c r="VGS9" s="327"/>
      <c r="VHF9" s="327"/>
      <c r="VHS9" s="327"/>
      <c r="VIF9" s="327"/>
      <c r="VIS9" s="327"/>
      <c r="VJF9" s="327"/>
      <c r="VJS9" s="327"/>
      <c r="VKF9" s="327"/>
      <c r="VKS9" s="327"/>
      <c r="VLF9" s="327"/>
      <c r="VLS9" s="327"/>
      <c r="VMF9" s="327"/>
      <c r="VMS9" s="327"/>
      <c r="VNF9" s="327"/>
      <c r="VNS9" s="327"/>
      <c r="VOF9" s="327"/>
      <c r="VOS9" s="327"/>
      <c r="VPF9" s="327"/>
      <c r="VPS9" s="327"/>
      <c r="VQF9" s="327"/>
      <c r="VQS9" s="327"/>
      <c r="VRF9" s="327"/>
      <c r="VRS9" s="327"/>
      <c r="VSF9" s="327"/>
      <c r="VSS9" s="327"/>
      <c r="VTF9" s="327"/>
      <c r="VTS9" s="327"/>
      <c r="VUF9" s="327"/>
      <c r="VUS9" s="327"/>
      <c r="VVF9" s="327"/>
      <c r="VVS9" s="327"/>
      <c r="VWF9" s="327"/>
      <c r="VWS9" s="327"/>
      <c r="VXF9" s="327"/>
      <c r="VXS9" s="327"/>
      <c r="VYF9" s="327"/>
      <c r="VYS9" s="327"/>
      <c r="VZF9" s="327"/>
      <c r="VZS9" s="327"/>
      <c r="WAF9" s="327"/>
      <c r="WAS9" s="327"/>
      <c r="WBF9" s="327"/>
      <c r="WBS9" s="327"/>
      <c r="WCF9" s="327"/>
      <c r="WCS9" s="327"/>
      <c r="WDF9" s="327"/>
      <c r="WDS9" s="327"/>
      <c r="WEF9" s="327"/>
      <c r="WES9" s="327"/>
      <c r="WFF9" s="327"/>
      <c r="WFS9" s="327"/>
      <c r="WGF9" s="327"/>
      <c r="WGS9" s="327"/>
      <c r="WHF9" s="327"/>
      <c r="WHS9" s="327"/>
      <c r="WIF9" s="327"/>
      <c r="WIS9" s="327"/>
      <c r="WJF9" s="327"/>
      <c r="WJS9" s="327"/>
      <c r="WKF9" s="327"/>
      <c r="WKS9" s="327"/>
      <c r="WLF9" s="327"/>
      <c r="WLS9" s="327"/>
      <c r="WMF9" s="327"/>
      <c r="WMS9" s="327"/>
      <c r="WNF9" s="327"/>
      <c r="WNS9" s="327"/>
      <c r="WOF9" s="327"/>
      <c r="WOS9" s="327"/>
      <c r="WPF9" s="327"/>
      <c r="WPS9" s="327"/>
      <c r="WQF9" s="327"/>
      <c r="WQS9" s="327"/>
      <c r="WRF9" s="327"/>
      <c r="WRS9" s="327"/>
      <c r="WSF9" s="327"/>
      <c r="WSS9" s="327"/>
      <c r="WTF9" s="327"/>
      <c r="WTS9" s="327"/>
      <c r="WUF9" s="327"/>
      <c r="WUS9" s="327"/>
      <c r="WVF9" s="327"/>
      <c r="WVS9" s="327"/>
      <c r="WWF9" s="327"/>
      <c r="WWS9" s="327"/>
      <c r="WXF9" s="327"/>
      <c r="WXS9" s="327"/>
      <c r="WYF9" s="327"/>
      <c r="WYS9" s="327"/>
      <c r="WZF9" s="327"/>
      <c r="WZS9" s="327"/>
      <c r="XAF9" s="327"/>
      <c r="XAS9" s="327"/>
      <c r="XBF9" s="327"/>
      <c r="XBS9" s="327"/>
      <c r="XCF9" s="327"/>
      <c r="XCS9" s="327"/>
      <c r="XDF9" s="327"/>
      <c r="XDS9" s="327"/>
      <c r="XEF9" s="327"/>
      <c r="XES9" s="327"/>
    </row>
    <row r="10" spans="1:1020 1033:2047 2060:3061 3074:4088 4101:5115 5128:6142 6155:7156 7169:8183 8196:9210 9223:10237 10250:11264 11277:12278 12291:13305 13318:14332 14345:15359 15372:16373" s="269" customFormat="1" ht="13" customHeight="1">
      <c r="A10" s="338"/>
      <c r="B10" s="18" t="str">
        <f>IF('Summary | Sumário'!D$3=Names!B$3,Names!M7,Names!N7)</f>
        <v>Expenses from services and commissions</v>
      </c>
      <c r="C10" s="329">
        <v>-56627.339</v>
      </c>
      <c r="D10" s="329">
        <v>-71611</v>
      </c>
      <c r="E10" s="329">
        <v>-100297</v>
      </c>
      <c r="F10" s="329">
        <v>-129233</v>
      </c>
      <c r="G10" s="329">
        <v>-135582</v>
      </c>
      <c r="H10" s="329">
        <v>-23279</v>
      </c>
      <c r="I10" s="329">
        <v>-21841</v>
      </c>
      <c r="J10" s="329">
        <v>-26430</v>
      </c>
      <c r="K10" s="329">
        <v>-28747</v>
      </c>
      <c r="L10" s="329">
        <v>-28516</v>
      </c>
      <c r="M10" s="329">
        <v>-33954</v>
      </c>
      <c r="N10" s="329">
        <v>-33404</v>
      </c>
      <c r="O10" s="329">
        <v>-33359</v>
      </c>
      <c r="P10" s="329">
        <v>-35678</v>
      </c>
      <c r="Q10" s="329">
        <v>-31723</v>
      </c>
      <c r="R10" s="329">
        <v>-32271</v>
      </c>
      <c r="S10" s="329">
        <v>-35910</v>
      </c>
    </row>
    <row r="11" spans="1:1020 1033:2047 2060:3061 3074:4088 4101:5115 5128:6142 6155:7156 7169:8183 8196:9210 9223:10237 10250:11264 11277:12278 12291:13305 13318:14332 14345:15359 15372:16373" ht="13" customHeight="1">
      <c r="A11" s="325"/>
      <c r="B11" s="24" t="str">
        <f>IF('Summary | Sumário'!D$3=Names!B$3,Names!M10,Names!N10)</f>
        <v>Other revenues</v>
      </c>
      <c r="C11" s="328">
        <v>52843</v>
      </c>
      <c r="D11" s="328">
        <v>109882</v>
      </c>
      <c r="E11" s="328">
        <v>190082</v>
      </c>
      <c r="F11" s="328">
        <v>388462</v>
      </c>
      <c r="G11" s="328">
        <v>375688</v>
      </c>
      <c r="H11" s="328">
        <v>47499</v>
      </c>
      <c r="I11" s="328">
        <v>76048</v>
      </c>
      <c r="J11" s="328">
        <v>36287</v>
      </c>
      <c r="K11" s="328">
        <v>30248</v>
      </c>
      <c r="L11" s="328">
        <v>112407</v>
      </c>
      <c r="M11" s="328">
        <v>111372</v>
      </c>
      <c r="N11" s="328">
        <v>77687</v>
      </c>
      <c r="O11" s="328">
        <v>86996</v>
      </c>
      <c r="P11" s="328">
        <v>65877</v>
      </c>
      <c r="Q11" s="328">
        <v>81158</v>
      </c>
      <c r="R11" s="328">
        <v>131429.50028000001</v>
      </c>
      <c r="S11" s="328">
        <v>97223.499719999993</v>
      </c>
    </row>
    <row r="12" spans="1:1020 1033:2047 2060:3061 3074:4088 4101:5115 5128:6142 6155:7156 7169:8183 8196:9210 9223:10237 10250:11264 11277:12278 12291:13305 13318:14332 14345:15359 15372:16373" s="263" customFormat="1" ht="13" customHeight="1">
      <c r="A12" s="354"/>
      <c r="B12" s="432" t="str">
        <f>IF('Summary | Sumário'!D$3=Names!B$3,Names!M26,Names!N26)</f>
        <v>Revenues</v>
      </c>
      <c r="C12" s="433">
        <v>712223.66099999996</v>
      </c>
      <c r="D12" s="433">
        <v>1011378.89518</v>
      </c>
      <c r="E12" s="433">
        <v>2221823.2459999998</v>
      </c>
      <c r="F12" s="433">
        <v>3562697.0819999995</v>
      </c>
      <c r="G12" s="433">
        <v>4752576</v>
      </c>
      <c r="H12" s="433">
        <v>416765.935</v>
      </c>
      <c r="I12" s="433">
        <v>467413.75100000005</v>
      </c>
      <c r="J12" s="433">
        <v>606509.88</v>
      </c>
      <c r="K12" s="433">
        <v>731132.67999999993</v>
      </c>
      <c r="L12" s="433">
        <v>833520.63199999998</v>
      </c>
      <c r="M12" s="433">
        <v>877020.6370000001</v>
      </c>
      <c r="N12" s="433">
        <v>850303.73100000003</v>
      </c>
      <c r="O12" s="433">
        <v>1001852.0819999999</v>
      </c>
      <c r="P12" s="433">
        <v>1024113.822</v>
      </c>
      <c r="Q12" s="433">
        <v>1150034</v>
      </c>
      <c r="R12" s="433">
        <v>1265495.5890200001</v>
      </c>
      <c r="S12" s="433">
        <v>1312933.5839799999</v>
      </c>
    </row>
    <row r="13" spans="1:1020 1033:2047 2060:3061 3074:4088 4101:5115 5128:6142 6155:7156 7169:8183 8196:9210 9223:10237 10250:11264 11277:12278 12291:13305 13318:14332 14345:15359 15372:16373" s="263" customFormat="1" ht="13" customHeight="1">
      <c r="A13" s="354"/>
      <c r="B13" s="83"/>
      <c r="C13" s="355"/>
      <c r="D13" s="355"/>
      <c r="E13" s="355"/>
      <c r="F13" s="355"/>
      <c r="G13" s="355"/>
      <c r="H13" s="355"/>
      <c r="I13" s="355"/>
      <c r="J13" s="355"/>
      <c r="K13" s="355"/>
      <c r="L13" s="355"/>
      <c r="M13" s="355"/>
      <c r="N13" s="355"/>
      <c r="O13" s="355"/>
      <c r="P13" s="355"/>
      <c r="Q13" s="355"/>
      <c r="R13" s="355"/>
      <c r="S13" s="355"/>
    </row>
    <row r="14" spans="1:1020 1033:2047 2060:3061 3074:4088 4101:5115 5128:6142 6155:7156 7169:8183 8196:9210 9223:10237 10250:11264 11277:12278 12291:13305 13318:14332 14345:15359 15372:16373" ht="13" customHeight="1">
      <c r="A14" s="325"/>
      <c r="B14" s="18" t="str">
        <f>IF('Summary | Sumário'!D$3=Names!B$3,Names!M13,Names!N13)</f>
        <v>Impairment losses on financial assets</v>
      </c>
      <c r="C14" s="250">
        <v>-138570</v>
      </c>
      <c r="D14" s="250">
        <v>-213688</v>
      </c>
      <c r="E14" s="250">
        <v>-595581</v>
      </c>
      <c r="F14" s="250">
        <v>-1083237</v>
      </c>
      <c r="G14" s="250">
        <v>-1541584</v>
      </c>
      <c r="H14" s="250">
        <v>-106669</v>
      </c>
      <c r="I14" s="250">
        <v>-167441</v>
      </c>
      <c r="J14" s="250">
        <v>-138005</v>
      </c>
      <c r="K14" s="250">
        <v>-183466</v>
      </c>
      <c r="L14" s="250">
        <v>-312946</v>
      </c>
      <c r="M14" s="250">
        <v>-242464</v>
      </c>
      <c r="N14" s="250">
        <v>-263113</v>
      </c>
      <c r="O14" s="250">
        <v>-264714</v>
      </c>
      <c r="P14" s="250">
        <v>-350681</v>
      </c>
      <c r="Q14" s="250">
        <v>-398560</v>
      </c>
      <c r="R14" s="250">
        <v>-407899</v>
      </c>
      <c r="S14" s="250">
        <v>-384444</v>
      </c>
    </row>
    <row r="15" spans="1:1020 1033:2047 2060:3061 3074:4088 4101:5115 5128:6142 6155:7156 7169:8183 8196:9210 9223:10237 10250:11264 11277:12278 12291:13305 13318:14332 14345:15359 15372:16373" s="263" customFormat="1" ht="13" customHeight="1">
      <c r="A15" s="354"/>
      <c r="B15" s="434" t="str">
        <f>IF('Summary | Sumário'!D$3=Names!B$3,Names!M25,Names!N25)</f>
        <v>Net result of losses</v>
      </c>
      <c r="C15" s="431">
        <v>573653.66099999996</v>
      </c>
      <c r="D15" s="431">
        <v>797690.89517999999</v>
      </c>
      <c r="E15" s="431">
        <v>1626242.2459999998</v>
      </c>
      <c r="F15" s="431">
        <v>2479460.0819999995</v>
      </c>
      <c r="G15" s="431">
        <v>3210992</v>
      </c>
      <c r="H15" s="431">
        <v>310096.935</v>
      </c>
      <c r="I15" s="431">
        <v>299972.75100000005</v>
      </c>
      <c r="J15" s="431">
        <v>468504.88</v>
      </c>
      <c r="K15" s="431">
        <v>547666.67999999993</v>
      </c>
      <c r="L15" s="431">
        <v>520574.63199999998</v>
      </c>
      <c r="M15" s="431">
        <v>634556.6370000001</v>
      </c>
      <c r="N15" s="431">
        <v>587190.73100000003</v>
      </c>
      <c r="O15" s="431">
        <v>737138.08199999994</v>
      </c>
      <c r="P15" s="431">
        <v>673432.82200000004</v>
      </c>
      <c r="Q15" s="431">
        <v>751474</v>
      </c>
      <c r="R15" s="431">
        <v>857596.58902000007</v>
      </c>
      <c r="S15" s="431">
        <v>928489.58397999988</v>
      </c>
      <c r="U15" s="327"/>
    </row>
    <row r="16" spans="1:1020 1033:2047 2060:3061 3074:4088 4101:5115 5128:6142 6155:7156 7169:8183 8196:9210 9223:10237 10250:11264 11277:12278 12291:13305 13318:14332 14345:15359 15372:16373" ht="13" customHeight="1">
      <c r="C16" s="212"/>
      <c r="D16" s="212"/>
      <c r="E16" s="212"/>
      <c r="F16" s="212"/>
      <c r="G16" s="212"/>
      <c r="H16" s="212"/>
      <c r="I16" s="212"/>
      <c r="J16" s="212"/>
      <c r="K16" s="212"/>
      <c r="L16" s="212"/>
      <c r="M16" s="212"/>
      <c r="N16" s="212"/>
      <c r="O16" s="212"/>
      <c r="P16" s="212"/>
      <c r="Q16" s="212"/>
      <c r="R16" s="212"/>
      <c r="S16" s="212"/>
    </row>
    <row r="17" spans="1:19" ht="13" customHeight="1">
      <c r="A17" s="325"/>
      <c r="B17" s="24" t="str">
        <f>IF('Summary | Sumário'!D$3=Names!B$3,Names!M12,Names!N12)</f>
        <v>Other income</v>
      </c>
      <c r="C17" s="356">
        <v>0</v>
      </c>
      <c r="D17" s="356">
        <v>109216</v>
      </c>
      <c r="E17" s="356">
        <v>0</v>
      </c>
      <c r="F17" s="356">
        <v>0</v>
      </c>
      <c r="G17" s="356">
        <v>0</v>
      </c>
      <c r="H17" s="356">
        <v>0</v>
      </c>
      <c r="I17" s="356">
        <v>0</v>
      </c>
      <c r="J17" s="356">
        <v>0</v>
      </c>
      <c r="K17" s="356">
        <v>0</v>
      </c>
      <c r="L17" s="356">
        <v>0</v>
      </c>
      <c r="M17" s="356">
        <v>0</v>
      </c>
      <c r="N17" s="356">
        <v>0</v>
      </c>
      <c r="O17" s="356">
        <v>0</v>
      </c>
      <c r="P17" s="356" t="s">
        <v>830</v>
      </c>
      <c r="Q17" s="356">
        <v>0</v>
      </c>
      <c r="R17" s="356">
        <v>0</v>
      </c>
      <c r="S17" s="356">
        <v>0</v>
      </c>
    </row>
    <row r="18" spans="1:19" ht="13" customHeight="1">
      <c r="A18" s="325"/>
      <c r="B18" s="18" t="str">
        <f>IF('Summary | Sumário'!D$3=Names!B$3,Names!M14,Names!N14)</f>
        <v>Personnel expenses</v>
      </c>
      <c r="C18" s="250">
        <v>-169198</v>
      </c>
      <c r="D18" s="250">
        <v>-229096</v>
      </c>
      <c r="E18" s="250">
        <v>-443328</v>
      </c>
      <c r="F18" s="250">
        <v>-733605</v>
      </c>
      <c r="G18" s="250">
        <v>-790739</v>
      </c>
      <c r="H18" s="250">
        <v>-81861</v>
      </c>
      <c r="I18" s="250">
        <v>-93046</v>
      </c>
      <c r="J18" s="250">
        <v>-121250</v>
      </c>
      <c r="K18" s="250">
        <v>-147171</v>
      </c>
      <c r="L18" s="250">
        <v>-145120</v>
      </c>
      <c r="M18" s="250">
        <v>-172466</v>
      </c>
      <c r="N18" s="250">
        <v>-176232</v>
      </c>
      <c r="O18" s="250">
        <v>-239787</v>
      </c>
      <c r="P18" s="250">
        <v>-172412</v>
      </c>
      <c r="Q18" s="250">
        <v>-186249</v>
      </c>
      <c r="R18" s="250">
        <v>-210661</v>
      </c>
      <c r="S18" s="250">
        <v>-221417</v>
      </c>
    </row>
    <row r="19" spans="1:19" ht="13" customHeight="1">
      <c r="A19" s="325"/>
      <c r="B19" s="24" t="str">
        <f>IF('Summary | Sumário'!D$3=Names!B$3,Names!M15,Names!N15)</f>
        <v>Depreciation and amortization</v>
      </c>
      <c r="C19" s="356">
        <v>-17463</v>
      </c>
      <c r="D19" s="356">
        <v>-43659</v>
      </c>
      <c r="E19" s="356">
        <v>-94250.52</v>
      </c>
      <c r="F19" s="356">
        <v>-163972</v>
      </c>
      <c r="G19" s="356">
        <v>-160440</v>
      </c>
      <c r="H19" s="356">
        <v>-19166</v>
      </c>
      <c r="I19" s="356">
        <v>-25338</v>
      </c>
      <c r="J19" s="356">
        <v>-30883</v>
      </c>
      <c r="K19" s="356">
        <v>-18863.520000000004</v>
      </c>
      <c r="L19" s="356">
        <v>-36478</v>
      </c>
      <c r="M19" s="356">
        <v>-35511</v>
      </c>
      <c r="N19" s="356">
        <v>-35620</v>
      </c>
      <c r="O19" s="356">
        <v>-56363</v>
      </c>
      <c r="P19" s="356">
        <v>-37577</v>
      </c>
      <c r="Q19" s="356">
        <v>-41130</v>
      </c>
      <c r="R19" s="356">
        <v>-40591</v>
      </c>
      <c r="S19" s="356">
        <v>-41142</v>
      </c>
    </row>
    <row r="20" spans="1:19" ht="13" customHeight="1">
      <c r="A20" s="325"/>
      <c r="B20" s="18" t="str">
        <f>IF('Summary | Sumário'!D$3=Names!B$3,Names!M16,Names!N16)</f>
        <v>Tax expenses</v>
      </c>
      <c r="C20" s="329">
        <v>0</v>
      </c>
      <c r="D20" s="329">
        <v>0</v>
      </c>
      <c r="E20" s="329">
        <v>-146721.22500000001</v>
      </c>
      <c r="F20" s="329">
        <v>-248588</v>
      </c>
      <c r="G20" s="329">
        <v>-326584</v>
      </c>
      <c r="H20" s="329">
        <v>-27534.687000000002</v>
      </c>
      <c r="I20" s="329">
        <v>-30373</v>
      </c>
      <c r="J20" s="329">
        <v>-40645.811999999998</v>
      </c>
      <c r="K20" s="329">
        <v>-48167.726000000002</v>
      </c>
      <c r="L20" s="329">
        <v>-56693</v>
      </c>
      <c r="M20" s="329">
        <v>-61600</v>
      </c>
      <c r="N20" s="329">
        <v>-61544</v>
      </c>
      <c r="O20" s="329">
        <v>-68751</v>
      </c>
      <c r="P20" s="329">
        <v>-68871</v>
      </c>
      <c r="Q20" s="329">
        <v>-72463</v>
      </c>
      <c r="R20" s="329">
        <v>-94072</v>
      </c>
      <c r="S20" s="329">
        <v>-91178</v>
      </c>
    </row>
    <row r="21" spans="1:19" ht="13" customHeight="1">
      <c r="A21" s="325"/>
      <c r="B21" s="24" t="str">
        <f>IF('Summary | Sumário'!D$3=Names!B$3,Names!M17,Names!N17)</f>
        <v>Administrative expenses</v>
      </c>
      <c r="C21" s="328">
        <v>-386309</v>
      </c>
      <c r="D21" s="328">
        <v>-641327</v>
      </c>
      <c r="E21" s="328">
        <v>-1164239.7749999999</v>
      </c>
      <c r="F21" s="328">
        <v>-1494484</v>
      </c>
      <c r="G21" s="328">
        <v>-1461348</v>
      </c>
      <c r="H21" s="328">
        <v>-219095.31299999999</v>
      </c>
      <c r="I21" s="328">
        <v>-272761</v>
      </c>
      <c r="J21" s="328">
        <v>-235355.18799999999</v>
      </c>
      <c r="K21" s="328">
        <v>-437028.27399999998</v>
      </c>
      <c r="L21" s="328">
        <v>-376806</v>
      </c>
      <c r="M21" s="328">
        <v>-348618</v>
      </c>
      <c r="N21" s="328">
        <v>-379946</v>
      </c>
      <c r="O21" s="328">
        <v>-389114</v>
      </c>
      <c r="P21" s="328">
        <v>-385615</v>
      </c>
      <c r="Q21" s="328">
        <v>-347868</v>
      </c>
      <c r="R21" s="328">
        <v>-362877</v>
      </c>
      <c r="S21" s="328">
        <v>-364988</v>
      </c>
    </row>
    <row r="22" spans="1:19" ht="13" customHeight="1">
      <c r="A22" s="325"/>
      <c r="B22" s="82" t="str">
        <f>IF('Summary | Sumário'!D$3=Names!B$3,Names!M19,Names!N19)</f>
        <v>Income from equity interests in affiliates</v>
      </c>
      <c r="C22" s="329">
        <v>0</v>
      </c>
      <c r="D22" s="329">
        <v>0</v>
      </c>
      <c r="E22" s="329">
        <v>-8764</v>
      </c>
      <c r="F22" s="329">
        <v>-17384</v>
      </c>
      <c r="G22" s="329">
        <v>-32040</v>
      </c>
      <c r="H22" s="329">
        <v>0</v>
      </c>
      <c r="I22" s="329">
        <v>3893</v>
      </c>
      <c r="J22" s="329">
        <v>-5454</v>
      </c>
      <c r="K22" s="329">
        <v>-7203</v>
      </c>
      <c r="L22" s="329">
        <v>-5572</v>
      </c>
      <c r="M22" s="329">
        <v>-4490</v>
      </c>
      <c r="N22" s="329">
        <v>-3892</v>
      </c>
      <c r="O22" s="329">
        <v>-3430</v>
      </c>
      <c r="P22" s="329">
        <v>-3061</v>
      </c>
      <c r="Q22" s="329">
        <v>-23465</v>
      </c>
      <c r="R22" s="329">
        <v>-4070.8986899999982</v>
      </c>
      <c r="S22" s="329">
        <v>-1443.1013100000018</v>
      </c>
    </row>
    <row r="23" spans="1:19" ht="13" customHeight="1">
      <c r="A23" s="325"/>
      <c r="B23" s="435" t="str">
        <f>IF('Summary | Sumário'!D$3=Names!B$3,Names!M20,Names!N20)</f>
        <v>Profit / (loss) before income tax</v>
      </c>
      <c r="C23" s="431">
        <v>683.66099999996368</v>
      </c>
      <c r="D23" s="431">
        <v>-7175.1048200000077</v>
      </c>
      <c r="E23" s="431">
        <v>-231061.27400000021</v>
      </c>
      <c r="F23" s="431">
        <v>-178572.91800000053</v>
      </c>
      <c r="G23" s="431">
        <v>439841</v>
      </c>
      <c r="H23" s="431">
        <v>-37560.065000000002</v>
      </c>
      <c r="I23" s="431">
        <v>-117652.24899999995</v>
      </c>
      <c r="J23" s="431">
        <v>34916.880000000005</v>
      </c>
      <c r="K23" s="431">
        <v>-110766.84000000008</v>
      </c>
      <c r="L23" s="431">
        <v>-100094.36800000002</v>
      </c>
      <c r="M23" s="431">
        <v>11871.637000000104</v>
      </c>
      <c r="N23" s="431">
        <v>-70043.268999999971</v>
      </c>
      <c r="O23" s="431">
        <v>-20306.918000000063</v>
      </c>
      <c r="P23" s="431">
        <v>5896.8220000000438</v>
      </c>
      <c r="Q23" s="431">
        <v>80299</v>
      </c>
      <c r="R23" s="431">
        <v>145354</v>
      </c>
      <c r="S23" s="431">
        <v>208291.17799999996</v>
      </c>
    </row>
    <row r="24" spans="1:19" ht="13" customHeight="1">
      <c r="A24" s="325"/>
    </row>
    <row r="25" spans="1:19" ht="13" customHeight="1">
      <c r="A25" s="325"/>
      <c r="B25" s="84" t="str">
        <f>IF('Summary | Sumário'!D$3=Names!B$3,Names!M27,Names!N27)</f>
        <v>Income tax and social contribution</v>
      </c>
      <c r="C25" s="353">
        <v>29686</v>
      </c>
      <c r="D25" s="353">
        <v>37709</v>
      </c>
      <c r="E25" s="353">
        <v>175993</v>
      </c>
      <c r="F25" s="353">
        <v>164494</v>
      </c>
      <c r="G25" s="353">
        <v>-87581</v>
      </c>
      <c r="H25" s="353">
        <v>34867</v>
      </c>
      <c r="I25" s="353">
        <v>87154</v>
      </c>
      <c r="J25" s="353">
        <v>-568.73549999999886</v>
      </c>
      <c r="K25" s="353">
        <v>54540.735499999995</v>
      </c>
      <c r="L25" s="353">
        <v>71272</v>
      </c>
      <c r="M25" s="353">
        <v>3654</v>
      </c>
      <c r="N25" s="353">
        <v>40448</v>
      </c>
      <c r="O25" s="353">
        <v>49120</v>
      </c>
      <c r="P25" s="353">
        <v>18319</v>
      </c>
      <c r="Q25" s="353">
        <v>-16127</v>
      </c>
      <c r="R25" s="353">
        <v>-41194</v>
      </c>
      <c r="S25" s="353">
        <v>-48579</v>
      </c>
    </row>
    <row r="26" spans="1:19" ht="13" customHeight="1">
      <c r="A26" s="325"/>
      <c r="B26" s="436" t="str">
        <f>IF('Summary | Sumário'!D$3=Names!B$3,Names!M24,Names!N24)</f>
        <v>Profit / (loss) for the period</v>
      </c>
      <c r="C26" s="433">
        <v>30369.660999999964</v>
      </c>
      <c r="D26" s="433">
        <v>30533.895179999992</v>
      </c>
      <c r="E26" s="433">
        <v>-55068</v>
      </c>
      <c r="F26" s="433">
        <v>-14078.918000000529</v>
      </c>
      <c r="G26" s="433">
        <v>352260</v>
      </c>
      <c r="H26" s="433">
        <v>-2693.0650000000023</v>
      </c>
      <c r="I26" s="433">
        <v>-30498.248999999953</v>
      </c>
      <c r="J26" s="433">
        <v>34348.144500000009</v>
      </c>
      <c r="K26" s="433">
        <v>-56225.264500000005</v>
      </c>
      <c r="L26" s="433">
        <v>-28822.368000000017</v>
      </c>
      <c r="M26" s="433">
        <v>15525.637000000104</v>
      </c>
      <c r="N26" s="433">
        <v>-29595.268999999971</v>
      </c>
      <c r="O26" s="433">
        <v>28813.081999999355</v>
      </c>
      <c r="P26" s="433">
        <v>24216</v>
      </c>
      <c r="Q26" s="433">
        <v>64172</v>
      </c>
      <c r="R26" s="433">
        <v>104161</v>
      </c>
      <c r="S26" s="433">
        <v>159712.17799999996</v>
      </c>
    </row>
    <row r="27" spans="1:19" ht="13" customHeight="1">
      <c r="C27" s="357"/>
      <c r="D27" s="357"/>
      <c r="E27" s="357"/>
      <c r="F27" s="357"/>
      <c r="G27" s="357"/>
      <c r="H27" s="357"/>
      <c r="I27" s="357"/>
      <c r="J27" s="357"/>
      <c r="K27" s="357"/>
      <c r="L27" s="357"/>
      <c r="M27" s="357"/>
      <c r="N27" s="357"/>
      <c r="O27" s="357"/>
      <c r="P27" s="357"/>
      <c r="Q27" s="357"/>
      <c r="R27" s="357"/>
      <c r="S27" s="357"/>
    </row>
  </sheetData>
  <sheetProtection algorithmName="SHA-512" hashValue="5oNaPJov3u3Jbl+69NKwXd8VaFLyFr1JIhLxpkGY3M3Z9uCzz0vl/yWM4WZp4mFelEg7qOufRuA0KWB55y992Q==" saltValue="aBJmPuvSilWmoY6pGRuL7w==" spinCount="100000" sheet="1" formatCells="0" formatColumns="0" formatRows="0" insertColumns="0" insertRows="0" insertHyperlinks="0" deleteColumns="0" deleteRows="0" sort="0" autoFilter="0" pivotTables="0"/>
  <phoneticPr fontId="6" type="noConversion"/>
  <pageMargins left="0.511811024" right="0.511811024" top="0.78740157499999996" bottom="0.78740157499999996" header="0.31496062000000002" footer="0.31496062000000002"/>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2CD0F-7799-2A4B-B9E4-8C47FBB9B062}">
  <sheetPr codeName="Sheet5">
    <tabColor rgb="FFEB7100"/>
  </sheetPr>
  <dimension ref="A1:V107"/>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3" width="10.83203125" style="211" customWidth="1"/>
    <col min="14" max="16" width="10.83203125" style="211"/>
    <col min="17" max="17" width="11.1640625" style="211" bestFit="1" customWidth="1"/>
    <col min="18" max="16384" width="10.83203125" style="211"/>
  </cols>
  <sheetData>
    <row r="1" spans="1:22" ht="13" customHeight="1">
      <c r="C1" s="212"/>
      <c r="D1" s="212"/>
      <c r="E1" s="212"/>
      <c r="F1" s="212"/>
      <c r="G1" s="212"/>
      <c r="H1" s="212"/>
      <c r="I1" s="212"/>
      <c r="J1" s="212"/>
      <c r="K1" s="212"/>
      <c r="L1" s="212"/>
      <c r="M1" s="212"/>
      <c r="N1" s="212"/>
      <c r="O1" s="212"/>
      <c r="P1" s="212"/>
      <c r="Q1" s="212"/>
    </row>
    <row r="2" spans="1:22" s="12" customFormat="1" ht="13" customHeight="1">
      <c r="B2" s="400" t="str">
        <f>IF('Summary | Sumário'!D$3=Names!B$3,Names!O1,Names!P1)</f>
        <v>Credit (IFRS, R$ Thousands)</v>
      </c>
      <c r="C2" s="207">
        <f>IF('Summary | Sumário'!D3=Names!B3,Names!C2,Names!D2)</f>
        <v>2019</v>
      </c>
      <c r="D2" s="207">
        <f>IF('Summary | Sumário'!D3=Names!B3,Names!C3,Names!D3)</f>
        <v>2020</v>
      </c>
      <c r="E2" s="22" t="str">
        <f>IF('Summary | Sumário'!D3=Names!B3,Names!C6,Names!D6)</f>
        <v>1Q21</v>
      </c>
      <c r="F2" s="22" t="str">
        <f>IF('Summary | Sumário'!D3=Names!B3,Names!C7,Names!D7)</f>
        <v>2Q21</v>
      </c>
      <c r="G2" s="22" t="str">
        <f>IF('Summary | Sumário'!D3=Names!B3,Names!C8,Names!D8)</f>
        <v>3Q21</v>
      </c>
      <c r="H2" s="23" t="str">
        <f>IF('Summary | Sumário'!D3=Names!B3,Names!C9,Names!D9)</f>
        <v>4Q21</v>
      </c>
      <c r="I2" s="23" t="str">
        <f>IF('Summary | Sumário'!D3=Names!B3,Names!C10,Names!D10)</f>
        <v>1Q22</v>
      </c>
      <c r="J2" s="23" t="str">
        <f>IF('Summary | Sumário'!D3=Names!B3,Names!C11,Names!D11)</f>
        <v>2Q22</v>
      </c>
      <c r="K2" s="23" t="str">
        <f>IF('Summary | Sumário'!D3=Names!B3,Names!C12,Names!D12)</f>
        <v>3Q22</v>
      </c>
      <c r="L2" s="23" t="str">
        <f>IF('Summary | Sumário'!D3=Names!B3,Names!C13,Names!D13)</f>
        <v>4Q22</v>
      </c>
      <c r="M2" s="23" t="str">
        <f>IF('Summary | Sumário'!D3=Names!B3,Names!C14,Names!D14)</f>
        <v>1Q23</v>
      </c>
      <c r="N2" s="23" t="str">
        <f>IF('Summary | Sumário'!D3=Names!B3,Names!C15,Names!D15)</f>
        <v>2Q23</v>
      </c>
      <c r="O2" s="23" t="str">
        <f>IF('Summary | Sumário'!D3=Names!B3,Names!C16,Names!D16)</f>
        <v>3Q23</v>
      </c>
      <c r="P2" s="401" t="str">
        <f>IF('Summary | Sumário'!D3=Names!B3,Names!C17,Names!D17)</f>
        <v>4Q23</v>
      </c>
      <c r="Q2" s="23"/>
      <c r="R2" s="89"/>
      <c r="S2" s="13"/>
      <c r="U2" s="14"/>
      <c r="V2" s="15"/>
    </row>
    <row r="3" spans="1:22" ht="13" customHeight="1">
      <c r="B3" s="16"/>
      <c r="C3" s="222"/>
      <c r="D3" s="222"/>
      <c r="E3" s="223"/>
      <c r="F3" s="223"/>
      <c r="G3" s="223"/>
      <c r="H3" s="223"/>
      <c r="I3" s="223"/>
      <c r="J3" s="223"/>
      <c r="K3" s="223"/>
      <c r="L3" s="223"/>
      <c r="M3" s="223"/>
      <c r="N3" s="223"/>
      <c r="O3" s="223"/>
      <c r="P3" s="215"/>
      <c r="Q3" s="223"/>
    </row>
    <row r="4" spans="1:22" s="244" customFormat="1" ht="13" customHeight="1">
      <c r="A4" s="242"/>
      <c r="B4" s="5" t="str">
        <f>IF('Summary | Sumário'!D$3=Names!B$3,Names!O2,Names!P2)</f>
        <v>Loan portfolio</v>
      </c>
      <c r="C4" s="291"/>
      <c r="D4" s="291"/>
      <c r="E4" s="291"/>
      <c r="F4" s="291"/>
      <c r="G4" s="291"/>
      <c r="H4" s="291"/>
      <c r="I4" s="291"/>
      <c r="J4" s="291"/>
      <c r="K4" s="291"/>
      <c r="L4" s="291"/>
      <c r="M4" s="291"/>
      <c r="N4" s="291"/>
      <c r="O4" s="291"/>
      <c r="P4" s="291"/>
      <c r="Q4" s="331"/>
    </row>
    <row r="5" spans="1:22" ht="13" customHeight="1">
      <c r="A5" s="325"/>
      <c r="B5" s="438" t="str">
        <f>IF('Summary | Sumário'!D$3=Names!B$3,Names!O3,Names!P3)</f>
        <v>Gross loans and advances to customers</v>
      </c>
      <c r="C5" s="439">
        <f>SUM(C6:C10)</f>
        <v>4777387</v>
      </c>
      <c r="D5" s="439">
        <f t="shared" ref="D5:M5" si="0">SUM(D6:D10)</f>
        <v>8790058</v>
      </c>
      <c r="E5" s="439">
        <f t="shared" si="0"/>
        <v>10242909.3443</v>
      </c>
      <c r="F5" s="439">
        <f t="shared" si="0"/>
        <v>12527246</v>
      </c>
      <c r="G5" s="439">
        <f t="shared" si="0"/>
        <v>14860083</v>
      </c>
      <c r="H5" s="439">
        <f t="shared" si="0"/>
        <v>17216362</v>
      </c>
      <c r="I5" s="439">
        <f t="shared" si="0"/>
        <v>18176304</v>
      </c>
      <c r="J5" s="439">
        <f t="shared" si="0"/>
        <v>19484646.399999999</v>
      </c>
      <c r="K5" s="439">
        <f t="shared" si="0"/>
        <v>21005268</v>
      </c>
      <c r="L5" s="439">
        <f t="shared" si="0"/>
        <v>22698328</v>
      </c>
      <c r="M5" s="439">
        <f t="shared" si="0"/>
        <v>23832874</v>
      </c>
      <c r="N5" s="439">
        <f t="shared" ref="N5:O5" si="1">SUM(N6:N10)</f>
        <v>25141383</v>
      </c>
      <c r="O5" s="439">
        <f t="shared" si="1"/>
        <v>27043601</v>
      </c>
      <c r="P5" s="439">
        <f t="shared" ref="P5" si="2">SUM(P6:P10)</f>
        <v>29784301</v>
      </c>
    </row>
    <row r="6" spans="1:22" ht="13" customHeight="1">
      <c r="A6" s="325"/>
      <c r="B6" s="85" t="str">
        <f>IF('Summary | Sumário'!D$3=Names!B$3,Names!O4,Names!P4)</f>
        <v>Real estate</v>
      </c>
      <c r="C6" s="334">
        <v>2519153</v>
      </c>
      <c r="D6" s="334">
        <v>3471356</v>
      </c>
      <c r="E6" s="334">
        <v>3925594.9876600001</v>
      </c>
      <c r="F6" s="334">
        <v>4211173</v>
      </c>
      <c r="G6" s="334">
        <v>4703223</v>
      </c>
      <c r="H6" s="334">
        <v>5121411</v>
      </c>
      <c r="I6" s="334">
        <v>5350879</v>
      </c>
      <c r="J6" s="334">
        <v>5647720</v>
      </c>
      <c r="K6" s="334">
        <v>5930070</v>
      </c>
      <c r="L6" s="334">
        <v>6251813</v>
      </c>
      <c r="M6" s="334">
        <v>6616802</v>
      </c>
      <c r="N6" s="334">
        <v>7020433</v>
      </c>
      <c r="O6" s="334">
        <v>7527810</v>
      </c>
      <c r="P6" s="334">
        <v>8583568</v>
      </c>
      <c r="Q6" s="332"/>
      <c r="R6" s="261"/>
      <c r="S6" s="261"/>
    </row>
    <row r="7" spans="1:22" ht="13" customHeight="1">
      <c r="A7" s="325"/>
      <c r="B7" s="90" t="str">
        <f>IF('Summary | Sumário'!D$3=Names!B$3,Names!O5,Names!P5)</f>
        <v>Personal</v>
      </c>
      <c r="C7" s="335">
        <v>1002386</v>
      </c>
      <c r="D7" s="335">
        <v>1653554</v>
      </c>
      <c r="E7" s="335">
        <v>2123654.0038399999</v>
      </c>
      <c r="F7" s="335">
        <v>2620848</v>
      </c>
      <c r="G7" s="335">
        <v>3100640</v>
      </c>
      <c r="H7" s="335">
        <v>3579283</v>
      </c>
      <c r="I7" s="335">
        <v>3936755</v>
      </c>
      <c r="J7" s="335">
        <v>4460508.5</v>
      </c>
      <c r="K7" s="335">
        <v>5057444</v>
      </c>
      <c r="L7" s="335">
        <v>5463781</v>
      </c>
      <c r="M7" s="335">
        <v>6081266</v>
      </c>
      <c r="N7" s="335">
        <v>6500480</v>
      </c>
      <c r="O7" s="335">
        <v>6663058</v>
      </c>
      <c r="P7" s="335">
        <v>7138744</v>
      </c>
      <c r="Q7" s="333"/>
      <c r="R7" s="261"/>
      <c r="S7" s="261"/>
    </row>
    <row r="8" spans="1:22" ht="13" customHeight="1">
      <c r="A8" s="325"/>
      <c r="B8" s="85" t="str">
        <f>IF('Summary | Sumário'!D$3=Names!B$3,Names!O6,Names!P6)</f>
        <v>SME</v>
      </c>
      <c r="C8" s="334">
        <v>472304</v>
      </c>
      <c r="D8" s="334">
        <v>1582869</v>
      </c>
      <c r="E8" s="334">
        <v>1572378.9388100002</v>
      </c>
      <c r="F8" s="334">
        <v>2153921</v>
      </c>
      <c r="G8" s="334">
        <v>2703302</v>
      </c>
      <c r="H8" s="334">
        <v>3017159</v>
      </c>
      <c r="I8" s="334">
        <v>2929546</v>
      </c>
      <c r="J8" s="334">
        <v>2905002.5</v>
      </c>
      <c r="K8" s="334">
        <v>2978792</v>
      </c>
      <c r="L8" s="334">
        <v>3392500</v>
      </c>
      <c r="M8" s="334">
        <v>3110840</v>
      </c>
      <c r="N8" s="334">
        <v>3215316</v>
      </c>
      <c r="O8" s="334">
        <v>3438526</v>
      </c>
      <c r="P8" s="334">
        <v>3855754</v>
      </c>
      <c r="Q8" s="333"/>
      <c r="R8" s="261"/>
      <c r="S8" s="261"/>
    </row>
    <row r="9" spans="1:22" ht="13" customHeight="1">
      <c r="A9" s="325"/>
      <c r="B9" s="90" t="str">
        <f>IF('Summary | Sumário'!D$3=Names!B$3,Names!O7,Names!P7)</f>
        <v>Credit cards</v>
      </c>
      <c r="C9" s="335">
        <v>783544</v>
      </c>
      <c r="D9" s="335">
        <v>1904642</v>
      </c>
      <c r="E9" s="335">
        <v>2404920.48868</v>
      </c>
      <c r="F9" s="335">
        <v>3116734</v>
      </c>
      <c r="G9" s="335">
        <v>3807684</v>
      </c>
      <c r="H9" s="335">
        <v>4798318</v>
      </c>
      <c r="I9" s="335">
        <v>5315930</v>
      </c>
      <c r="J9" s="335">
        <v>5981406.4000000004</v>
      </c>
      <c r="K9" s="335">
        <v>6411572</v>
      </c>
      <c r="L9" s="335">
        <v>6870565</v>
      </c>
      <c r="M9" s="335">
        <v>7273032</v>
      </c>
      <c r="N9" s="335">
        <v>7681011</v>
      </c>
      <c r="O9" s="335">
        <v>8650139</v>
      </c>
      <c r="P9" s="335">
        <v>9461277</v>
      </c>
      <c r="Q9" s="333"/>
      <c r="R9" s="262"/>
      <c r="S9" s="262"/>
    </row>
    <row r="10" spans="1:22" ht="13" customHeight="1">
      <c r="A10" s="325"/>
      <c r="B10" s="85" t="str">
        <f>IF('Summary | Sumário'!D$3=Names!B$3,Names!O8,Names!P8)</f>
        <v>Agribusiness</v>
      </c>
      <c r="C10" s="334">
        <v>0</v>
      </c>
      <c r="D10" s="334">
        <v>177637</v>
      </c>
      <c r="E10" s="334">
        <v>216360.92530999999</v>
      </c>
      <c r="F10" s="334">
        <v>424570</v>
      </c>
      <c r="G10" s="334">
        <v>545234</v>
      </c>
      <c r="H10" s="334">
        <v>700191</v>
      </c>
      <c r="I10" s="334">
        <v>643194</v>
      </c>
      <c r="J10" s="334">
        <v>490009</v>
      </c>
      <c r="K10" s="334">
        <v>627390</v>
      </c>
      <c r="L10" s="334">
        <v>719669</v>
      </c>
      <c r="M10" s="334">
        <v>750934</v>
      </c>
      <c r="N10" s="334">
        <v>724143</v>
      </c>
      <c r="O10" s="334">
        <v>764068</v>
      </c>
      <c r="P10" s="334">
        <v>744958</v>
      </c>
      <c r="Q10" s="333"/>
      <c r="R10" s="261"/>
      <c r="S10" s="261"/>
    </row>
    <row r="11" spans="1:22" ht="13" customHeight="1">
      <c r="A11" s="325"/>
      <c r="B11" s="84" t="str">
        <f>IF('Summary | Sumário'!D$3=Names!B$3,Names!O9,Names!P9)</f>
        <v>Prepayment of receivables</v>
      </c>
      <c r="C11" s="335">
        <v>0</v>
      </c>
      <c r="D11" s="335">
        <v>0</v>
      </c>
      <c r="E11" s="335">
        <v>85776.282000000007</v>
      </c>
      <c r="F11" s="335">
        <v>71515.061000000002</v>
      </c>
      <c r="G11" s="335">
        <v>97555.932000000001</v>
      </c>
      <c r="H11" s="335">
        <v>295348.59299999999</v>
      </c>
      <c r="I11" s="335">
        <v>347353.58600000001</v>
      </c>
      <c r="J11" s="335">
        <v>379917.21</v>
      </c>
      <c r="K11" s="335">
        <v>1029786.0000000001</v>
      </c>
      <c r="L11" s="335">
        <v>1845665</v>
      </c>
      <c r="M11" s="335">
        <v>1296424</v>
      </c>
      <c r="N11" s="335">
        <v>1332977</v>
      </c>
      <c r="O11" s="335">
        <v>1215142</v>
      </c>
      <c r="P11" s="335">
        <v>1236536</v>
      </c>
      <c r="Q11" s="333"/>
      <c r="R11" s="261"/>
      <c r="S11" s="261"/>
    </row>
    <row r="12" spans="1:22" ht="13" customHeight="1">
      <c r="A12" s="325"/>
      <c r="B12" s="436" t="str">
        <f>IF('Summary | Sumário'!D$3=Names!B$3,Names!O10,Names!P10)</f>
        <v>Gross loan portfolio</v>
      </c>
      <c r="C12" s="440">
        <f>C5+C11</f>
        <v>4777387</v>
      </c>
      <c r="D12" s="440">
        <f t="shared" ref="D12:M12" si="3">D5+D11</f>
        <v>8790058</v>
      </c>
      <c r="E12" s="440">
        <f t="shared" si="3"/>
        <v>10328685.6263</v>
      </c>
      <c r="F12" s="440">
        <f t="shared" si="3"/>
        <v>12598761.061000001</v>
      </c>
      <c r="G12" s="440">
        <f t="shared" si="3"/>
        <v>14957638.932</v>
      </c>
      <c r="H12" s="440">
        <f t="shared" si="3"/>
        <v>17511710.592999998</v>
      </c>
      <c r="I12" s="440">
        <f t="shared" si="3"/>
        <v>18523657.585999999</v>
      </c>
      <c r="J12" s="440">
        <f t="shared" si="3"/>
        <v>19864563.609999999</v>
      </c>
      <c r="K12" s="440">
        <f t="shared" si="3"/>
        <v>22035054</v>
      </c>
      <c r="L12" s="440">
        <f t="shared" si="3"/>
        <v>24543993</v>
      </c>
      <c r="M12" s="440">
        <f t="shared" si="3"/>
        <v>25129298</v>
      </c>
      <c r="N12" s="440">
        <f t="shared" ref="N12:O12" si="4">N5+N11</f>
        <v>26474360</v>
      </c>
      <c r="O12" s="440">
        <f t="shared" si="4"/>
        <v>28258743</v>
      </c>
      <c r="P12" s="440">
        <f t="shared" ref="P12" si="5">P5+P11</f>
        <v>31020837</v>
      </c>
      <c r="Q12" s="333"/>
      <c r="S12" s="261"/>
    </row>
    <row r="13" spans="1:22" ht="13" customHeight="1">
      <c r="A13" s="325"/>
      <c r="B13" s="82"/>
      <c r="C13" s="334"/>
      <c r="D13" s="334"/>
      <c r="E13" s="334"/>
      <c r="F13" s="334"/>
      <c r="G13" s="334"/>
      <c r="H13" s="334"/>
      <c r="I13" s="334"/>
      <c r="J13" s="334"/>
      <c r="K13" s="334"/>
      <c r="L13" s="334"/>
      <c r="M13" s="334"/>
      <c r="N13" s="334"/>
      <c r="O13" s="334"/>
      <c r="P13" s="334"/>
      <c r="Q13" s="333"/>
    </row>
    <row r="14" spans="1:22" ht="13" customHeight="1">
      <c r="A14" s="325"/>
      <c r="B14" s="26" t="str">
        <f>IF('Summary | Sumário'!D$3=Names!B$3,Names!O11,Names!P11)</f>
        <v>Net loans and advances to customers</v>
      </c>
      <c r="C14" s="394"/>
      <c r="D14" s="394"/>
      <c r="E14" s="394"/>
      <c r="F14" s="394"/>
      <c r="G14" s="394"/>
      <c r="H14" s="394"/>
      <c r="I14" s="394"/>
      <c r="J14" s="394"/>
      <c r="K14" s="394"/>
      <c r="L14" s="394"/>
      <c r="M14" s="394"/>
      <c r="N14" s="394"/>
      <c r="O14" s="394"/>
      <c r="P14" s="394"/>
      <c r="Q14" s="333"/>
    </row>
    <row r="15" spans="1:22" ht="13" customHeight="1">
      <c r="A15" s="325"/>
      <c r="B15" s="441" t="str">
        <f>IF('Summary | Sumário'!D$3=Names!B$3,Names!O12,Names!P12)</f>
        <v>Gross loans and advances to customers</v>
      </c>
      <c r="C15" s="442">
        <f>C5</f>
        <v>4777387</v>
      </c>
      <c r="D15" s="442">
        <f t="shared" ref="D15:M15" si="6">D5</f>
        <v>8790058</v>
      </c>
      <c r="E15" s="442">
        <f t="shared" si="6"/>
        <v>10242909.3443</v>
      </c>
      <c r="F15" s="442">
        <f t="shared" si="6"/>
        <v>12527246</v>
      </c>
      <c r="G15" s="442">
        <f t="shared" si="6"/>
        <v>14860083</v>
      </c>
      <c r="H15" s="442">
        <f t="shared" si="6"/>
        <v>17216362</v>
      </c>
      <c r="I15" s="442">
        <f t="shared" si="6"/>
        <v>18176304</v>
      </c>
      <c r="J15" s="442">
        <f t="shared" si="6"/>
        <v>19484646.399999999</v>
      </c>
      <c r="K15" s="442">
        <f t="shared" si="6"/>
        <v>21005268</v>
      </c>
      <c r="L15" s="442">
        <f t="shared" si="6"/>
        <v>22698328</v>
      </c>
      <c r="M15" s="442">
        <f t="shared" si="6"/>
        <v>23832874</v>
      </c>
      <c r="N15" s="442">
        <f t="shared" ref="N15:O15" si="7">N5</f>
        <v>25141383</v>
      </c>
      <c r="O15" s="442">
        <f t="shared" si="7"/>
        <v>27043601</v>
      </c>
      <c r="P15" s="442">
        <f t="shared" ref="P15" si="8">P5</f>
        <v>29784301</v>
      </c>
      <c r="Q15" s="333"/>
    </row>
    <row r="16" spans="1:22" ht="13" customHeight="1">
      <c r="A16" s="325"/>
      <c r="B16" s="84" t="str">
        <f>IF('Summary | Sumário'!D$3=Names!B$3,Names!O13,Names!P13)</f>
        <v>(-) Provision for expected loss</v>
      </c>
      <c r="C16" s="335">
        <v>-215563</v>
      </c>
      <c r="D16" s="335">
        <v>-282355</v>
      </c>
      <c r="E16" s="335">
        <v>-334789</v>
      </c>
      <c r="F16" s="335">
        <v>-486763</v>
      </c>
      <c r="G16" s="335">
        <v>-558546</v>
      </c>
      <c r="H16" s="335">
        <v>-680932.27827000001</v>
      </c>
      <c r="I16" s="335">
        <v>-801672</v>
      </c>
      <c r="J16" s="335">
        <v>-974457</v>
      </c>
      <c r="K16" s="335">
        <v>-1184365</v>
      </c>
      <c r="L16" s="335">
        <v>-1318412</v>
      </c>
      <c r="M16" s="335">
        <v>-1461707</v>
      </c>
      <c r="N16" s="335">
        <v>-1617401</v>
      </c>
      <c r="O16" s="335">
        <v>-1746981</v>
      </c>
      <c r="P16" s="335">
        <v>-1883758</v>
      </c>
      <c r="Q16" s="333"/>
    </row>
    <row r="17" spans="1:18" ht="13" customHeight="1">
      <c r="A17" s="325"/>
      <c r="B17" s="436" t="str">
        <f>IF('Summary | Sumário'!D$3=Names!B$3,Names!O14,Names!P14)</f>
        <v>Net loans and advances to customers</v>
      </c>
      <c r="C17" s="440">
        <f>C15+C16</f>
        <v>4561824</v>
      </c>
      <c r="D17" s="440">
        <f t="shared" ref="D17:M17" si="9">D15+D16</f>
        <v>8507703</v>
      </c>
      <c r="E17" s="440">
        <f t="shared" si="9"/>
        <v>9908120.3443</v>
      </c>
      <c r="F17" s="440">
        <f t="shared" si="9"/>
        <v>12040483</v>
      </c>
      <c r="G17" s="440">
        <f t="shared" si="9"/>
        <v>14301537</v>
      </c>
      <c r="H17" s="440">
        <f t="shared" si="9"/>
        <v>16535429.721729999</v>
      </c>
      <c r="I17" s="440">
        <f t="shared" si="9"/>
        <v>17374632</v>
      </c>
      <c r="J17" s="440">
        <f t="shared" si="9"/>
        <v>18510189.399999999</v>
      </c>
      <c r="K17" s="440">
        <f t="shared" si="9"/>
        <v>19820903</v>
      </c>
      <c r="L17" s="440">
        <f t="shared" si="9"/>
        <v>21379916</v>
      </c>
      <c r="M17" s="440">
        <f t="shared" si="9"/>
        <v>22371167</v>
      </c>
      <c r="N17" s="440">
        <f t="shared" ref="N17:O17" si="10">N15+N16</f>
        <v>23523982</v>
      </c>
      <c r="O17" s="440">
        <f t="shared" si="10"/>
        <v>25296620</v>
      </c>
      <c r="P17" s="440">
        <f t="shared" ref="P17" si="11">P15+P16</f>
        <v>27900543</v>
      </c>
      <c r="Q17" s="333"/>
    </row>
    <row r="18" spans="1:18" ht="13" customHeight="1">
      <c r="A18" s="325"/>
      <c r="B18" s="84"/>
      <c r="C18" s="335"/>
      <c r="D18" s="335"/>
      <c r="E18" s="335"/>
      <c r="F18" s="335"/>
      <c r="G18" s="335"/>
      <c r="H18" s="335"/>
      <c r="I18" s="335"/>
      <c r="J18" s="335"/>
      <c r="K18" s="335"/>
      <c r="L18" s="335"/>
      <c r="M18" s="335"/>
      <c r="N18" s="335"/>
      <c r="O18" s="335"/>
      <c r="P18" s="335"/>
      <c r="Q18" s="333"/>
    </row>
    <row r="19" spans="1:18" ht="13" customHeight="1">
      <c r="A19" s="325"/>
      <c r="B19" s="5" t="str">
        <f>IF('Summary | Sumário'!D$3=Names!B$3,Names!O15,Names!P15)</f>
        <v>NPL &gt; 90 days</v>
      </c>
      <c r="C19" s="291"/>
      <c r="D19" s="291"/>
      <c r="E19" s="291"/>
      <c r="F19" s="291"/>
      <c r="G19" s="291"/>
      <c r="H19" s="291"/>
      <c r="I19" s="291"/>
      <c r="J19" s="291"/>
      <c r="K19" s="291"/>
      <c r="L19" s="291"/>
      <c r="M19" s="291"/>
      <c r="N19" s="291"/>
      <c r="O19" s="291"/>
      <c r="P19" s="291"/>
      <c r="Q19" s="298"/>
    </row>
    <row r="20" spans="1:18" ht="13" customHeight="1">
      <c r="A20" s="325"/>
      <c r="B20" s="438" t="str">
        <f>IF('Summary | Sumário'!D$3=Names!B$3,Names!O16,Names!P16)</f>
        <v>NPL &gt; 90 days</v>
      </c>
      <c r="C20" s="443">
        <v>220389.40100000001</v>
      </c>
      <c r="D20" s="443">
        <v>269061.29599999997</v>
      </c>
      <c r="E20" s="443">
        <v>284231.98275000002</v>
      </c>
      <c r="F20" s="443">
        <v>375711.22700000001</v>
      </c>
      <c r="G20" s="443">
        <v>451788.65100000001</v>
      </c>
      <c r="H20" s="443">
        <v>519936.66624999954</v>
      </c>
      <c r="I20" s="443">
        <v>635025.51165999984</v>
      </c>
      <c r="J20" s="443">
        <v>754933.16899999999</v>
      </c>
      <c r="K20" s="443">
        <v>838860.77459000004</v>
      </c>
      <c r="L20" s="443">
        <v>999522.19583999994</v>
      </c>
      <c r="M20" s="443">
        <v>1112112.51</v>
      </c>
      <c r="N20" s="443">
        <v>1242634.2890000001</v>
      </c>
      <c r="O20" s="443">
        <v>1324578.226</v>
      </c>
      <c r="P20" s="443">
        <v>1425372.2890000001</v>
      </c>
    </row>
    <row r="21" spans="1:18" ht="13" customHeight="1">
      <c r="A21" s="325"/>
      <c r="B21" s="82" t="str">
        <f>IF('Summary | Sumário'!D$3=Names!B$3,Names!O17,Names!P17)</f>
        <v>NPL &gt; 90 days (%)</v>
      </c>
      <c r="C21" s="336">
        <v>4.613178731386007E-2</v>
      </c>
      <c r="D21" s="336">
        <v>3.0609729310091011E-2</v>
      </c>
      <c r="E21" s="336">
        <v>2.7749145598771716E-2</v>
      </c>
      <c r="F21" s="336">
        <v>2.9991526230106761E-2</v>
      </c>
      <c r="G21" s="336">
        <v>3.0402834963976985E-2</v>
      </c>
      <c r="H21" s="336">
        <v>3.0200147176854177E-2</v>
      </c>
      <c r="I21" s="336">
        <v>3.4936998834306461E-2</v>
      </c>
      <c r="J21" s="336">
        <v>3.8745027931325456E-2</v>
      </c>
      <c r="K21" s="336">
        <v>3.9935733007072323E-2</v>
      </c>
      <c r="L21" s="336">
        <v>4.4035058258035567E-2</v>
      </c>
      <c r="M21" s="336">
        <v>4.6662962679196812E-2</v>
      </c>
      <c r="N21" s="336">
        <v>4.9425852547570676E-2</v>
      </c>
      <c r="O21" s="336">
        <v>4.897935840718845E-2</v>
      </c>
      <c r="P21" s="336">
        <v>4.7856496246126444E-2</v>
      </c>
    </row>
    <row r="22" spans="1:18" ht="13" customHeight="1">
      <c r="A22" s="325"/>
      <c r="B22" s="84" t="str">
        <f>IF('Summary | Sumário'!D$3=Names!B$3,Names!O18,Names!P18)</f>
        <v>NPL &gt; 90 days (including anticipation of credit card receivables, %)</v>
      </c>
      <c r="C22" s="339">
        <v>4.613178731386007E-2</v>
      </c>
      <c r="D22" s="339">
        <v>3.0609729310091011E-2</v>
      </c>
      <c r="E22" s="339">
        <v>2.7518698219089782E-2</v>
      </c>
      <c r="F22" s="339">
        <v>2.982128363105719E-2</v>
      </c>
      <c r="G22" s="339">
        <v>3.0204543180505222E-2</v>
      </c>
      <c r="H22" s="339">
        <v>2.9690798251190559E-2</v>
      </c>
      <c r="I22" s="339">
        <v>3.428186408174301E-2</v>
      </c>
      <c r="J22" s="339">
        <v>3.8004014778354349E-2</v>
      </c>
      <c r="K22" s="339">
        <v>3.8069376847907885E-2</v>
      </c>
      <c r="L22" s="339">
        <v>4.07236995153967E-2</v>
      </c>
      <c r="M22" s="339">
        <v>4.425561390533074E-2</v>
      </c>
      <c r="N22" s="339">
        <v>4.6937273988870744E-2</v>
      </c>
      <c r="O22" s="339">
        <v>4.6873218175344886E-2</v>
      </c>
      <c r="P22" s="339">
        <v>4.5948866208864708E-2</v>
      </c>
    </row>
    <row r="23" spans="1:18" ht="13" customHeight="1">
      <c r="A23" s="325"/>
      <c r="B23" s="82" t="str">
        <f>IF('Summary | Sumário'!D$3=Names!B$3,Names!O19,Names!P19)</f>
        <v>Coverage ratio (%)</v>
      </c>
      <c r="C23" s="494">
        <v>0.97810057571688758</v>
      </c>
      <c r="D23" s="494">
        <v>1.0494077156307164</v>
      </c>
      <c r="E23" s="494">
        <v>1.1778723729850911</v>
      </c>
      <c r="F23" s="494">
        <v>1.2955774675319989</v>
      </c>
      <c r="G23" s="494">
        <v>1.2362993155399116</v>
      </c>
      <c r="H23" s="494">
        <v>1.3096446595720361</v>
      </c>
      <c r="I23" s="494">
        <v>1.2624248715683484</v>
      </c>
      <c r="J23" s="494">
        <v>1.2907857808006844</v>
      </c>
      <c r="K23" s="494">
        <v>1.4118731449552733</v>
      </c>
      <c r="L23" s="494">
        <v>1.3190422438713376</v>
      </c>
      <c r="M23" s="494">
        <v>1.3143517286753656</v>
      </c>
      <c r="N23" s="494">
        <v>1.3015905116392614</v>
      </c>
      <c r="O23" s="494">
        <v>1.3188960574080884</v>
      </c>
      <c r="P23" s="494">
        <f>-P16/P20</f>
        <v>1.3215901659780338</v>
      </c>
      <c r="Q23" s="350"/>
    </row>
    <row r="24" spans="1:18" ht="13" customHeight="1">
      <c r="A24" s="325"/>
      <c r="B24" s="491"/>
      <c r="C24" s="493"/>
      <c r="D24" s="493"/>
      <c r="E24" s="493"/>
      <c r="F24" s="493"/>
      <c r="G24" s="493"/>
      <c r="H24" s="493"/>
      <c r="I24" s="493"/>
      <c r="J24" s="493"/>
      <c r="K24" s="493"/>
      <c r="L24" s="493"/>
      <c r="M24" s="493"/>
      <c r="N24" s="493"/>
      <c r="O24" s="493"/>
      <c r="P24" s="493"/>
    </row>
    <row r="25" spans="1:18" ht="13" customHeight="1">
      <c r="A25" s="325"/>
      <c r="B25" s="5" t="str">
        <f>IF('Summary | Sumário'!D$3=Names!B$3,Names!O20,Names!P20)</f>
        <v>NPL  15-90 days</v>
      </c>
      <c r="C25" s="291"/>
      <c r="D25" s="291"/>
      <c r="E25" s="291"/>
      <c r="F25" s="291"/>
      <c r="G25" s="291"/>
      <c r="H25" s="291"/>
      <c r="I25" s="291"/>
      <c r="J25" s="291"/>
      <c r="K25" s="291"/>
      <c r="L25" s="291"/>
      <c r="M25" s="291"/>
      <c r="N25" s="291"/>
      <c r="O25" s="291"/>
      <c r="P25" s="291"/>
    </row>
    <row r="26" spans="1:18" ht="13" customHeight="1">
      <c r="A26" s="325"/>
      <c r="B26" s="438" t="str">
        <f>IF('Summary | Sumário'!D$3=Names!B$3,Names!O21,Names!P21)</f>
        <v>NPL 15-90 days</v>
      </c>
      <c r="C26" s="443">
        <v>455624.09169999999</v>
      </c>
      <c r="D26" s="443">
        <v>446506.32032</v>
      </c>
      <c r="E26" s="443">
        <v>596395.54700000002</v>
      </c>
      <c r="F26" s="443">
        <v>617864.61755000008</v>
      </c>
      <c r="G26" s="443">
        <v>650014.21071999997</v>
      </c>
      <c r="H26" s="443">
        <v>746209.03361000016</v>
      </c>
      <c r="I26" s="443">
        <v>835676.82806999981</v>
      </c>
      <c r="J26" s="443">
        <v>902517.78554999991</v>
      </c>
      <c r="K26" s="443">
        <v>950615.52880999993</v>
      </c>
      <c r="L26" s="443">
        <v>1016878.29273</v>
      </c>
      <c r="M26" s="443">
        <v>1092071.4350000001</v>
      </c>
      <c r="N26" s="443">
        <v>1110989.1200000001</v>
      </c>
      <c r="O26" s="443">
        <v>1204856.051</v>
      </c>
      <c r="P26" s="443">
        <v>1243042.1070000001</v>
      </c>
    </row>
    <row r="27" spans="1:18" ht="13" customHeight="1">
      <c r="A27" s="325"/>
      <c r="B27" s="82" t="str">
        <f>IF('Summary | Sumário'!D$3=Names!B$3,Names!O22,Names!P22)</f>
        <v>NPL 15-90 days (%)</v>
      </c>
      <c r="C27" s="336">
        <v>9.5370982442912824E-2</v>
      </c>
      <c r="D27" s="336">
        <v>5.0796743357097301E-2</v>
      </c>
      <c r="E27" s="336">
        <v>5.8225209943099196E-2</v>
      </c>
      <c r="F27" s="336">
        <v>4.9321663959500765E-2</v>
      </c>
      <c r="G27" s="336">
        <v>4.3742300141930562E-2</v>
      </c>
      <c r="H27" s="336">
        <v>4.3343014837280966E-2</v>
      </c>
      <c r="I27" s="336">
        <v>4.5976169196443886E-2</v>
      </c>
      <c r="J27" s="336">
        <v>4.6319433620822595E-2</v>
      </c>
      <c r="K27" s="336">
        <v>4.5256053329574275E-2</v>
      </c>
      <c r="L27" s="336">
        <v>4.4799700344888838E-2</v>
      </c>
      <c r="M27" s="336">
        <v>4.5822062207017081E-2</v>
      </c>
      <c r="N27" s="336">
        <v>4.4189658142513487E-2</v>
      </c>
      <c r="O27" s="336">
        <v>4.4552352735865317E-2</v>
      </c>
      <c r="P27" s="336">
        <v>4.1734808783996644E-2</v>
      </c>
    </row>
    <row r="28" spans="1:18" ht="13" customHeight="1">
      <c r="A28" s="325"/>
      <c r="B28" s="84" t="str">
        <f>IF('Summary | Sumário'!D$3=Names!B$3,Names!O23,Names!P23)</f>
        <v>NPL 15-90 days (including anticipation of credit card receivables, %)</v>
      </c>
      <c r="C28" s="339">
        <v>9.5370982442912824E-2</v>
      </c>
      <c r="D28" s="339">
        <v>5.0796743357097301E-2</v>
      </c>
      <c r="E28" s="339">
        <v>5.7741669034963569E-2</v>
      </c>
      <c r="F28" s="339">
        <v>4.9041696604805549E-2</v>
      </c>
      <c r="G28" s="339">
        <v>4.345700639486462E-2</v>
      </c>
      <c r="H28" s="339">
        <v>4.2612001246085246E-2</v>
      </c>
      <c r="I28" s="339">
        <v>4.5114029137614607E-2</v>
      </c>
      <c r="J28" s="339">
        <v>4.5433557125597483E-2</v>
      </c>
      <c r="K28" s="339">
        <v>4.314105737204002E-2</v>
      </c>
      <c r="L28" s="339">
        <v>4.1430841865461747E-2</v>
      </c>
      <c r="M28" s="339">
        <v>4.3458095606172524E-2</v>
      </c>
      <c r="N28" s="339">
        <v>4.1964720582480561E-2</v>
      </c>
      <c r="O28" s="339">
        <v>4.2636576262433189E-2</v>
      </c>
      <c r="P28" s="339">
        <v>4.0071198175600488E-2</v>
      </c>
    </row>
    <row r="29" spans="1:18" ht="13" customHeight="1">
      <c r="C29" s="342"/>
      <c r="D29" s="342"/>
      <c r="E29" s="342"/>
      <c r="F29" s="342"/>
      <c r="G29" s="342"/>
      <c r="H29" s="342"/>
      <c r="I29" s="342"/>
      <c r="J29" s="342"/>
      <c r="K29" s="342"/>
      <c r="L29" s="342"/>
      <c r="M29" s="342"/>
      <c r="N29" s="342"/>
      <c r="O29" s="342"/>
      <c r="P29" s="342"/>
    </row>
    <row r="30" spans="1:18" ht="13" customHeight="1">
      <c r="B30" s="26" t="str">
        <f>IF('Summary | Sumário'!D$3=Names!B$3,Names!O24,Names!P24)</f>
        <v>Credit card loan portfolio</v>
      </c>
      <c r="C30" s="285"/>
      <c r="D30" s="285"/>
      <c r="E30" s="285"/>
      <c r="F30" s="285"/>
      <c r="G30" s="285"/>
      <c r="H30" s="285"/>
      <c r="I30" s="285"/>
      <c r="J30" s="285"/>
      <c r="K30" s="285"/>
      <c r="L30" s="285"/>
      <c r="M30" s="285"/>
      <c r="N30" s="285"/>
      <c r="O30" s="285"/>
      <c r="P30" s="285"/>
    </row>
    <row r="31" spans="1:18" ht="13" customHeight="1">
      <c r="B31" s="444" t="str">
        <f>IF('Summary | Sumário'!D$3=Names!B$3,Names!O25,Names!P25)</f>
        <v>Revolving + overdue</v>
      </c>
      <c r="C31" s="445" t="s">
        <v>830</v>
      </c>
      <c r="D31" s="445" t="s">
        <v>830</v>
      </c>
      <c r="E31" s="445" t="s">
        <v>830</v>
      </c>
      <c r="F31" s="445" t="s">
        <v>830</v>
      </c>
      <c r="G31" s="445" t="s">
        <v>830</v>
      </c>
      <c r="H31" s="445" t="s">
        <v>830</v>
      </c>
      <c r="I31" s="445">
        <v>647603</v>
      </c>
      <c r="J31" s="445">
        <v>794462.4</v>
      </c>
      <c r="K31" s="445">
        <v>931362</v>
      </c>
      <c r="L31" s="445">
        <v>971156</v>
      </c>
      <c r="M31" s="445">
        <v>1075040.5751228977</v>
      </c>
      <c r="N31" s="445">
        <v>1218736.7472333608</v>
      </c>
      <c r="O31" s="445">
        <v>1321095.906</v>
      </c>
      <c r="P31" s="445">
        <v>1324931.0720000002</v>
      </c>
      <c r="R31" s="250"/>
    </row>
    <row r="32" spans="1:18" ht="13" customHeight="1">
      <c r="B32" s="91" t="str">
        <f>IF('Summary | Sumário'!D$3=Names!B$3,Names!O26,Names!P26)</f>
        <v>Revolving (1 to 30 days)</v>
      </c>
      <c r="C32" s="344" t="s">
        <v>830</v>
      </c>
      <c r="D32" s="344" t="s">
        <v>830</v>
      </c>
      <c r="E32" s="344" t="s">
        <v>830</v>
      </c>
      <c r="F32" s="344" t="s">
        <v>830</v>
      </c>
      <c r="G32" s="344" t="s">
        <v>830</v>
      </c>
      <c r="H32" s="344" t="s">
        <v>830</v>
      </c>
      <c r="I32" s="344">
        <v>140405</v>
      </c>
      <c r="J32" s="344">
        <v>165496.4</v>
      </c>
      <c r="K32" s="344">
        <v>167329</v>
      </c>
      <c r="L32" s="344">
        <v>149131</v>
      </c>
      <c r="M32" s="344">
        <v>172200.08631999997</v>
      </c>
      <c r="N32" s="344">
        <v>222117.52551000001</v>
      </c>
      <c r="O32" s="344">
        <v>208783.36499999999</v>
      </c>
      <c r="P32" s="344">
        <v>195288.79300000001</v>
      </c>
    </row>
    <row r="33" spans="1:19" ht="13" customHeight="1">
      <c r="B33" s="86" t="str">
        <f>IF('Summary | Sumário'!D$3=Names!B$3,Names!O27,Names!P27)</f>
        <v>Overdue &gt; 31 days</v>
      </c>
      <c r="C33" s="343" t="s">
        <v>830</v>
      </c>
      <c r="D33" s="343" t="s">
        <v>830</v>
      </c>
      <c r="E33" s="343" t="s">
        <v>830</v>
      </c>
      <c r="F33" s="343" t="s">
        <v>830</v>
      </c>
      <c r="G33" s="343" t="s">
        <v>830</v>
      </c>
      <c r="H33" s="343" t="s">
        <v>830</v>
      </c>
      <c r="I33" s="343">
        <v>507198</v>
      </c>
      <c r="J33" s="343">
        <v>628966</v>
      </c>
      <c r="K33" s="343">
        <v>764033</v>
      </c>
      <c r="L33" s="343">
        <v>822025</v>
      </c>
      <c r="M33" s="343">
        <v>902840.48880289786</v>
      </c>
      <c r="N33" s="343">
        <v>996619.22172336082</v>
      </c>
      <c r="O33" s="343">
        <v>1112312.541</v>
      </c>
      <c r="P33" s="343">
        <v>1129642.2790000001</v>
      </c>
    </row>
    <row r="34" spans="1:19" ht="13" customHeight="1">
      <c r="B34" s="92" t="str">
        <f>IF('Summary | Sumário'!D$3=Names!B$3,Names!O28,Names!P28)</f>
        <v>Installments with interest</v>
      </c>
      <c r="C34" s="344" t="s">
        <v>830</v>
      </c>
      <c r="D34" s="344" t="s">
        <v>830</v>
      </c>
      <c r="E34" s="344" t="s">
        <v>830</v>
      </c>
      <c r="F34" s="344" t="s">
        <v>830</v>
      </c>
      <c r="G34" s="344" t="s">
        <v>830</v>
      </c>
      <c r="H34" s="344" t="s">
        <v>830</v>
      </c>
      <c r="I34" s="344">
        <v>189041</v>
      </c>
      <c r="J34" s="344">
        <v>289823</v>
      </c>
      <c r="K34" s="344">
        <v>378271</v>
      </c>
      <c r="L34" s="344">
        <v>487611</v>
      </c>
      <c r="M34" s="344">
        <v>517722.8127045774</v>
      </c>
      <c r="N34" s="344">
        <v>558314.02034123032</v>
      </c>
      <c r="O34" s="344">
        <v>590338.44700000004</v>
      </c>
      <c r="P34" s="344">
        <v>646335.32499999995</v>
      </c>
    </row>
    <row r="35" spans="1:19" s="244" customFormat="1" ht="13" customHeight="1">
      <c r="A35" s="242"/>
      <c r="B35" s="87" t="str">
        <f>IF('Summary | Sumário'!D$3=Names!B$3,Names!O29,Names!P29)</f>
        <v>Transactor</v>
      </c>
      <c r="C35" s="343">
        <v>0</v>
      </c>
      <c r="D35" s="343">
        <v>1674430.175</v>
      </c>
      <c r="E35" s="343">
        <v>2094215</v>
      </c>
      <c r="F35" s="343">
        <v>2650205</v>
      </c>
      <c r="G35" s="343">
        <v>3280955</v>
      </c>
      <c r="H35" s="343">
        <v>4122313</v>
      </c>
      <c r="I35" s="343">
        <f>I36-I31-I34</f>
        <v>4479286</v>
      </c>
      <c r="J35" s="343">
        <f t="shared" ref="J35:N35" si="12">J36-J31-J34</f>
        <v>4897121</v>
      </c>
      <c r="K35" s="343">
        <f t="shared" si="12"/>
        <v>5101939</v>
      </c>
      <c r="L35" s="343">
        <f t="shared" si="12"/>
        <v>5411798</v>
      </c>
      <c r="M35" s="343">
        <f t="shared" si="12"/>
        <v>5680268.6121725254</v>
      </c>
      <c r="N35" s="343">
        <f t="shared" si="12"/>
        <v>5903960.2324254084</v>
      </c>
      <c r="O35" s="343">
        <f t="shared" ref="O35:P35" si="13">O36-O31-O34</f>
        <v>6738704.6470000008</v>
      </c>
      <c r="P35" s="343">
        <f t="shared" si="13"/>
        <v>7490010.6029999992</v>
      </c>
    </row>
    <row r="36" spans="1:19" s="269" customFormat="1" ht="13" customHeight="1">
      <c r="A36" s="338"/>
      <c r="B36" s="446" t="str">
        <f>IF('Summary | Sumário'!D$3=Names!B$3,Names!O30,Names!P30)</f>
        <v>Total credit card loan portfolio</v>
      </c>
      <c r="C36" s="447">
        <f t="shared" ref="C36:P36" si="14">C9</f>
        <v>783544</v>
      </c>
      <c r="D36" s="447">
        <f t="shared" si="14"/>
        <v>1904642</v>
      </c>
      <c r="E36" s="447">
        <f t="shared" si="14"/>
        <v>2404920.48868</v>
      </c>
      <c r="F36" s="447">
        <f t="shared" si="14"/>
        <v>3116734</v>
      </c>
      <c r="G36" s="447">
        <f t="shared" si="14"/>
        <v>3807684</v>
      </c>
      <c r="H36" s="447">
        <f t="shared" si="14"/>
        <v>4798318</v>
      </c>
      <c r="I36" s="447">
        <f t="shared" si="14"/>
        <v>5315930</v>
      </c>
      <c r="J36" s="447">
        <f t="shared" si="14"/>
        <v>5981406.4000000004</v>
      </c>
      <c r="K36" s="447">
        <f t="shared" si="14"/>
        <v>6411572</v>
      </c>
      <c r="L36" s="447">
        <f t="shared" si="14"/>
        <v>6870565</v>
      </c>
      <c r="M36" s="447">
        <f t="shared" si="14"/>
        <v>7273032</v>
      </c>
      <c r="N36" s="447">
        <f t="shared" si="14"/>
        <v>7681011</v>
      </c>
      <c r="O36" s="447">
        <f t="shared" si="14"/>
        <v>8650139</v>
      </c>
      <c r="P36" s="447">
        <f t="shared" si="14"/>
        <v>9461277</v>
      </c>
      <c r="Q36" s="293"/>
    </row>
    <row r="37" spans="1:19" ht="13" customHeight="1">
      <c r="C37" s="345"/>
      <c r="D37" s="345"/>
      <c r="E37" s="345"/>
      <c r="F37" s="345"/>
      <c r="G37" s="345"/>
      <c r="H37" s="345"/>
      <c r="I37" s="345"/>
      <c r="J37" s="345"/>
      <c r="K37" s="345"/>
      <c r="L37" s="345"/>
      <c r="M37" s="345"/>
      <c r="N37" s="345"/>
      <c r="O37" s="345"/>
      <c r="P37" s="345"/>
    </row>
    <row r="38" spans="1:19" ht="13" customHeight="1">
      <c r="B38" s="83" t="str">
        <f>IF('Summary | Sumário'!D$3=Names!B$3,Names!O31,Names!P31)</f>
        <v>Interest income</v>
      </c>
      <c r="C38" s="285"/>
      <c r="D38" s="285"/>
      <c r="E38" s="437"/>
      <c r="F38" s="437"/>
      <c r="G38" s="437"/>
      <c r="H38" s="437"/>
      <c r="I38" s="437"/>
      <c r="J38" s="437"/>
      <c r="K38" s="437"/>
      <c r="L38" s="437"/>
      <c r="M38" s="437"/>
      <c r="N38" s="437"/>
      <c r="O38" s="437"/>
      <c r="P38" s="437"/>
    </row>
    <row r="39" spans="1:19" ht="13" customHeight="1">
      <c r="B39" s="412" t="str">
        <f>IF('Summary | Sumário'!D$3=Names!B$3,Names!O32,Names!P32)</f>
        <v>Interest income</v>
      </c>
      <c r="C39" s="448">
        <v>775515</v>
      </c>
      <c r="D39" s="448">
        <v>942655.89517999999</v>
      </c>
      <c r="E39" s="448">
        <v>289003.935</v>
      </c>
      <c r="F39" s="448">
        <v>305659.75100000005</v>
      </c>
      <c r="G39" s="448">
        <v>367405.88</v>
      </c>
      <c r="H39" s="448">
        <v>473357.68</v>
      </c>
      <c r="I39" s="448">
        <v>521159.63199999993</v>
      </c>
      <c r="J39" s="448">
        <v>622312.6370000001</v>
      </c>
      <c r="K39" s="448">
        <v>788342.73100000003</v>
      </c>
      <c r="L39" s="448">
        <v>870843.08199999994</v>
      </c>
      <c r="M39" s="448">
        <v>1012926.822</v>
      </c>
      <c r="N39" s="448">
        <v>1151105</v>
      </c>
      <c r="O39" s="448">
        <v>1106935.08874</v>
      </c>
      <c r="P39" s="448">
        <v>1278860.08926</v>
      </c>
    </row>
    <row r="40" spans="1:19" ht="13" customHeight="1">
      <c r="B40" s="25" t="str">
        <f>IF('Summary | Sumário'!D$3=Names!B$3,Names!O33,Names!P33)</f>
        <v>Loans and advances to customers</v>
      </c>
      <c r="C40" s="346">
        <v>635873</v>
      </c>
      <c r="D40" s="346">
        <v>807878.44012000004</v>
      </c>
      <c r="E40" s="346">
        <v>268003.20799999998</v>
      </c>
      <c r="F40" s="346">
        <v>292783.40600000002</v>
      </c>
      <c r="G40" s="346">
        <v>335179.73</v>
      </c>
      <c r="H40" s="346">
        <v>434227.85400000005</v>
      </c>
      <c r="I40" s="346">
        <v>465786.92129999999</v>
      </c>
      <c r="J40" s="346">
        <v>587035.16590000002</v>
      </c>
      <c r="K40" s="346">
        <v>672679.28999000008</v>
      </c>
      <c r="L40" s="346">
        <v>739935.08169999998</v>
      </c>
      <c r="M40" s="346">
        <v>840890.87786000001</v>
      </c>
      <c r="N40" s="346">
        <v>976319.04593000002</v>
      </c>
      <c r="O40" s="346">
        <v>891716.27035000001</v>
      </c>
      <c r="P40" s="346">
        <v>1102861.8058600002</v>
      </c>
    </row>
    <row r="41" spans="1:19" ht="13" customHeight="1">
      <c r="B41" s="179" t="str">
        <f>IF('Summary | Sumário'!D$3=Names!B$3,Names!O34,Names!P34)</f>
        <v>Real Estate</v>
      </c>
      <c r="C41" s="340">
        <v>0</v>
      </c>
      <c r="D41" s="340">
        <v>435019.64619000006</v>
      </c>
      <c r="E41" s="340">
        <v>139297.851</v>
      </c>
      <c r="F41" s="340">
        <v>136320.81899999999</v>
      </c>
      <c r="G41" s="340">
        <v>141281.71</v>
      </c>
      <c r="H41" s="340">
        <v>162605.88200000001</v>
      </c>
      <c r="I41" s="340">
        <v>163483.92470999999</v>
      </c>
      <c r="J41" s="340">
        <v>208572.24767999997</v>
      </c>
      <c r="K41" s="340">
        <v>169001.99365000005</v>
      </c>
      <c r="L41" s="340">
        <v>172953.25990999999</v>
      </c>
      <c r="M41" s="340">
        <v>220549.84688</v>
      </c>
      <c r="N41" s="340">
        <v>230186.84327000001</v>
      </c>
      <c r="O41" s="340">
        <v>210305.65125</v>
      </c>
      <c r="P41" s="340">
        <v>264857.65859999997</v>
      </c>
    </row>
    <row r="42" spans="1:19" ht="13" customHeight="1">
      <c r="B42" s="180" t="str">
        <f>IF('Summary | Sumário'!D$3=Names!B$3,Names!O35,Names!P35)</f>
        <v>Personal</v>
      </c>
      <c r="C42" s="346">
        <v>0</v>
      </c>
      <c r="D42" s="346">
        <v>194589.16927000001</v>
      </c>
      <c r="E42" s="346">
        <v>63981.644999999997</v>
      </c>
      <c r="F42" s="346">
        <v>73178.934000000008</v>
      </c>
      <c r="G42" s="346">
        <v>85052.814000000013</v>
      </c>
      <c r="H42" s="346">
        <v>97242.27900000001</v>
      </c>
      <c r="I42" s="346">
        <v>108222.83400999999</v>
      </c>
      <c r="J42" s="346">
        <v>133460.16244000001</v>
      </c>
      <c r="K42" s="346">
        <v>159493.41924999998</v>
      </c>
      <c r="L42" s="346">
        <v>182021.28234999996</v>
      </c>
      <c r="M42" s="346">
        <v>223476.20140999998</v>
      </c>
      <c r="N42" s="346">
        <v>318868.07952999993</v>
      </c>
      <c r="O42" s="346">
        <v>215827.96117000002</v>
      </c>
      <c r="P42" s="346">
        <v>359297.75789000001</v>
      </c>
    </row>
    <row r="43" spans="1:19" ht="13" customHeight="1">
      <c r="B43" s="179" t="str">
        <f>IF('Summary | Sumário'!D$3=Names!B$3,Names!O36,Names!P36)</f>
        <v>SME</v>
      </c>
      <c r="C43" s="340">
        <v>0</v>
      </c>
      <c r="D43" s="340">
        <v>59990.754910000003</v>
      </c>
      <c r="E43" s="340">
        <v>20454.21</v>
      </c>
      <c r="F43" s="340">
        <v>37744.78</v>
      </c>
      <c r="G43" s="340">
        <v>42772.136999999988</v>
      </c>
      <c r="H43" s="340">
        <v>85160.73000000001</v>
      </c>
      <c r="I43" s="340">
        <v>84615.255999999994</v>
      </c>
      <c r="J43" s="340">
        <v>107134.802</v>
      </c>
      <c r="K43" s="340">
        <v>112397.92600000002</v>
      </c>
      <c r="L43" s="340">
        <v>146502.258</v>
      </c>
      <c r="M43" s="340">
        <v>124265.87599999999</v>
      </c>
      <c r="N43" s="340">
        <v>120750</v>
      </c>
      <c r="O43" s="340">
        <v>131787.38165</v>
      </c>
      <c r="P43" s="340">
        <v>145125.74235000001</v>
      </c>
    </row>
    <row r="44" spans="1:19" ht="13" customHeight="1">
      <c r="B44" s="180" t="str">
        <f>IF('Summary | Sumário'!D$3=Names!B$3,Names!O37,Names!P37)</f>
        <v>Credit Cards</v>
      </c>
      <c r="C44" s="346">
        <v>0</v>
      </c>
      <c r="D44" s="346">
        <v>118278.86974999998</v>
      </c>
      <c r="E44" s="346">
        <v>44269.502</v>
      </c>
      <c r="F44" s="346">
        <v>45538.873</v>
      </c>
      <c r="G44" s="346">
        <v>66073.068999999989</v>
      </c>
      <c r="H44" s="346">
        <v>89218.963000000018</v>
      </c>
      <c r="I44" s="346">
        <v>109464.90658000001</v>
      </c>
      <c r="J44" s="346">
        <v>137867.95378000001</v>
      </c>
      <c r="K44" s="346">
        <v>231785.95109000002</v>
      </c>
      <c r="L44" s="346">
        <v>238458.28143999999</v>
      </c>
      <c r="M44" s="346">
        <v>272598.95357000001</v>
      </c>
      <c r="N44" s="346">
        <v>306514.12313000002</v>
      </c>
      <c r="O44" s="346">
        <v>333795.27627999999</v>
      </c>
      <c r="P44" s="346">
        <v>333580.64701999992</v>
      </c>
    </row>
    <row r="45" spans="1:19" ht="13" customHeight="1">
      <c r="B45" s="209" t="str">
        <f>IF('Summary | Sumário'!D$3=Names!B$3,Names!O45,Names!P45)</f>
        <v>Prepayment of receivables</v>
      </c>
      <c r="C45" s="340">
        <v>0</v>
      </c>
      <c r="D45" s="340">
        <v>793.77571</v>
      </c>
      <c r="E45" s="340">
        <v>2554.556</v>
      </c>
      <c r="F45" s="340">
        <v>2758.1950000000002</v>
      </c>
      <c r="G45" s="340">
        <v>1333.1729999999998</v>
      </c>
      <c r="H45" s="340">
        <v>5894.594000000001</v>
      </c>
      <c r="I45" s="340">
        <v>5242.8329999999996</v>
      </c>
      <c r="J45" s="340">
        <v>17718.065000000002</v>
      </c>
      <c r="K45" s="340">
        <v>32903.998999999996</v>
      </c>
      <c r="L45" s="340">
        <v>45839.381000000008</v>
      </c>
      <c r="M45" s="340">
        <v>64806.196000000004</v>
      </c>
      <c r="N45" s="340">
        <v>59977</v>
      </c>
      <c r="O45" s="340">
        <v>60383</v>
      </c>
      <c r="P45" s="340">
        <v>57276.804000000004</v>
      </c>
    </row>
    <row r="46" spans="1:19" ht="13" customHeight="1">
      <c r="B46" s="181" t="str">
        <f>IF('Summary | Sumário'!D$3=Names!B$3,Names!O39,Names!P39)</f>
        <v>Amounts due from financial institutions</v>
      </c>
      <c r="C46" s="346">
        <v>139642</v>
      </c>
      <c r="D46" s="346">
        <v>126619</v>
      </c>
      <c r="E46" s="346">
        <v>14427.704</v>
      </c>
      <c r="F46" s="346">
        <v>7946.8799999999992</v>
      </c>
      <c r="G46" s="346">
        <v>24631.656000000003</v>
      </c>
      <c r="H46" s="346">
        <v>24100.197999999997</v>
      </c>
      <c r="I46" s="346">
        <v>30138.153999999999</v>
      </c>
      <c r="J46" s="346">
        <v>31814.657000000003</v>
      </c>
      <c r="K46" s="346">
        <v>78399.862000000008</v>
      </c>
      <c r="L46" s="346">
        <v>80783.765999999989</v>
      </c>
      <c r="M46" s="346">
        <v>97468.479000000007</v>
      </c>
      <c r="N46" s="346">
        <v>114751</v>
      </c>
      <c r="O46" s="346">
        <v>147490</v>
      </c>
      <c r="P46" s="346">
        <v>137344.52100000001</v>
      </c>
      <c r="R46" s="250"/>
    </row>
    <row r="47" spans="1:19" ht="13" customHeight="1">
      <c r="A47" s="325"/>
      <c r="B47" s="209" t="str">
        <f>IF('Summary | Sumário'!D$3=Names!B$3,Names!O41,Names!P41)</f>
        <v xml:space="preserve">Others </v>
      </c>
      <c r="C47" s="340">
        <v>0</v>
      </c>
      <c r="D47" s="340">
        <v>7364.6793500000003</v>
      </c>
      <c r="E47" s="340">
        <v>4018.4669999999996</v>
      </c>
      <c r="F47" s="340">
        <v>2171.27</v>
      </c>
      <c r="G47" s="340">
        <v>6261.3210000000008</v>
      </c>
      <c r="H47" s="340">
        <v>9135.0339999999997</v>
      </c>
      <c r="I47" s="340">
        <v>19991.723699999999</v>
      </c>
      <c r="J47" s="340">
        <v>-14255.250900000025</v>
      </c>
      <c r="K47" s="340">
        <v>4359.5800100000179</v>
      </c>
      <c r="L47" s="340">
        <v>4284.8532999999989</v>
      </c>
      <c r="M47" s="340">
        <v>9761.2691400000185</v>
      </c>
      <c r="N47" s="340">
        <v>57.954070000036154</v>
      </c>
      <c r="O47" s="340">
        <v>7345.8183899999567</v>
      </c>
      <c r="P47" s="340">
        <v>-18623.041600000011</v>
      </c>
      <c r="Q47" s="250"/>
      <c r="R47" s="250"/>
      <c r="S47" s="321"/>
    </row>
    <row r="48" spans="1:19" ht="13" customHeight="1">
      <c r="B48" s="24" t="str">
        <f>IF('Summary | Sumário'!D$3=Names!B$3,Names!O42,Names!P42)</f>
        <v>Interest expenses</v>
      </c>
      <c r="C48" s="346">
        <v>-256717</v>
      </c>
      <c r="D48" s="346">
        <v>-184335</v>
      </c>
      <c r="E48" s="346">
        <v>-65559</v>
      </c>
      <c r="F48" s="346">
        <v>-86261</v>
      </c>
      <c r="G48" s="346">
        <v>-138587</v>
      </c>
      <c r="H48" s="346">
        <v>-252835</v>
      </c>
      <c r="I48" s="346">
        <v>-336771</v>
      </c>
      <c r="J48" s="346">
        <v>-465041</v>
      </c>
      <c r="K48" s="346">
        <v>-579678</v>
      </c>
      <c r="L48" s="346">
        <v>-591360</v>
      </c>
      <c r="M48" s="346">
        <v>-672771</v>
      </c>
      <c r="N48" s="346">
        <v>-692206</v>
      </c>
      <c r="O48" s="346">
        <v>-770398</v>
      </c>
      <c r="P48" s="346">
        <v>-752198.00500000012</v>
      </c>
      <c r="R48" s="250"/>
    </row>
    <row r="49" spans="2:18" ht="13" customHeight="1">
      <c r="B49" s="209" t="str">
        <f>IF('Summary | Sumário'!D$3=Names!B$3,Names!O51,Names!P51)</f>
        <v>Term deposits</v>
      </c>
      <c r="C49" s="340">
        <v>0</v>
      </c>
      <c r="D49" s="340">
        <v>-93319</v>
      </c>
      <c r="E49" s="340">
        <v>-25065.286</v>
      </c>
      <c r="F49" s="340">
        <v>-45288.006000000001</v>
      </c>
      <c r="G49" s="340">
        <v>-78002.811000000016</v>
      </c>
      <c r="H49" s="340">
        <v>-125884.79399999999</v>
      </c>
      <c r="I49" s="340">
        <v>-177604.02900000001</v>
      </c>
      <c r="J49" s="340">
        <v>-239713.47799999997</v>
      </c>
      <c r="K49" s="340">
        <v>-301469.19900000002</v>
      </c>
      <c r="L49" s="340">
        <v>-310030.12600000005</v>
      </c>
      <c r="M49" s="340">
        <v>-354160.50099999999</v>
      </c>
      <c r="N49" s="340">
        <v>-382393</v>
      </c>
      <c r="O49" s="340">
        <v>-448514</v>
      </c>
      <c r="P49" s="340">
        <v>-446402.49900000007</v>
      </c>
      <c r="R49" s="250"/>
    </row>
    <row r="50" spans="2:18" ht="13" customHeight="1">
      <c r="B50" s="181" t="str">
        <f>IF('Summary | Sumário'!D$3=Names!B$3,Names!O52,Names!P52)</f>
        <v>Open market capture</v>
      </c>
      <c r="C50" s="346">
        <v>0</v>
      </c>
      <c r="D50" s="346">
        <v>-73597</v>
      </c>
      <c r="E50" s="346">
        <v>-34710.417999999998</v>
      </c>
      <c r="F50" s="346">
        <v>-35918.767</v>
      </c>
      <c r="G50" s="346">
        <v>-54855.176000000014</v>
      </c>
      <c r="H50" s="346">
        <v>-105762.47</v>
      </c>
      <c r="I50" s="346">
        <v>-137379.93400000001</v>
      </c>
      <c r="J50" s="346">
        <v>-201195.05099999998</v>
      </c>
      <c r="K50" s="346">
        <v>-197029.07000000007</v>
      </c>
      <c r="L50" s="346">
        <v>-224906.96399999992</v>
      </c>
      <c r="M50" s="346">
        <v>-271695.08500000002</v>
      </c>
      <c r="N50" s="346">
        <v>-260418</v>
      </c>
      <c r="O50" s="346">
        <v>-247243</v>
      </c>
      <c r="P50" s="346">
        <v>-237279.91500000004</v>
      </c>
      <c r="R50" s="250"/>
    </row>
    <row r="51" spans="2:18" ht="13" customHeight="1">
      <c r="B51" s="209" t="str">
        <f>IF('Summary | Sumário'!D$3=Names!B$3,Names!O53,Names!P53)</f>
        <v>Financial institutions deposits</v>
      </c>
      <c r="C51" s="340">
        <v>0</v>
      </c>
      <c r="D51" s="340">
        <v>-5056</v>
      </c>
      <c r="E51" s="340">
        <v>-217.92599999999999</v>
      </c>
      <c r="F51" s="340">
        <v>-795.05899999999997</v>
      </c>
      <c r="G51" s="340">
        <v>-2778.3970000000004</v>
      </c>
      <c r="H51" s="340">
        <v>-4230.7829999999994</v>
      </c>
      <c r="I51" s="340">
        <v>-3835.453</v>
      </c>
      <c r="J51" s="340">
        <v>-3359.3799999999997</v>
      </c>
      <c r="K51" s="340">
        <v>-7428.7410000000018</v>
      </c>
      <c r="L51" s="340">
        <v>-20845.823999999997</v>
      </c>
      <c r="M51" s="340">
        <v>-22276.928</v>
      </c>
      <c r="N51" s="340">
        <v>-24105</v>
      </c>
      <c r="O51" s="340">
        <v>-42409</v>
      </c>
      <c r="P51" s="340">
        <v>-42229.072</v>
      </c>
      <c r="R51" s="250"/>
    </row>
    <row r="52" spans="2:18" ht="13" customHeight="1">
      <c r="B52" s="181" t="str">
        <f>IF('Summary | Sumário'!D$3=Names!B$3,Names!O54,Names!P54)</f>
        <v>Savings</v>
      </c>
      <c r="C52" s="346">
        <v>0</v>
      </c>
      <c r="D52" s="346">
        <v>-8745</v>
      </c>
      <c r="E52" s="346">
        <v>-2737.674</v>
      </c>
      <c r="F52" s="346">
        <v>-4166.7550000000001</v>
      </c>
      <c r="G52" s="346">
        <v>-7301.5100000000011</v>
      </c>
      <c r="H52" s="346">
        <v>-11433.834999999999</v>
      </c>
      <c r="I52" s="346">
        <v>-17702.957999999999</v>
      </c>
      <c r="J52" s="346">
        <v>-19864.777000000002</v>
      </c>
      <c r="K52" s="346">
        <v>-21620.343000000001</v>
      </c>
      <c r="L52" s="346">
        <v>-21805.294000000002</v>
      </c>
      <c r="M52" s="346">
        <v>-22812.173999999999</v>
      </c>
      <c r="N52" s="346">
        <v>-22937</v>
      </c>
      <c r="O52" s="346">
        <v>-24012</v>
      </c>
      <c r="P52" s="346">
        <v>-22164.826000000001</v>
      </c>
      <c r="R52" s="250"/>
    </row>
    <row r="53" spans="2:18" ht="13" customHeight="1">
      <c r="B53" s="209" t="str">
        <f>IF('Summary | Sumário'!D$3=Names!B$3,Names!O55,Names!P55)</f>
        <v xml:space="preserve">Others </v>
      </c>
      <c r="C53" s="340">
        <v>0</v>
      </c>
      <c r="D53" s="340">
        <v>7364.6793500000003</v>
      </c>
      <c r="E53" s="340">
        <v>4018.4669999999996</v>
      </c>
      <c r="F53" s="340">
        <v>2171.27</v>
      </c>
      <c r="G53" s="340">
        <v>6261.3210000000008</v>
      </c>
      <c r="H53" s="340">
        <v>9135.0339999999997</v>
      </c>
      <c r="I53" s="340">
        <v>19991.723699999999</v>
      </c>
      <c r="J53" s="340">
        <v>-14255.250900000025</v>
      </c>
      <c r="K53" s="340">
        <v>4359.5800100000179</v>
      </c>
      <c r="L53" s="340">
        <v>4284.8532999999989</v>
      </c>
      <c r="M53" s="340">
        <v>9761.2691400000185</v>
      </c>
      <c r="N53" s="340">
        <v>57.954070000036154</v>
      </c>
      <c r="O53" s="340">
        <v>7345.8183899999567</v>
      </c>
      <c r="P53" s="340">
        <v>-18623.041600000011</v>
      </c>
      <c r="R53" s="250"/>
    </row>
    <row r="54" spans="2:18" ht="13" customHeight="1">
      <c r="B54" s="24" t="str">
        <f>IF('Summary | Sumário'!D$3=Names!B$3,Names!O56,Names!P56)</f>
        <v>Income from securities and derivatives</v>
      </c>
      <c r="C54" s="346">
        <v>66753</v>
      </c>
      <c r="D54" s="346">
        <v>-42358</v>
      </c>
      <c r="E54" s="346">
        <v>68136</v>
      </c>
      <c r="F54" s="346">
        <v>82897</v>
      </c>
      <c r="G54" s="346">
        <v>218551</v>
      </c>
      <c r="H54" s="346">
        <v>327699</v>
      </c>
      <c r="I54" s="346">
        <v>359022</v>
      </c>
      <c r="J54" s="346">
        <v>403816</v>
      </c>
      <c r="K54" s="346">
        <v>346923</v>
      </c>
      <c r="L54" s="346">
        <v>395860</v>
      </c>
      <c r="M54" s="346">
        <v>371406</v>
      </c>
      <c r="N54" s="346">
        <v>343176</v>
      </c>
      <c r="O54" s="346">
        <v>482020</v>
      </c>
      <c r="P54" s="346">
        <v>349233</v>
      </c>
      <c r="R54" s="250"/>
    </row>
    <row r="55" spans="2:18" ht="13" customHeight="1">
      <c r="B55" s="209" t="str">
        <f>IF('Summary | Sumário'!D$3=Names!B$3,Names!O57,Names!P57)</f>
        <v>Income from securities</v>
      </c>
      <c r="C55" s="340">
        <v>62518</v>
      </c>
      <c r="D55" s="340">
        <v>12060</v>
      </c>
      <c r="E55" s="340">
        <v>88068</v>
      </c>
      <c r="F55" s="340">
        <v>106662</v>
      </c>
      <c r="G55" s="340">
        <v>228420</v>
      </c>
      <c r="H55" s="340">
        <v>322463</v>
      </c>
      <c r="I55" s="340">
        <v>348013</v>
      </c>
      <c r="J55" s="340">
        <v>406846</v>
      </c>
      <c r="K55" s="340">
        <v>340982</v>
      </c>
      <c r="L55" s="340">
        <v>375896</v>
      </c>
      <c r="M55" s="340">
        <v>370924</v>
      </c>
      <c r="N55" s="340">
        <v>402038</v>
      </c>
      <c r="O55" s="340">
        <v>417887</v>
      </c>
      <c r="P55" s="340">
        <v>424259</v>
      </c>
      <c r="R55" s="250"/>
    </row>
    <row r="56" spans="2:18" ht="13" customHeight="1">
      <c r="B56" s="180" t="str">
        <f>IF('Summary | Sumário'!D$3=Names!B$3,Names!O58,Names!P58)</f>
        <v>Fair value throught other comprehensive income</v>
      </c>
      <c r="C56" s="346">
        <v>49230</v>
      </c>
      <c r="D56" s="346">
        <v>-7110</v>
      </c>
      <c r="E56" s="346">
        <v>82568</v>
      </c>
      <c r="F56" s="346">
        <v>86703</v>
      </c>
      <c r="G56" s="346">
        <v>221395</v>
      </c>
      <c r="H56" s="346">
        <v>269918</v>
      </c>
      <c r="I56" s="346">
        <v>272383</v>
      </c>
      <c r="J56" s="346">
        <v>328769</v>
      </c>
      <c r="K56" s="346">
        <v>217653</v>
      </c>
      <c r="L56" s="346">
        <v>282165</v>
      </c>
      <c r="M56" s="346">
        <v>288695</v>
      </c>
      <c r="N56" s="346">
        <v>295458</v>
      </c>
      <c r="O56" s="346">
        <v>333051</v>
      </c>
      <c r="P56" s="346">
        <v>367590</v>
      </c>
      <c r="R56" s="250"/>
    </row>
    <row r="57" spans="2:18" ht="13" customHeight="1">
      <c r="B57" s="179" t="str">
        <f>IF('Summary | Sumário'!D$3=Names!B$3,Names!O59,Names!P59)</f>
        <v>Fair value through proft or loss</v>
      </c>
      <c r="C57" s="340">
        <v>10422</v>
      </c>
      <c r="D57" s="340">
        <v>2021</v>
      </c>
      <c r="E57" s="340">
        <v>-320</v>
      </c>
      <c r="F57" s="340">
        <v>8357</v>
      </c>
      <c r="G57" s="340">
        <v>4751</v>
      </c>
      <c r="H57" s="340">
        <v>-71542</v>
      </c>
      <c r="I57" s="340">
        <v>47341</v>
      </c>
      <c r="J57" s="340">
        <v>35635</v>
      </c>
      <c r="K57" s="340">
        <v>45470</v>
      </c>
      <c r="L57" s="340">
        <v>80954</v>
      </c>
      <c r="M57" s="340">
        <v>39277</v>
      </c>
      <c r="N57" s="340">
        <v>55362</v>
      </c>
      <c r="O57" s="340">
        <v>52227</v>
      </c>
      <c r="P57" s="340">
        <v>47384</v>
      </c>
      <c r="R57" s="250"/>
    </row>
    <row r="58" spans="2:18" ht="13" customHeight="1">
      <c r="B58" s="180" t="str">
        <f>IF('Summary | Sumário'!D$3=Names!B$3,Names!O60,Names!P60)</f>
        <v>Amortized cost</v>
      </c>
      <c r="C58" s="346">
        <v>2866</v>
      </c>
      <c r="D58" s="346">
        <v>17149</v>
      </c>
      <c r="E58" s="346">
        <v>5820</v>
      </c>
      <c r="F58" s="346">
        <v>11602</v>
      </c>
      <c r="G58" s="346">
        <v>2274</v>
      </c>
      <c r="H58" s="346">
        <v>124087</v>
      </c>
      <c r="I58" s="346">
        <v>28289</v>
      </c>
      <c r="J58" s="346">
        <v>42442</v>
      </c>
      <c r="K58" s="346">
        <v>77859</v>
      </c>
      <c r="L58" s="346">
        <v>12777</v>
      </c>
      <c r="M58" s="346">
        <v>42952</v>
      </c>
      <c r="N58" s="346">
        <v>51218</v>
      </c>
      <c r="O58" s="346">
        <v>32609</v>
      </c>
      <c r="P58" s="346">
        <v>9285</v>
      </c>
      <c r="R58" s="250"/>
    </row>
    <row r="59" spans="2:18" ht="13" customHeight="1">
      <c r="B59" s="209" t="str">
        <f>IF('Summary | Sumário'!D$3=Names!B$3,Names!O61,Names!P61)</f>
        <v>Income from derivatives</v>
      </c>
      <c r="C59" s="340">
        <v>4235</v>
      </c>
      <c r="D59" s="340">
        <v>-54418</v>
      </c>
      <c r="E59" s="340">
        <v>-19931.596000000001</v>
      </c>
      <c r="F59" s="340">
        <v>-23765.403999999999</v>
      </c>
      <c r="G59" s="340">
        <v>-9869</v>
      </c>
      <c r="H59" s="340">
        <v>5235.6660000000011</v>
      </c>
      <c r="I59" s="340">
        <v>11009.383000000002</v>
      </c>
      <c r="J59" s="340">
        <v>-3030.3259999999991</v>
      </c>
      <c r="K59" s="340">
        <v>5940.7360000000008</v>
      </c>
      <c r="L59" s="340">
        <v>19964.310000000001</v>
      </c>
      <c r="M59" s="340">
        <v>482.30199999999968</v>
      </c>
      <c r="N59" s="340">
        <v>-58862</v>
      </c>
      <c r="O59" s="340">
        <v>64133.019220000024</v>
      </c>
      <c r="P59" s="340">
        <v>-75026.321220000013</v>
      </c>
      <c r="R59" s="250"/>
    </row>
    <row r="60" spans="2:18" ht="13" customHeight="1">
      <c r="B60" s="180" t="str">
        <f>IF('Summary | Sumário'!D$3=Names!B$3,Names!O62,Names!P62)</f>
        <v>Future contracts dolar</v>
      </c>
      <c r="C60" s="346">
        <v>0</v>
      </c>
      <c r="D60" s="346">
        <v>80</v>
      </c>
      <c r="E60" s="346">
        <v>47</v>
      </c>
      <c r="F60" s="346">
        <v>-27</v>
      </c>
      <c r="G60" s="346">
        <v>-486</v>
      </c>
      <c r="H60" s="346">
        <v>3305.3969999999999</v>
      </c>
      <c r="I60" s="346">
        <v>26420.572</v>
      </c>
      <c r="J60" s="346">
        <v>431.68600000000151</v>
      </c>
      <c r="K60" s="346">
        <v>3805.4429999999993</v>
      </c>
      <c r="L60" s="346">
        <v>4326.760000000002</v>
      </c>
      <c r="M60" s="346">
        <v>13826.72</v>
      </c>
      <c r="N60" s="346">
        <v>7133</v>
      </c>
      <c r="O60" s="346">
        <v>-2828.2197999999735</v>
      </c>
      <c r="P60" s="346">
        <v>15118.499799999972</v>
      </c>
      <c r="R60" s="250"/>
    </row>
    <row r="61" spans="2:18" ht="13" customHeight="1">
      <c r="B61" s="179" t="str">
        <f>IF('Summary | Sumário'!D$3=Names!B$3,Names!O63,Names!P63)</f>
        <v>Fixed-term contracts</v>
      </c>
      <c r="C61" s="340">
        <v>4337</v>
      </c>
      <c r="D61" s="340">
        <v>305</v>
      </c>
      <c r="E61" s="340">
        <v>239.404</v>
      </c>
      <c r="F61" s="340">
        <v>259.596</v>
      </c>
      <c r="G61" s="340">
        <v>165</v>
      </c>
      <c r="H61" s="340">
        <v>8323.2690000000002</v>
      </c>
      <c r="I61" s="340">
        <v>444.61500000000001</v>
      </c>
      <c r="J61" s="340">
        <v>647.42100000000005</v>
      </c>
      <c r="K61" s="340">
        <v>47.963999999999942</v>
      </c>
      <c r="L61" s="340">
        <v>3335.3869999999997</v>
      </c>
      <c r="M61" s="340">
        <v>3045.3519999999999</v>
      </c>
      <c r="N61" s="340">
        <v>-5487</v>
      </c>
      <c r="O61" s="340">
        <v>-824.76097999999956</v>
      </c>
      <c r="P61" s="340">
        <v>821.4089799999997</v>
      </c>
      <c r="R61" s="250"/>
    </row>
    <row r="62" spans="2:18" ht="13" customHeight="1">
      <c r="B62" s="180" t="str">
        <f>IF('Summary | Sumário'!D$3=Names!B$3,Names!O64,Names!P64)</f>
        <v>Futures contrats and swaps</v>
      </c>
      <c r="C62" s="346">
        <v>-102</v>
      </c>
      <c r="D62" s="346">
        <v>-54803</v>
      </c>
      <c r="E62" s="346">
        <v>-20218</v>
      </c>
      <c r="F62" s="346">
        <v>-23998</v>
      </c>
      <c r="G62" s="346">
        <v>-9548</v>
      </c>
      <c r="H62" s="346">
        <v>-6393</v>
      </c>
      <c r="I62" s="346">
        <v>-15855.804</v>
      </c>
      <c r="J62" s="346">
        <v>-4109.4330000000009</v>
      </c>
      <c r="K62" s="346">
        <v>2087.3290000000015</v>
      </c>
      <c r="L62" s="346">
        <v>12302.163</v>
      </c>
      <c r="M62" s="346">
        <v>-16389.77</v>
      </c>
      <c r="N62" s="346">
        <v>-60508</v>
      </c>
      <c r="O62" s="346">
        <v>67786</v>
      </c>
      <c r="P62" s="346">
        <v>-90966.23</v>
      </c>
      <c r="R62" s="250"/>
    </row>
    <row r="63" spans="2:18" ht="13" customHeight="1">
      <c r="B63" s="210" t="str">
        <f>IF('Summary | Sumário'!D$3=Names!B$3,Names!O65,Names!P65)</f>
        <v>Hedge accounting real estate loans</v>
      </c>
      <c r="C63" s="347">
        <v>0</v>
      </c>
      <c r="D63" s="340">
        <v>-70972.398829336977</v>
      </c>
      <c r="E63" s="340">
        <v>-16468.116999999998</v>
      </c>
      <c r="F63" s="340">
        <v>-36410.913999999997</v>
      </c>
      <c r="G63" s="340">
        <v>-2915.415</v>
      </c>
      <c r="H63" s="340">
        <v>-17559.793000000001</v>
      </c>
      <c r="I63" s="340">
        <v>-8323.277</v>
      </c>
      <c r="J63" s="340">
        <v>-14497.851000000001</v>
      </c>
      <c r="K63" s="340">
        <v>-8870.1569999999992</v>
      </c>
      <c r="L63" s="340">
        <v>4105.884</v>
      </c>
      <c r="M63" s="340">
        <v>-5114.3909999999996</v>
      </c>
      <c r="N63" s="340">
        <v>6039.93</v>
      </c>
      <c r="O63" s="340">
        <v>6136.5408399999997</v>
      </c>
      <c r="P63" s="340">
        <v>-16501.901250000003</v>
      </c>
      <c r="R63" s="250"/>
    </row>
    <row r="64" spans="2:18" ht="13" customHeight="1">
      <c r="B64" s="205" t="str">
        <f>IF('Summary | Sumário'!D$3=Names!B$3,Names!O66,Names!P66)</f>
        <v>Hedge accounting from personal loans</v>
      </c>
      <c r="C64" s="348">
        <v>0</v>
      </c>
      <c r="D64" s="346">
        <v>0</v>
      </c>
      <c r="E64" s="346">
        <v>0</v>
      </c>
      <c r="F64" s="346">
        <v>0</v>
      </c>
      <c r="G64" s="346">
        <v>0</v>
      </c>
      <c r="H64" s="346">
        <v>0</v>
      </c>
      <c r="I64" s="346">
        <v>0</v>
      </c>
      <c r="J64" s="346">
        <v>0</v>
      </c>
      <c r="K64" s="346">
        <v>0</v>
      </c>
      <c r="L64" s="346">
        <v>0</v>
      </c>
      <c r="M64" s="346">
        <v>-14277.970720000001</v>
      </c>
      <c r="N64" s="346">
        <v>-65034.58827</v>
      </c>
      <c r="O64" s="346">
        <v>45457.766470000002</v>
      </c>
      <c r="P64" s="346">
        <v>-70951.081309999994</v>
      </c>
      <c r="R64" s="250"/>
    </row>
    <row r="65" spans="1:19" ht="13" customHeight="1">
      <c r="B65" s="210" t="str">
        <f>IF('Summary | Sumário'!D$3=Names!B$3,Names!O67,Names!P67)</f>
        <v>Other results</v>
      </c>
      <c r="C65" s="347">
        <v>0</v>
      </c>
      <c r="D65" s="340">
        <v>16169.398829336977</v>
      </c>
      <c r="E65" s="340">
        <v>-3749.8830000000016</v>
      </c>
      <c r="F65" s="340">
        <v>12412.913999999997</v>
      </c>
      <c r="G65" s="340">
        <v>-6632.585</v>
      </c>
      <c r="H65" s="340">
        <v>11166.793000000001</v>
      </c>
      <c r="I65" s="340">
        <v>-7532.527</v>
      </c>
      <c r="J65" s="340">
        <v>10388.418</v>
      </c>
      <c r="K65" s="340">
        <v>10957.486000000001</v>
      </c>
      <c r="L65" s="340">
        <v>8196.2790000000005</v>
      </c>
      <c r="M65" s="340">
        <v>3002.5917200000004</v>
      </c>
      <c r="N65" s="340">
        <v>-1513.3417300000001</v>
      </c>
      <c r="O65" s="340">
        <v>16191.692689999996</v>
      </c>
      <c r="P65" s="340">
        <v>-3513.2474399999919</v>
      </c>
      <c r="R65" s="250"/>
    </row>
    <row r="66" spans="1:19" ht="13" customHeight="1">
      <c r="A66" s="325"/>
      <c r="B66" s="446" t="str">
        <f>IF('Summary | Sumário'!D$3=Names!B$3,Names!O44,Names!P44)</f>
        <v>Net interest income</v>
      </c>
      <c r="C66" s="447">
        <v>585551</v>
      </c>
      <c r="D66" s="447">
        <v>715962.89517999999</v>
      </c>
      <c r="E66" s="447">
        <v>291580.935</v>
      </c>
      <c r="F66" s="447">
        <v>302295.75100000005</v>
      </c>
      <c r="G66" s="447">
        <v>447369.88</v>
      </c>
      <c r="H66" s="447">
        <v>548221.67999999993</v>
      </c>
      <c r="I66" s="447">
        <v>543410.63199999998</v>
      </c>
      <c r="J66" s="447">
        <v>561087.6370000001</v>
      </c>
      <c r="K66" s="447">
        <v>555587.73100000003</v>
      </c>
      <c r="L66" s="447">
        <v>675343.08199999994</v>
      </c>
      <c r="M66" s="447">
        <v>711561.82200000004</v>
      </c>
      <c r="N66" s="447">
        <v>802075</v>
      </c>
      <c r="O66" s="447">
        <v>818557.08874000004</v>
      </c>
      <c r="P66" s="447">
        <v>875895.08425999992</v>
      </c>
      <c r="Q66" s="329"/>
      <c r="R66" s="250"/>
      <c r="S66" s="321"/>
    </row>
    <row r="67" spans="1:19" s="269" customFormat="1" ht="13" customHeight="1">
      <c r="A67" s="338"/>
      <c r="B67" s="28"/>
      <c r="Q67" s="293"/>
    </row>
    <row r="68" spans="1:19" s="269" customFormat="1" ht="13" customHeight="1">
      <c r="A68" s="338"/>
      <c r="B68" s="83" t="str">
        <f>IF('Summary | Sumário'!D$3=Names!B$3,Names!O91,Names!P91)</f>
        <v>Interest earning credit portfolio</v>
      </c>
      <c r="C68" s="349"/>
      <c r="D68" s="349"/>
      <c r="E68" s="349"/>
      <c r="F68" s="349"/>
      <c r="G68" s="349"/>
      <c r="H68" s="349"/>
      <c r="I68" s="349"/>
      <c r="J68" s="349"/>
      <c r="K68" s="349"/>
      <c r="L68" s="349"/>
      <c r="M68" s="349"/>
      <c r="N68" s="349"/>
      <c r="O68" s="349"/>
      <c r="P68" s="349"/>
      <c r="Q68" s="293"/>
    </row>
    <row r="69" spans="1:19" s="269" customFormat="1" ht="13" customHeight="1">
      <c r="A69" s="338"/>
      <c r="B69" s="412" t="str">
        <f>IF('Summary | Sumário'!D$3=Names!B$3,Names!O91,Names!P91)</f>
        <v>Interest earning credit portfolio</v>
      </c>
      <c r="C69" s="449">
        <f t="shared" ref="C69:O69" si="15">C70+C71+C73+C72+C76+C77</f>
        <v>0</v>
      </c>
      <c r="D69" s="449">
        <f t="shared" si="15"/>
        <v>7115627.8250000002</v>
      </c>
      <c r="E69" s="449">
        <f t="shared" si="15"/>
        <v>8234470.6262999987</v>
      </c>
      <c r="F69" s="449">
        <f t="shared" si="15"/>
        <v>9948556.0610000007</v>
      </c>
      <c r="G69" s="449">
        <f t="shared" si="15"/>
        <v>11676683.932</v>
      </c>
      <c r="H69" s="449">
        <f t="shared" si="15"/>
        <v>13389397.593</v>
      </c>
      <c r="I69" s="449">
        <f t="shared" si="15"/>
        <v>14044371.585999999</v>
      </c>
      <c r="J69" s="449">
        <f t="shared" si="15"/>
        <v>14967442.610000001</v>
      </c>
      <c r="K69" s="449">
        <f t="shared" si="15"/>
        <v>16933115</v>
      </c>
      <c r="L69" s="449">
        <f t="shared" si="15"/>
        <v>19132195</v>
      </c>
      <c r="M69" s="449">
        <f t="shared" si="15"/>
        <v>19449029.387827475</v>
      </c>
      <c r="N69" s="449">
        <f t="shared" si="15"/>
        <v>20570399.767574593</v>
      </c>
      <c r="O69" s="449">
        <f t="shared" si="15"/>
        <v>21520038.353</v>
      </c>
      <c r="P69" s="449">
        <f t="shared" ref="P69" si="16">P70+P71+P73+P72+P76+P77</f>
        <v>23530826.397</v>
      </c>
      <c r="Q69" s="293"/>
    </row>
    <row r="70" spans="1:19" s="269" customFormat="1" ht="13" customHeight="1">
      <c r="A70" s="338"/>
      <c r="B70" s="181" t="str">
        <f>IF('Summary | Sumário'!D$3=Names!B$3,Names!O92,Names!P92)</f>
        <v>Real estate</v>
      </c>
      <c r="C70" s="330">
        <v>0</v>
      </c>
      <c r="D70" s="330">
        <f t="shared" ref="D70:P70" si="17">D6</f>
        <v>3471356</v>
      </c>
      <c r="E70" s="330">
        <f t="shared" si="17"/>
        <v>3925594.9876600001</v>
      </c>
      <c r="F70" s="330">
        <f t="shared" si="17"/>
        <v>4211173</v>
      </c>
      <c r="G70" s="330">
        <f t="shared" si="17"/>
        <v>4703223</v>
      </c>
      <c r="H70" s="330">
        <f t="shared" si="17"/>
        <v>5121411</v>
      </c>
      <c r="I70" s="330">
        <f t="shared" si="17"/>
        <v>5350879</v>
      </c>
      <c r="J70" s="330">
        <f t="shared" si="17"/>
        <v>5647720</v>
      </c>
      <c r="K70" s="330">
        <f t="shared" si="17"/>
        <v>5930070</v>
      </c>
      <c r="L70" s="330">
        <f t="shared" si="17"/>
        <v>6251813</v>
      </c>
      <c r="M70" s="330">
        <f t="shared" si="17"/>
        <v>6616802</v>
      </c>
      <c r="N70" s="330">
        <f t="shared" si="17"/>
        <v>7020433</v>
      </c>
      <c r="O70" s="330">
        <f t="shared" si="17"/>
        <v>7527810</v>
      </c>
      <c r="P70" s="330">
        <f t="shared" si="17"/>
        <v>8583568</v>
      </c>
      <c r="Q70" s="293"/>
    </row>
    <row r="71" spans="1:19" s="269" customFormat="1" ht="13" customHeight="1">
      <c r="A71" s="338"/>
      <c r="B71" s="209" t="str">
        <f>IF('Summary | Sumário'!D$3=Names!B$3,Names!O93,Names!P93)</f>
        <v>Personal</v>
      </c>
      <c r="C71" s="298">
        <v>0</v>
      </c>
      <c r="D71" s="298">
        <f t="shared" ref="D71:P71" si="18">D7</f>
        <v>1653554</v>
      </c>
      <c r="E71" s="298">
        <f t="shared" si="18"/>
        <v>2123654.0038399999</v>
      </c>
      <c r="F71" s="298">
        <f t="shared" si="18"/>
        <v>2620848</v>
      </c>
      <c r="G71" s="298">
        <f t="shared" si="18"/>
        <v>3100640</v>
      </c>
      <c r="H71" s="298">
        <f t="shared" si="18"/>
        <v>3579283</v>
      </c>
      <c r="I71" s="298">
        <f t="shared" si="18"/>
        <v>3936755</v>
      </c>
      <c r="J71" s="298">
        <f t="shared" si="18"/>
        <v>4460508.5</v>
      </c>
      <c r="K71" s="298">
        <f t="shared" si="18"/>
        <v>5057444</v>
      </c>
      <c r="L71" s="298">
        <f t="shared" si="18"/>
        <v>5463781</v>
      </c>
      <c r="M71" s="298">
        <f t="shared" si="18"/>
        <v>6081266</v>
      </c>
      <c r="N71" s="298">
        <f t="shared" si="18"/>
        <v>6500480</v>
      </c>
      <c r="O71" s="298">
        <f t="shared" si="18"/>
        <v>6663058</v>
      </c>
      <c r="P71" s="298">
        <f t="shared" si="18"/>
        <v>7138744</v>
      </c>
      <c r="Q71" s="293"/>
    </row>
    <row r="72" spans="1:19" s="269" customFormat="1" ht="13" customHeight="1">
      <c r="A72" s="338"/>
      <c r="B72" s="181" t="str">
        <f>IF('Summary | Sumário'!D$3=Names!B$3,Names!O94,Names!P94)</f>
        <v>SME</v>
      </c>
      <c r="C72" s="330">
        <v>0</v>
      </c>
      <c r="D72" s="330">
        <f t="shared" ref="D72:P72" si="19">D8</f>
        <v>1582869</v>
      </c>
      <c r="E72" s="330">
        <f t="shared" si="19"/>
        <v>1572378.9388100002</v>
      </c>
      <c r="F72" s="330">
        <f t="shared" si="19"/>
        <v>2153921</v>
      </c>
      <c r="G72" s="330">
        <f t="shared" si="19"/>
        <v>2703302</v>
      </c>
      <c r="H72" s="330">
        <f t="shared" si="19"/>
        <v>3017159</v>
      </c>
      <c r="I72" s="330">
        <f t="shared" si="19"/>
        <v>2929546</v>
      </c>
      <c r="J72" s="330">
        <f t="shared" si="19"/>
        <v>2905002.5</v>
      </c>
      <c r="K72" s="330">
        <f t="shared" si="19"/>
        <v>2978792</v>
      </c>
      <c r="L72" s="330">
        <f t="shared" si="19"/>
        <v>3392500</v>
      </c>
      <c r="M72" s="330">
        <f t="shared" si="19"/>
        <v>3110840</v>
      </c>
      <c r="N72" s="330">
        <f t="shared" si="19"/>
        <v>3215316</v>
      </c>
      <c r="O72" s="330">
        <f t="shared" si="19"/>
        <v>3438526</v>
      </c>
      <c r="P72" s="330">
        <f t="shared" si="19"/>
        <v>3855754</v>
      </c>
      <c r="Q72" s="293"/>
    </row>
    <row r="73" spans="1:19" s="269" customFormat="1" ht="13" customHeight="1">
      <c r="A73" s="338"/>
      <c r="B73" s="209" t="str">
        <f>IF('Summary | Sumário'!D$3=Names!B$3,Names!O95,Names!P95)</f>
        <v>Interest earning credit card portfolio</v>
      </c>
      <c r="C73" s="298">
        <v>0</v>
      </c>
      <c r="D73" s="298">
        <f>D74-D75</f>
        <v>230211.82499999995</v>
      </c>
      <c r="E73" s="298">
        <f t="shared" ref="E73:O73" si="20">E74-E75</f>
        <v>310705.48867999995</v>
      </c>
      <c r="F73" s="298">
        <f t="shared" si="20"/>
        <v>466529</v>
      </c>
      <c r="G73" s="298">
        <f t="shared" si="20"/>
        <v>526729</v>
      </c>
      <c r="H73" s="298">
        <f t="shared" si="20"/>
        <v>676005</v>
      </c>
      <c r="I73" s="298">
        <f t="shared" si="20"/>
        <v>836644</v>
      </c>
      <c r="J73" s="298">
        <f t="shared" si="20"/>
        <v>1084285.4000000004</v>
      </c>
      <c r="K73" s="298">
        <f t="shared" si="20"/>
        <v>1309633</v>
      </c>
      <c r="L73" s="298">
        <f t="shared" si="20"/>
        <v>1458767</v>
      </c>
      <c r="M73" s="298">
        <f t="shared" si="20"/>
        <v>1592763.3878274746</v>
      </c>
      <c r="N73" s="298">
        <f t="shared" si="20"/>
        <v>1777050.7675745916</v>
      </c>
      <c r="O73" s="298">
        <f t="shared" si="20"/>
        <v>1911434.3529999992</v>
      </c>
      <c r="P73" s="298">
        <f t="shared" ref="P73" si="21">P74-P75</f>
        <v>1971266.3970000008</v>
      </c>
      <c r="Q73" s="293"/>
      <c r="S73" s="484"/>
    </row>
    <row r="74" spans="1:19" s="269" customFormat="1" ht="13" customHeight="1">
      <c r="A74" s="338"/>
      <c r="B74" s="206" t="str">
        <f>IF('Summary | Sumário'!D$3=Names!B$3,Names!O96,Names!P96)</f>
        <v>Credit cards</v>
      </c>
      <c r="C74" s="330">
        <v>0</v>
      </c>
      <c r="D74" s="330">
        <f t="shared" ref="D74:P74" si="22">D9</f>
        <v>1904642</v>
      </c>
      <c r="E74" s="330">
        <f t="shared" si="22"/>
        <v>2404920.48868</v>
      </c>
      <c r="F74" s="330">
        <f t="shared" si="22"/>
        <v>3116734</v>
      </c>
      <c r="G74" s="330">
        <f t="shared" si="22"/>
        <v>3807684</v>
      </c>
      <c r="H74" s="330">
        <f t="shared" si="22"/>
        <v>4798318</v>
      </c>
      <c r="I74" s="330">
        <f t="shared" si="22"/>
        <v>5315930</v>
      </c>
      <c r="J74" s="330">
        <f t="shared" si="22"/>
        <v>5981406.4000000004</v>
      </c>
      <c r="K74" s="330">
        <f t="shared" si="22"/>
        <v>6411572</v>
      </c>
      <c r="L74" s="330">
        <f t="shared" si="22"/>
        <v>6870565</v>
      </c>
      <c r="M74" s="330">
        <f t="shared" si="22"/>
        <v>7273032</v>
      </c>
      <c r="N74" s="330">
        <f t="shared" si="22"/>
        <v>7681011</v>
      </c>
      <c r="O74" s="330">
        <f t="shared" si="22"/>
        <v>8650139</v>
      </c>
      <c r="P74" s="330">
        <f t="shared" si="22"/>
        <v>9461277</v>
      </c>
      <c r="Q74" s="293"/>
    </row>
    <row r="75" spans="1:19" s="269" customFormat="1" ht="13" customHeight="1">
      <c r="A75" s="338"/>
      <c r="B75" s="88" t="str">
        <f>IF('Summary | Sumário'!D$3=Names!B$3,Names!O97,Names!P97)</f>
        <v>(-) Transactor</v>
      </c>
      <c r="C75" s="298">
        <f t="shared" ref="C75:O75" si="23">C35</f>
        <v>0</v>
      </c>
      <c r="D75" s="298">
        <f t="shared" si="23"/>
        <v>1674430.175</v>
      </c>
      <c r="E75" s="298">
        <f t="shared" si="23"/>
        <v>2094215</v>
      </c>
      <c r="F75" s="298">
        <f t="shared" si="23"/>
        <v>2650205</v>
      </c>
      <c r="G75" s="298">
        <f t="shared" si="23"/>
        <v>3280955</v>
      </c>
      <c r="H75" s="298">
        <f t="shared" si="23"/>
        <v>4122313</v>
      </c>
      <c r="I75" s="298">
        <f t="shared" si="23"/>
        <v>4479286</v>
      </c>
      <c r="J75" s="298">
        <f t="shared" si="23"/>
        <v>4897121</v>
      </c>
      <c r="K75" s="298">
        <f t="shared" si="23"/>
        <v>5101939</v>
      </c>
      <c r="L75" s="298">
        <f t="shared" si="23"/>
        <v>5411798</v>
      </c>
      <c r="M75" s="298">
        <f t="shared" si="23"/>
        <v>5680268.6121725254</v>
      </c>
      <c r="N75" s="298">
        <f t="shared" si="23"/>
        <v>5903960.2324254084</v>
      </c>
      <c r="O75" s="298">
        <f t="shared" si="23"/>
        <v>6738704.6470000008</v>
      </c>
      <c r="P75" s="298">
        <f t="shared" ref="P75" si="24">P35</f>
        <v>7490010.6029999992</v>
      </c>
      <c r="Q75" s="293"/>
    </row>
    <row r="76" spans="1:19" s="269" customFormat="1" ht="13" customHeight="1">
      <c r="A76" s="338"/>
      <c r="B76" s="181" t="str">
        <f>IF('Summary | Sumário'!D$3=Names!B$3,Names!O98,Names!P98)</f>
        <v>Agribusiness</v>
      </c>
      <c r="C76" s="330">
        <f t="shared" ref="C76:P76" si="25">C10</f>
        <v>0</v>
      </c>
      <c r="D76" s="330">
        <f t="shared" si="25"/>
        <v>177637</v>
      </c>
      <c r="E76" s="330">
        <f t="shared" si="25"/>
        <v>216360.92530999999</v>
      </c>
      <c r="F76" s="330">
        <f t="shared" si="25"/>
        <v>424570</v>
      </c>
      <c r="G76" s="330">
        <f t="shared" si="25"/>
        <v>545234</v>
      </c>
      <c r="H76" s="330">
        <f t="shared" si="25"/>
        <v>700191</v>
      </c>
      <c r="I76" s="330">
        <f t="shared" si="25"/>
        <v>643194</v>
      </c>
      <c r="J76" s="330">
        <f t="shared" si="25"/>
        <v>490009</v>
      </c>
      <c r="K76" s="330">
        <f t="shared" si="25"/>
        <v>627390</v>
      </c>
      <c r="L76" s="330">
        <f t="shared" si="25"/>
        <v>719669</v>
      </c>
      <c r="M76" s="330">
        <f t="shared" si="25"/>
        <v>750934</v>
      </c>
      <c r="N76" s="330">
        <f t="shared" si="25"/>
        <v>724143</v>
      </c>
      <c r="O76" s="330">
        <f t="shared" si="25"/>
        <v>764068</v>
      </c>
      <c r="P76" s="330">
        <f t="shared" si="25"/>
        <v>744958</v>
      </c>
      <c r="Q76" s="293"/>
    </row>
    <row r="77" spans="1:19" s="269" customFormat="1" ht="13" customHeight="1">
      <c r="A77" s="338"/>
      <c r="B77" s="209" t="str">
        <f>IF('Summary | Sumário'!D$3=Names!B$3,Names!O99,Names!P99)</f>
        <v>Prepayment of receivables</v>
      </c>
      <c r="C77" s="298">
        <f t="shared" ref="C77:P77" si="26">C11</f>
        <v>0</v>
      </c>
      <c r="D77" s="298">
        <f t="shared" si="26"/>
        <v>0</v>
      </c>
      <c r="E77" s="298">
        <f t="shared" si="26"/>
        <v>85776.282000000007</v>
      </c>
      <c r="F77" s="298">
        <f t="shared" si="26"/>
        <v>71515.061000000002</v>
      </c>
      <c r="G77" s="298">
        <f t="shared" si="26"/>
        <v>97555.932000000001</v>
      </c>
      <c r="H77" s="298">
        <f t="shared" si="26"/>
        <v>295348.59299999999</v>
      </c>
      <c r="I77" s="298">
        <f t="shared" si="26"/>
        <v>347353.58600000001</v>
      </c>
      <c r="J77" s="298">
        <f t="shared" si="26"/>
        <v>379917.21</v>
      </c>
      <c r="K77" s="298">
        <f t="shared" si="26"/>
        <v>1029786.0000000001</v>
      </c>
      <c r="L77" s="298">
        <f t="shared" si="26"/>
        <v>1845665</v>
      </c>
      <c r="M77" s="298">
        <f t="shared" si="26"/>
        <v>1296424</v>
      </c>
      <c r="N77" s="298">
        <f t="shared" si="26"/>
        <v>1332977</v>
      </c>
      <c r="O77" s="298">
        <f t="shared" si="26"/>
        <v>1215142</v>
      </c>
      <c r="P77" s="298">
        <f t="shared" si="26"/>
        <v>1236536</v>
      </c>
      <c r="Q77" s="293"/>
    </row>
    <row r="78" spans="1:19" s="269" customFormat="1" ht="13" customHeight="1">
      <c r="A78" s="338"/>
      <c r="B78" s="202"/>
      <c r="C78" s="349"/>
      <c r="D78" s="349"/>
      <c r="E78" s="349"/>
      <c r="F78" s="349"/>
      <c r="G78" s="349"/>
      <c r="H78" s="349"/>
      <c r="I78" s="349"/>
      <c r="J78" s="349"/>
      <c r="K78" s="349"/>
      <c r="L78" s="349"/>
      <c r="M78" s="349"/>
      <c r="N78" s="349"/>
      <c r="O78" s="349"/>
      <c r="P78" s="349"/>
      <c r="Q78" s="293"/>
      <c r="R78" s="485"/>
    </row>
    <row r="79" spans="1:19" ht="13" customHeight="1">
      <c r="A79" s="325"/>
      <c r="B79" s="81" t="str">
        <f>IF('Summary | Sumário'!D$3=Names!B$3,Names!O69,Names!P69)</f>
        <v>Loan interest income including hedge accounting results</v>
      </c>
      <c r="R79" s="250"/>
    </row>
    <row r="80" spans="1:19" ht="13" customHeight="1">
      <c r="B80" s="438" t="str">
        <f>IF('Summary | Sumário'!D$3=Names!B$3,Names!O70,Names!P70)</f>
        <v>Loan interest income including hedge accounting results</v>
      </c>
      <c r="C80" s="439">
        <f t="shared" ref="C80:N80" si="27">C81+C84+C87+C88+C89+C90</f>
        <v>0</v>
      </c>
      <c r="D80" s="439">
        <f t="shared" si="27"/>
        <v>745064.49635066302</v>
      </c>
      <c r="E80" s="439">
        <f t="shared" si="27"/>
        <v>258108.114</v>
      </c>
      <c r="F80" s="439">
        <f t="shared" si="27"/>
        <v>261301.95699999999</v>
      </c>
      <c r="G80" s="439">
        <f t="shared" si="27"/>
        <v>339858.80899999995</v>
      </c>
      <c r="H80" s="439">
        <f t="shared" si="27"/>
        <v>431697.68899999995</v>
      </c>
      <c r="I80" s="439">
        <f t="shared" si="27"/>
        <v>482698.20099999994</v>
      </c>
      <c r="J80" s="439">
        <f t="shared" si="27"/>
        <v>576000.12900000007</v>
      </c>
      <c r="K80" s="439">
        <f t="shared" si="27"/>
        <v>701072.71200000006</v>
      </c>
      <c r="L80" s="439">
        <f t="shared" si="27"/>
        <v>794165.20000000007</v>
      </c>
      <c r="M80" s="439">
        <f t="shared" si="27"/>
        <v>896065.98127999995</v>
      </c>
      <c r="N80" s="439">
        <f t="shared" si="27"/>
        <v>977359.34172999999</v>
      </c>
      <c r="O80" s="439">
        <f>O81+O84+O87+O88+O89+O90</f>
        <v>1011039.39605</v>
      </c>
      <c r="P80" s="439">
        <f>P81+P84+P87+P88+P89+P90</f>
        <v>1054262.5856999997</v>
      </c>
      <c r="R80" s="261"/>
      <c r="S80" s="298"/>
    </row>
    <row r="81" spans="2:16" ht="13" customHeight="1">
      <c r="B81" s="209" t="str">
        <f>IF('Summary | Sumário'!D$3=Names!B$3,Names!O71,Names!P71)</f>
        <v>Real estate net of hedge accounting</v>
      </c>
      <c r="C81" s="340">
        <f>C82+C83</f>
        <v>0</v>
      </c>
      <c r="D81" s="340">
        <f t="shared" ref="D81:O81" si="28">D82+D83</f>
        <v>364047.24736066308</v>
      </c>
      <c r="E81" s="340">
        <f t="shared" si="28"/>
        <v>122829.734</v>
      </c>
      <c r="F81" s="340">
        <f t="shared" si="28"/>
        <v>99909.904999999999</v>
      </c>
      <c r="G81" s="340">
        <f t="shared" si="28"/>
        <v>138366.29499999998</v>
      </c>
      <c r="H81" s="340">
        <f t="shared" si="28"/>
        <v>145046.08900000001</v>
      </c>
      <c r="I81" s="340">
        <f t="shared" si="28"/>
        <v>155160.64770999999</v>
      </c>
      <c r="J81" s="340">
        <f t="shared" si="28"/>
        <v>194074.39667999998</v>
      </c>
      <c r="K81" s="340">
        <f t="shared" si="28"/>
        <v>160131.83665000004</v>
      </c>
      <c r="L81" s="340">
        <f t="shared" si="28"/>
        <v>177059.14390999998</v>
      </c>
      <c r="M81" s="340">
        <f t="shared" si="28"/>
        <v>215435.45587999999</v>
      </c>
      <c r="N81" s="340">
        <f t="shared" si="28"/>
        <v>236226.77327000001</v>
      </c>
      <c r="O81" s="340">
        <f t="shared" si="28"/>
        <v>216442.19209</v>
      </c>
      <c r="P81" s="340">
        <f t="shared" ref="P81" si="29">P82+P83</f>
        <v>248355.75734999997</v>
      </c>
    </row>
    <row r="82" spans="2:16" ht="13" customHeight="1">
      <c r="B82" s="206" t="str">
        <f>IF('Summary | Sumário'!D$3=Names!B$3,Names!O72,Names!P72)</f>
        <v>Real estate</v>
      </c>
      <c r="C82" s="346">
        <f t="shared" ref="C82:O82" si="30">C41</f>
        <v>0</v>
      </c>
      <c r="D82" s="346">
        <f t="shared" si="30"/>
        <v>435019.64619000006</v>
      </c>
      <c r="E82" s="346">
        <f t="shared" si="30"/>
        <v>139297.851</v>
      </c>
      <c r="F82" s="346">
        <f t="shared" si="30"/>
        <v>136320.81899999999</v>
      </c>
      <c r="G82" s="346">
        <f t="shared" si="30"/>
        <v>141281.71</v>
      </c>
      <c r="H82" s="346">
        <f t="shared" si="30"/>
        <v>162605.88200000001</v>
      </c>
      <c r="I82" s="346">
        <f t="shared" si="30"/>
        <v>163483.92470999999</v>
      </c>
      <c r="J82" s="346">
        <f t="shared" si="30"/>
        <v>208572.24767999997</v>
      </c>
      <c r="K82" s="346">
        <f t="shared" si="30"/>
        <v>169001.99365000005</v>
      </c>
      <c r="L82" s="346">
        <f t="shared" si="30"/>
        <v>172953.25990999999</v>
      </c>
      <c r="M82" s="346">
        <f t="shared" si="30"/>
        <v>220549.84688</v>
      </c>
      <c r="N82" s="346">
        <f t="shared" si="30"/>
        <v>230186.84327000001</v>
      </c>
      <c r="O82" s="346">
        <f t="shared" si="30"/>
        <v>210305.65125</v>
      </c>
      <c r="P82" s="346">
        <f t="shared" ref="P82" si="31">P41</f>
        <v>264857.65859999997</v>
      </c>
    </row>
    <row r="83" spans="2:16" ht="13" customHeight="1">
      <c r="B83" s="88" t="str">
        <f>IF('Summary | Sumário'!D$3=Names!B$3,Names!O73,Names!P73)</f>
        <v>(+) Hedge accounting from real estate loans</v>
      </c>
      <c r="C83" s="340">
        <f t="shared" ref="C83:O83" si="32">C63</f>
        <v>0</v>
      </c>
      <c r="D83" s="340">
        <f t="shared" si="32"/>
        <v>-70972.398829336977</v>
      </c>
      <c r="E83" s="340">
        <f t="shared" si="32"/>
        <v>-16468.116999999998</v>
      </c>
      <c r="F83" s="340">
        <f t="shared" si="32"/>
        <v>-36410.913999999997</v>
      </c>
      <c r="G83" s="340">
        <f t="shared" si="32"/>
        <v>-2915.415</v>
      </c>
      <c r="H83" s="340">
        <f t="shared" si="32"/>
        <v>-17559.793000000001</v>
      </c>
      <c r="I83" s="340">
        <f t="shared" si="32"/>
        <v>-8323.277</v>
      </c>
      <c r="J83" s="340">
        <f t="shared" si="32"/>
        <v>-14497.851000000001</v>
      </c>
      <c r="K83" s="340">
        <f t="shared" si="32"/>
        <v>-8870.1569999999992</v>
      </c>
      <c r="L83" s="340">
        <f t="shared" si="32"/>
        <v>4105.884</v>
      </c>
      <c r="M83" s="340">
        <f t="shared" si="32"/>
        <v>-5114.3909999999996</v>
      </c>
      <c r="N83" s="340">
        <f t="shared" si="32"/>
        <v>6039.93</v>
      </c>
      <c r="O83" s="340">
        <f t="shared" si="32"/>
        <v>6136.5408399999997</v>
      </c>
      <c r="P83" s="340">
        <f t="shared" ref="P83" si="33">P63</f>
        <v>-16501.901250000003</v>
      </c>
    </row>
    <row r="84" spans="2:16" ht="13" customHeight="1">
      <c r="B84" s="181" t="str">
        <f>IF('Summary | Sumário'!D$3=Names!B$3,Names!O74,Names!P74)</f>
        <v>Personal net of hedge accounting</v>
      </c>
      <c r="C84" s="346">
        <f>C85+C86</f>
        <v>0</v>
      </c>
      <c r="D84" s="346">
        <f t="shared" ref="D84:O84" si="34">D85+D86</f>
        <v>194589.16927000001</v>
      </c>
      <c r="E84" s="346">
        <f t="shared" si="34"/>
        <v>63981.644999999997</v>
      </c>
      <c r="F84" s="346">
        <f t="shared" si="34"/>
        <v>73178.934000000008</v>
      </c>
      <c r="G84" s="346">
        <f t="shared" si="34"/>
        <v>85052.814000000013</v>
      </c>
      <c r="H84" s="346">
        <f t="shared" si="34"/>
        <v>97242.27900000001</v>
      </c>
      <c r="I84" s="346">
        <f t="shared" si="34"/>
        <v>108222.83400999999</v>
      </c>
      <c r="J84" s="346">
        <f t="shared" si="34"/>
        <v>133460.16244000001</v>
      </c>
      <c r="K84" s="346">
        <f t="shared" si="34"/>
        <v>159493.41924999998</v>
      </c>
      <c r="L84" s="346">
        <f t="shared" si="34"/>
        <v>182021.28234999996</v>
      </c>
      <c r="M84" s="346">
        <f t="shared" si="34"/>
        <v>209198.23068999997</v>
      </c>
      <c r="N84" s="346">
        <f t="shared" si="34"/>
        <v>253833.49125999992</v>
      </c>
      <c r="O84" s="346">
        <f t="shared" si="34"/>
        <v>261285.72764000003</v>
      </c>
      <c r="P84" s="346">
        <f t="shared" ref="P84" si="35">P85+P86</f>
        <v>288346.67658000003</v>
      </c>
    </row>
    <row r="85" spans="2:16" ht="13" customHeight="1">
      <c r="B85" s="88" t="str">
        <f>IF('Summary | Sumário'!D$3=Names!B$3,Names!O75,Names!P75)</f>
        <v>Personal</v>
      </c>
      <c r="C85" s="340">
        <f t="shared" ref="C85:O85" si="36">C42</f>
        <v>0</v>
      </c>
      <c r="D85" s="340">
        <f t="shared" si="36"/>
        <v>194589.16927000001</v>
      </c>
      <c r="E85" s="340">
        <f t="shared" si="36"/>
        <v>63981.644999999997</v>
      </c>
      <c r="F85" s="340">
        <f t="shared" si="36"/>
        <v>73178.934000000008</v>
      </c>
      <c r="G85" s="340">
        <f t="shared" si="36"/>
        <v>85052.814000000013</v>
      </c>
      <c r="H85" s="340">
        <f t="shared" si="36"/>
        <v>97242.27900000001</v>
      </c>
      <c r="I85" s="340">
        <f t="shared" si="36"/>
        <v>108222.83400999999</v>
      </c>
      <c r="J85" s="340">
        <f t="shared" si="36"/>
        <v>133460.16244000001</v>
      </c>
      <c r="K85" s="340">
        <f t="shared" si="36"/>
        <v>159493.41924999998</v>
      </c>
      <c r="L85" s="340">
        <f t="shared" si="36"/>
        <v>182021.28234999996</v>
      </c>
      <c r="M85" s="340">
        <f t="shared" si="36"/>
        <v>223476.20140999998</v>
      </c>
      <c r="N85" s="340">
        <f t="shared" si="36"/>
        <v>318868.07952999993</v>
      </c>
      <c r="O85" s="340">
        <f t="shared" si="36"/>
        <v>215827.96117000002</v>
      </c>
      <c r="P85" s="340">
        <f t="shared" ref="P85" si="37">P42</f>
        <v>359297.75789000001</v>
      </c>
    </row>
    <row r="86" spans="2:16" ht="13" customHeight="1">
      <c r="B86" s="206" t="str">
        <f>IF('Summary | Sumário'!D$3=Names!B$3,Names!O76,Names!P76)</f>
        <v>(+) Hedge accounting from personal loans</v>
      </c>
      <c r="C86" s="346">
        <f>C64</f>
        <v>0</v>
      </c>
      <c r="D86" s="346">
        <f t="shared" ref="D86:O86" si="38">D64</f>
        <v>0</v>
      </c>
      <c r="E86" s="346">
        <f t="shared" si="38"/>
        <v>0</v>
      </c>
      <c r="F86" s="346">
        <f t="shared" si="38"/>
        <v>0</v>
      </c>
      <c r="G86" s="346">
        <f t="shared" si="38"/>
        <v>0</v>
      </c>
      <c r="H86" s="346">
        <f t="shared" si="38"/>
        <v>0</v>
      </c>
      <c r="I86" s="346">
        <f t="shared" si="38"/>
        <v>0</v>
      </c>
      <c r="J86" s="346">
        <f t="shared" si="38"/>
        <v>0</v>
      </c>
      <c r="K86" s="346">
        <f t="shared" si="38"/>
        <v>0</v>
      </c>
      <c r="L86" s="346">
        <f t="shared" si="38"/>
        <v>0</v>
      </c>
      <c r="M86" s="346">
        <f t="shared" si="38"/>
        <v>-14277.970720000001</v>
      </c>
      <c r="N86" s="346">
        <f t="shared" si="38"/>
        <v>-65034.58827</v>
      </c>
      <c r="O86" s="346">
        <f t="shared" si="38"/>
        <v>45457.766470000002</v>
      </c>
      <c r="P86" s="346">
        <f t="shared" ref="P86" si="39">P64</f>
        <v>-70951.081309999994</v>
      </c>
    </row>
    <row r="87" spans="2:16" ht="13" customHeight="1">
      <c r="B87" s="209" t="str">
        <f>IF('Summary | Sumário'!D$3=Names!B$3,Names!O77,Names!P77)</f>
        <v>SME</v>
      </c>
      <c r="C87" s="340">
        <f t="shared" ref="C87:O87" si="40">C43</f>
        <v>0</v>
      </c>
      <c r="D87" s="340">
        <f t="shared" si="40"/>
        <v>59990.754910000003</v>
      </c>
      <c r="E87" s="340">
        <f t="shared" si="40"/>
        <v>20454.21</v>
      </c>
      <c r="F87" s="340">
        <f t="shared" si="40"/>
        <v>37744.78</v>
      </c>
      <c r="G87" s="340">
        <f t="shared" si="40"/>
        <v>42772.136999999988</v>
      </c>
      <c r="H87" s="340">
        <f t="shared" si="40"/>
        <v>85160.73000000001</v>
      </c>
      <c r="I87" s="340">
        <f t="shared" si="40"/>
        <v>84615.255999999994</v>
      </c>
      <c r="J87" s="340">
        <f t="shared" si="40"/>
        <v>107134.802</v>
      </c>
      <c r="K87" s="340">
        <f t="shared" si="40"/>
        <v>112397.92600000002</v>
      </c>
      <c r="L87" s="340">
        <f t="shared" si="40"/>
        <v>146502.258</v>
      </c>
      <c r="M87" s="340">
        <f t="shared" si="40"/>
        <v>124265.87599999999</v>
      </c>
      <c r="N87" s="340">
        <f t="shared" si="40"/>
        <v>120750</v>
      </c>
      <c r="O87" s="340">
        <f t="shared" si="40"/>
        <v>131787.38165</v>
      </c>
      <c r="P87" s="340">
        <f>P43+200</f>
        <v>145325.74235000001</v>
      </c>
    </row>
    <row r="88" spans="2:16" ht="13" customHeight="1">
      <c r="B88" s="181" t="str">
        <f>IF('Summary | Sumário'!D$3=Names!B$3,Names!O78,Names!P78)</f>
        <v>Credit Cards</v>
      </c>
      <c r="C88" s="346">
        <f t="shared" ref="C88:O88" si="41">C44</f>
        <v>0</v>
      </c>
      <c r="D88" s="346">
        <f t="shared" si="41"/>
        <v>118278.86974999998</v>
      </c>
      <c r="E88" s="346">
        <f t="shared" si="41"/>
        <v>44269.502</v>
      </c>
      <c r="F88" s="346">
        <f t="shared" si="41"/>
        <v>45538.873</v>
      </c>
      <c r="G88" s="346">
        <f t="shared" si="41"/>
        <v>66073.068999999989</v>
      </c>
      <c r="H88" s="346">
        <f t="shared" si="41"/>
        <v>89218.963000000018</v>
      </c>
      <c r="I88" s="346">
        <f t="shared" si="41"/>
        <v>109464.90658000001</v>
      </c>
      <c r="J88" s="346">
        <f t="shared" si="41"/>
        <v>137867.95378000001</v>
      </c>
      <c r="K88" s="346">
        <f t="shared" si="41"/>
        <v>231785.95109000002</v>
      </c>
      <c r="L88" s="346">
        <f t="shared" si="41"/>
        <v>238458.28143999999</v>
      </c>
      <c r="M88" s="346">
        <f t="shared" si="41"/>
        <v>272598.95357000001</v>
      </c>
      <c r="N88" s="346">
        <f t="shared" si="41"/>
        <v>306514.12313000002</v>
      </c>
      <c r="O88" s="346">
        <f t="shared" si="41"/>
        <v>333795.27627999999</v>
      </c>
      <c r="P88" s="346">
        <f>P44</f>
        <v>333580.64701999992</v>
      </c>
    </row>
    <row r="89" spans="2:16" ht="13" customHeight="1">
      <c r="B89" s="209" t="str">
        <f>IF('Summary | Sumário'!D$3=Names!B$3,Names!O80,Names!P80)</f>
        <v>Prepayment of receivables</v>
      </c>
      <c r="C89" s="340">
        <f t="shared" ref="C89:O89" si="42">C45</f>
        <v>0</v>
      </c>
      <c r="D89" s="340">
        <f t="shared" si="42"/>
        <v>793.77571</v>
      </c>
      <c r="E89" s="340">
        <f t="shared" si="42"/>
        <v>2554.556</v>
      </c>
      <c r="F89" s="340">
        <f t="shared" si="42"/>
        <v>2758.1950000000002</v>
      </c>
      <c r="G89" s="340">
        <f t="shared" si="42"/>
        <v>1333.1729999999998</v>
      </c>
      <c r="H89" s="340">
        <f t="shared" si="42"/>
        <v>5894.594000000001</v>
      </c>
      <c r="I89" s="340">
        <f t="shared" si="42"/>
        <v>5242.8329999999996</v>
      </c>
      <c r="J89" s="340">
        <f t="shared" si="42"/>
        <v>17718.065000000002</v>
      </c>
      <c r="K89" s="340">
        <f t="shared" si="42"/>
        <v>32903.998999999996</v>
      </c>
      <c r="L89" s="340">
        <f t="shared" si="42"/>
        <v>45839.381000000008</v>
      </c>
      <c r="M89" s="340">
        <f t="shared" si="42"/>
        <v>64806.196000000004</v>
      </c>
      <c r="N89" s="340">
        <f t="shared" si="42"/>
        <v>59977</v>
      </c>
      <c r="O89" s="340">
        <f t="shared" si="42"/>
        <v>60383</v>
      </c>
      <c r="P89" s="340">
        <f t="shared" ref="P89" si="43">P45</f>
        <v>57276.804000000004</v>
      </c>
    </row>
    <row r="90" spans="2:16" ht="14" customHeight="1">
      <c r="B90" s="181" t="str">
        <f>IF('Summary | Sumário'!D$3=Names!B$3,Names!O41,Names!P41)</f>
        <v xml:space="preserve">Others </v>
      </c>
      <c r="C90" s="346">
        <f>C47</f>
        <v>0</v>
      </c>
      <c r="D90" s="346">
        <f t="shared" ref="D90:O90" si="44">D47</f>
        <v>7364.6793500000003</v>
      </c>
      <c r="E90" s="346">
        <f t="shared" si="44"/>
        <v>4018.4669999999996</v>
      </c>
      <c r="F90" s="346">
        <f t="shared" si="44"/>
        <v>2171.27</v>
      </c>
      <c r="G90" s="346">
        <f t="shared" si="44"/>
        <v>6261.3210000000008</v>
      </c>
      <c r="H90" s="346">
        <f t="shared" si="44"/>
        <v>9135.0339999999997</v>
      </c>
      <c r="I90" s="346">
        <f t="shared" si="44"/>
        <v>19991.723699999999</v>
      </c>
      <c r="J90" s="346">
        <f t="shared" si="44"/>
        <v>-14255.250900000025</v>
      </c>
      <c r="K90" s="346">
        <f t="shared" si="44"/>
        <v>4359.5800100000179</v>
      </c>
      <c r="L90" s="346">
        <f t="shared" si="44"/>
        <v>4284.8532999999989</v>
      </c>
      <c r="M90" s="346">
        <f t="shared" si="44"/>
        <v>9761.2691400000185</v>
      </c>
      <c r="N90" s="346">
        <f t="shared" si="44"/>
        <v>57.954070000036154</v>
      </c>
      <c r="O90" s="346">
        <f t="shared" si="44"/>
        <v>7345.8183899999567</v>
      </c>
      <c r="P90" s="346">
        <f t="shared" ref="P90" si="45">P47</f>
        <v>-18623.041600000011</v>
      </c>
    </row>
    <row r="92" spans="2:16" ht="13" customHeight="1">
      <c r="B92" s="83" t="str">
        <f>IF('Summary | Sumário'!D$3=Names!B$3,Names!O82,Names!P82)</f>
        <v>Implied rates</v>
      </c>
      <c r="C92" s="285"/>
      <c r="D92" s="285"/>
      <c r="E92" s="285"/>
      <c r="F92" s="285"/>
      <c r="G92" s="285"/>
      <c r="H92" s="285"/>
      <c r="I92" s="285"/>
      <c r="J92" s="285"/>
      <c r="K92" s="285"/>
      <c r="L92" s="285"/>
      <c r="M92" s="285"/>
      <c r="N92" s="285"/>
      <c r="O92" s="285"/>
      <c r="P92" s="285"/>
    </row>
    <row r="93" spans="2:16" ht="13" customHeight="1">
      <c r="B93" s="441" t="str">
        <f>IF('Summary | Sumário'!D$3=Names!B$3,Names!O83,Names!P83)</f>
        <v>All-in rate (%)</v>
      </c>
      <c r="C93" s="448">
        <v>0</v>
      </c>
      <c r="D93" s="450">
        <f>((D80/AVERAGE(D69)))</f>
        <v>0.1047081880439219</v>
      </c>
      <c r="E93" s="450">
        <f t="shared" ref="E93:P93" si="46">((E80/AVERAGE(D69:E69)+1)^4)-1</f>
        <v>0.14145709739371348</v>
      </c>
      <c r="F93" s="450">
        <f t="shared" si="46"/>
        <v>0.12001724608674325</v>
      </c>
      <c r="G93" s="450">
        <f t="shared" si="46"/>
        <v>0.13177960977619052</v>
      </c>
      <c r="H93" s="450">
        <f t="shared" si="46"/>
        <v>0.14506260146914274</v>
      </c>
      <c r="I93" s="450">
        <f t="shared" si="46"/>
        <v>0.14836619220599978</v>
      </c>
      <c r="J93" s="450">
        <f t="shared" si="46"/>
        <v>0.16854513879351618</v>
      </c>
      <c r="K93" s="450">
        <f t="shared" si="46"/>
        <v>0.18774945856548442</v>
      </c>
      <c r="L93" s="450">
        <f t="shared" si="46"/>
        <v>0.18814434315369089</v>
      </c>
      <c r="M93" s="450">
        <f t="shared" si="46"/>
        <v>0.19915520287433885</v>
      </c>
      <c r="N93" s="450">
        <f t="shared" si="46"/>
        <v>0.21016334238648682</v>
      </c>
      <c r="O93" s="450">
        <f t="shared" si="46"/>
        <v>0.20646177392715148</v>
      </c>
      <c r="P93" s="450">
        <f t="shared" si="46"/>
        <v>0.20077098751189482</v>
      </c>
    </row>
    <row r="94" spans="2:16" ht="13" customHeight="1">
      <c r="B94" s="25" t="str">
        <f>IF('Summary | Sumário'!D$3=Names!B$3,Names!O84,Names!P84)</f>
        <v>Real estate net of hedge accounting (%)</v>
      </c>
      <c r="C94" s="346">
        <v>0</v>
      </c>
      <c r="D94" s="351">
        <f>((D81/AVERAGE(D70)))</f>
        <v>0.10487176981002902</v>
      </c>
      <c r="E94" s="351">
        <f t="shared" ref="E94:P94" si="47">((E81/AVERAGE(D70:E70)+1)^4)-1</f>
        <v>0.13960916231790121</v>
      </c>
      <c r="F94" s="351">
        <f t="shared" si="47"/>
        <v>0.10190862569461623</v>
      </c>
      <c r="G94" s="351">
        <f t="shared" si="47"/>
        <v>0.13007606927532178</v>
      </c>
      <c r="H94" s="351">
        <f t="shared" si="47"/>
        <v>0.12344288745102516</v>
      </c>
      <c r="I94" s="351">
        <f t="shared" si="47"/>
        <v>0.12390384526537068</v>
      </c>
      <c r="J94" s="351">
        <f t="shared" si="47"/>
        <v>0.14881297718441022</v>
      </c>
      <c r="K94" s="351">
        <f t="shared" si="47"/>
        <v>0.11532393671744878</v>
      </c>
      <c r="L94" s="351">
        <f t="shared" si="47"/>
        <v>0.12144612894237694</v>
      </c>
      <c r="M94" s="351">
        <f t="shared" si="47"/>
        <v>0.14080701525935813</v>
      </c>
      <c r="N94" s="351">
        <f t="shared" si="47"/>
        <v>0.14594668266669952</v>
      </c>
      <c r="O94" s="351">
        <f t="shared" si="47"/>
        <v>0.12443874399941635</v>
      </c>
      <c r="P94" s="351">
        <f t="shared" si="47"/>
        <v>0.12914043405586395</v>
      </c>
    </row>
    <row r="95" spans="2:16" ht="13" customHeight="1">
      <c r="B95" s="19" t="str">
        <f>IF('Summary | Sumário'!D$3=Names!B$3,Names!O85,Names!P85)</f>
        <v>Personal net of hedge accounting (%)</v>
      </c>
      <c r="C95" s="340">
        <v>0</v>
      </c>
      <c r="D95" s="262">
        <f>((D84/AVERAGE(D71)))</f>
        <v>0.11767935566059531</v>
      </c>
      <c r="E95" s="262">
        <f t="shared" ref="E95:P95" si="48">((E84/AVERAGE(D71:E71)+1)^4)-1</f>
        <v>0.14255403353395346</v>
      </c>
      <c r="F95" s="262">
        <f t="shared" si="48"/>
        <v>0.12921943057949825</v>
      </c>
      <c r="G95" s="262">
        <f t="shared" si="48"/>
        <v>0.12433354838978916</v>
      </c>
      <c r="H95" s="262">
        <f t="shared" si="48"/>
        <v>0.12164462530105191</v>
      </c>
      <c r="I95" s="262">
        <f t="shared" si="48"/>
        <v>0.12026347607482735</v>
      </c>
      <c r="J95" s="262">
        <f t="shared" si="48"/>
        <v>0.13333814712064163</v>
      </c>
      <c r="K95" s="262">
        <f t="shared" si="48"/>
        <v>0.14094797150740179</v>
      </c>
      <c r="L95" s="262">
        <f t="shared" si="48"/>
        <v>0.14575352402368003</v>
      </c>
      <c r="M95" s="262">
        <f t="shared" si="48"/>
        <v>0.15303365779610112</v>
      </c>
      <c r="N95" s="262">
        <f t="shared" si="48"/>
        <v>0.17143184914060194</v>
      </c>
      <c r="O95" s="262">
        <f t="shared" si="48"/>
        <v>0.16850213419115523</v>
      </c>
      <c r="P95" s="262">
        <f t="shared" si="48"/>
        <v>0.17790589321003303</v>
      </c>
    </row>
    <row r="96" spans="2:16" ht="13" customHeight="1">
      <c r="B96" s="25" t="str">
        <f>IF('Summary | Sumário'!D$3=Names!B$3,Names!O86,Names!P86)</f>
        <v>SME (%)</v>
      </c>
      <c r="C96" s="346">
        <v>0</v>
      </c>
      <c r="D96" s="351">
        <f>((D87/AVERAGE(D72)))</f>
        <v>3.7900012515249208E-2</v>
      </c>
      <c r="E96" s="351">
        <f t="shared" ref="E96:P96" si="49">((E87/AVERAGE(D72:E72)+1)^4)-1</f>
        <v>5.287812357767141E-2</v>
      </c>
      <c r="F96" s="351">
        <f t="shared" si="49"/>
        <v>8.3530222746464489E-2</v>
      </c>
      <c r="G96" s="351">
        <f t="shared" si="49"/>
        <v>7.2330056118097952E-2</v>
      </c>
      <c r="H96" s="351">
        <f t="shared" si="49"/>
        <v>0.12452165667114934</v>
      </c>
      <c r="I96" s="351">
        <f t="shared" si="49"/>
        <v>0.11878339098679125</v>
      </c>
      <c r="J96" s="351">
        <f t="shared" si="49"/>
        <v>0.15518910007411235</v>
      </c>
      <c r="K96" s="351">
        <f t="shared" si="49"/>
        <v>0.16180709347410005</v>
      </c>
      <c r="L96" s="351">
        <f t="shared" si="49"/>
        <v>0.19703599512306247</v>
      </c>
      <c r="M96" s="351">
        <f t="shared" si="49"/>
        <v>0.16185223715062791</v>
      </c>
      <c r="N96" s="351">
        <f t="shared" si="49"/>
        <v>0.16166793069063989</v>
      </c>
      <c r="O96" s="351">
        <f t="shared" si="49"/>
        <v>0.16811562153127424</v>
      </c>
      <c r="P96" s="351">
        <f t="shared" si="49"/>
        <v>0.169168019688543</v>
      </c>
    </row>
    <row r="97" spans="2:17" ht="13" customHeight="1">
      <c r="B97" s="19" t="str">
        <f>IF('Summary | Sumário'!D$3=Names!B$3,Names!O87,Names!P87)</f>
        <v>Credit cards (%)</v>
      </c>
      <c r="C97" s="340">
        <v>0</v>
      </c>
      <c r="D97" s="262">
        <f>((D88/AVERAGE(D73)))</f>
        <v>0.513782772670344</v>
      </c>
      <c r="E97" s="262">
        <f t="shared" ref="E97:O97" si="50">((E88*4/AVERAGE(D73:E73)))</f>
        <v>0.65473226137019969</v>
      </c>
      <c r="F97" s="262">
        <f t="shared" si="50"/>
        <v>0.4687272493771088</v>
      </c>
      <c r="G97" s="262">
        <f t="shared" si="50"/>
        <v>0.53217245871666763</v>
      </c>
      <c r="H97" s="262">
        <f t="shared" si="50"/>
        <v>0.59344103018622585</v>
      </c>
      <c r="I97" s="262">
        <f t="shared" si="50"/>
        <v>0.57893090375890244</v>
      </c>
      <c r="J97" s="262">
        <f t="shared" si="50"/>
        <v>0.57417187234470979</v>
      </c>
      <c r="K97" s="262">
        <f t="shared" si="50"/>
        <v>0.77458262934943811</v>
      </c>
      <c r="L97" s="262">
        <f t="shared" si="50"/>
        <v>0.68908620557722866</v>
      </c>
      <c r="M97" s="262">
        <f t="shared" si="50"/>
        <v>0.71465505874008561</v>
      </c>
      <c r="N97" s="262">
        <f t="shared" si="50"/>
        <v>0.7276700945389164</v>
      </c>
      <c r="O97" s="262">
        <f t="shared" si="50"/>
        <v>0.72397261286064563</v>
      </c>
      <c r="P97" s="262">
        <f>((P88*4/AVERAGE(O73:P73)))</f>
        <v>0.6873167282232604</v>
      </c>
    </row>
    <row r="98" spans="2:17" ht="14" customHeight="1">
      <c r="B98" s="25" t="str">
        <f>IF('Summary | Sumário'!D$3=Names!B$3,Names!O89,Names!P89)</f>
        <v>Prepayment of receivables (%)</v>
      </c>
      <c r="C98" s="346">
        <v>0</v>
      </c>
      <c r="D98" s="346">
        <v>0</v>
      </c>
      <c r="E98" s="352">
        <f t="shared" ref="E98:P98" si="51">((E89/AVERAGE(D77:E77)+1)^4)-1</f>
        <v>0.26039742256808451</v>
      </c>
      <c r="F98" s="352">
        <f t="shared" si="51"/>
        <v>0.14783862266255832</v>
      </c>
      <c r="G98" s="352">
        <f t="shared" si="51"/>
        <v>6.459029810892325E-2</v>
      </c>
      <c r="H98" s="352">
        <f t="shared" si="51"/>
        <v>0.12553164064613931</v>
      </c>
      <c r="I98" s="352">
        <f t="shared" si="51"/>
        <v>6.6874386061637203E-2</v>
      </c>
      <c r="J98" s="352">
        <f t="shared" si="51"/>
        <v>0.20961222212585384</v>
      </c>
      <c r="K98" s="352">
        <f t="shared" si="51"/>
        <v>0.20021568035746928</v>
      </c>
      <c r="L98" s="352">
        <f t="shared" si="51"/>
        <v>0.13376298520647723</v>
      </c>
      <c r="M98" s="352">
        <f t="shared" si="51"/>
        <v>0.17549478254727435</v>
      </c>
      <c r="N98" s="352">
        <f t="shared" si="51"/>
        <v>0.19535247550652524</v>
      </c>
      <c r="O98" s="352">
        <f t="shared" si="51"/>
        <v>0.2034848250158352</v>
      </c>
      <c r="P98" s="352">
        <f t="shared" si="51"/>
        <v>0.20041020690686762</v>
      </c>
    </row>
    <row r="99" spans="2:17" ht="13" customHeight="1">
      <c r="B99" s="19"/>
      <c r="N99" s="345"/>
      <c r="O99" s="345"/>
      <c r="P99" s="345"/>
    </row>
    <row r="100" spans="2:17" ht="13" customHeight="1">
      <c r="B100" s="83" t="str">
        <f>IF('Summary | Sumário'!D$3=Names!B$3,Names!O101,Names!P102)</f>
        <v>Renegotiated Portfolio</v>
      </c>
      <c r="C100" s="285"/>
      <c r="D100" s="285"/>
      <c r="E100" s="285"/>
      <c r="F100" s="285"/>
      <c r="G100" s="285"/>
      <c r="H100" s="285"/>
      <c r="I100" s="285"/>
      <c r="J100" s="285"/>
      <c r="K100" s="285"/>
      <c r="L100" s="285"/>
      <c r="M100" s="285"/>
      <c r="N100" s="285"/>
      <c r="O100" s="285"/>
      <c r="P100" s="285"/>
    </row>
    <row r="101" spans="2:17" ht="13" customHeight="1">
      <c r="B101" s="441" t="str">
        <f>IF('Summary | Sumário'!D$3=Names!B$3,Names!O102,Names!P102)</f>
        <v>Renegotiated portfolio</v>
      </c>
      <c r="C101" s="445" t="s">
        <v>830</v>
      </c>
      <c r="D101" s="445" t="s">
        <v>830</v>
      </c>
      <c r="E101" s="445" t="s">
        <v>830</v>
      </c>
      <c r="F101" s="445" t="s">
        <v>830</v>
      </c>
      <c r="G101" s="445" t="s">
        <v>830</v>
      </c>
      <c r="H101" s="445" t="s">
        <v>830</v>
      </c>
      <c r="I101" s="445">
        <v>705976.27219999675</v>
      </c>
      <c r="J101" s="445">
        <v>721629.40601000446</v>
      </c>
      <c r="K101" s="445">
        <v>788511.83772999898</v>
      </c>
      <c r="L101" s="445">
        <v>807372.72962999996</v>
      </c>
      <c r="M101" s="445">
        <v>839302.77655999793</v>
      </c>
      <c r="N101" s="445">
        <v>925448.81361999619</v>
      </c>
      <c r="O101" s="445">
        <v>971835.995925333</v>
      </c>
      <c r="P101" s="445">
        <v>1013503.8981579969</v>
      </c>
    </row>
    <row r="102" spans="2:17" ht="13" customHeight="1">
      <c r="B102" s="491" t="str">
        <f>IF('Summary | Sumário'!D$3=Names!B$3,Names!O103,Names!P103)</f>
        <v>Renegotiated portfolio (% of total gross loan portfolio)</v>
      </c>
      <c r="C102" s="294" t="s">
        <v>830</v>
      </c>
      <c r="D102" s="294" t="s">
        <v>830</v>
      </c>
      <c r="E102" s="294" t="s">
        <v>830</v>
      </c>
      <c r="F102" s="294" t="s">
        <v>830</v>
      </c>
      <c r="G102" s="294" t="s">
        <v>830</v>
      </c>
      <c r="H102" s="294" t="s">
        <v>830</v>
      </c>
      <c r="I102" s="492">
        <f t="shared" ref="I102:P102" si="52">I101/I12</f>
        <v>3.8112142211782558E-2</v>
      </c>
      <c r="J102" s="492">
        <f t="shared" si="52"/>
        <v>3.6327473393210095E-2</v>
      </c>
      <c r="K102" s="492">
        <f t="shared" si="52"/>
        <v>3.5784429560735319E-2</v>
      </c>
      <c r="L102" s="492">
        <f t="shared" si="52"/>
        <v>3.2894921768841769E-2</v>
      </c>
      <c r="M102" s="492">
        <f t="shared" si="52"/>
        <v>3.3399372181427349E-2</v>
      </c>
      <c r="N102" s="492">
        <f t="shared" si="52"/>
        <v>3.4956418724380732E-2</v>
      </c>
      <c r="O102" s="492">
        <f t="shared" si="52"/>
        <v>3.4390630748343372E-2</v>
      </c>
      <c r="P102" s="492">
        <f t="shared" si="52"/>
        <v>3.2671713473043845E-2</v>
      </c>
    </row>
    <row r="103" spans="2:17" ht="13" customHeight="1">
      <c r="P103" s="350"/>
      <c r="Q103" s="345"/>
    </row>
    <row r="104" spans="2:17" ht="13" customHeight="1">
      <c r="L104" s="345"/>
      <c r="M104" s="345"/>
      <c r="N104" s="345"/>
      <c r="O104" s="345"/>
      <c r="P104" s="345"/>
      <c r="Q104" s="345"/>
    </row>
    <row r="105" spans="2:17" ht="13" customHeight="1">
      <c r="I105" s="345"/>
      <c r="J105" s="345"/>
      <c r="K105" s="345"/>
      <c r="L105" s="345"/>
      <c r="M105" s="345"/>
      <c r="N105" s="345"/>
      <c r="O105" s="345"/>
      <c r="P105" s="345"/>
    </row>
    <row r="106" spans="2:17" ht="13" customHeight="1">
      <c r="P106" s="298"/>
    </row>
    <row r="107" spans="2:17" ht="13" customHeight="1">
      <c r="O107" s="345"/>
      <c r="P107" s="345"/>
    </row>
  </sheetData>
  <sheetProtection algorithmName="SHA-512" hashValue="wcLpvd+xBqhj8v++LoreBQgzxvyA1DnMuMSQqHxyGXqcQiaFheXmYGfJ5ReApTSDGJW7ZmzGkPVV0vb6jDUOvg==" saltValue="sf+etA+pUJ8hvQFjDum2ng=="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3DA34-577B-0D4F-A470-EDBEC7EC6F82}">
  <sheetPr>
    <tabColor rgb="FFEB7100"/>
  </sheetPr>
  <dimension ref="A1:W58"/>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9" width="10.83203125" style="211" customWidth="1"/>
    <col min="20" max="16384" width="10.83203125" style="211"/>
  </cols>
  <sheetData>
    <row r="1" spans="1:23" ht="13" customHeight="1">
      <c r="C1" s="212"/>
      <c r="D1" s="212"/>
      <c r="E1" s="212"/>
      <c r="F1" s="212"/>
      <c r="H1" s="212"/>
      <c r="I1" s="212"/>
      <c r="J1" s="212"/>
      <c r="K1" s="212"/>
      <c r="L1" s="212"/>
      <c r="M1" s="212"/>
      <c r="N1" s="212"/>
      <c r="O1" s="212"/>
      <c r="P1" s="212"/>
    </row>
    <row r="2" spans="1:23" s="12" customFormat="1" ht="13" customHeight="1">
      <c r="B2" s="400" t="str">
        <f>IF('Summary | Sumário'!D$3=Names!B$3,Names!Q1,Names!R1)</f>
        <v>Funding (IFRS,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28">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13"/>
      <c r="V2" s="14"/>
      <c r="W2" s="15"/>
    </row>
    <row r="3" spans="1:23" ht="13" customHeight="1">
      <c r="B3" s="16"/>
      <c r="C3" s="222"/>
      <c r="D3" s="222"/>
      <c r="E3" s="223"/>
      <c r="F3" s="223"/>
      <c r="G3" s="223"/>
      <c r="H3" s="223"/>
      <c r="I3" s="223"/>
      <c r="J3" s="223"/>
      <c r="K3" s="223"/>
      <c r="L3" s="223"/>
      <c r="M3" s="223"/>
      <c r="N3" s="223"/>
      <c r="O3" s="223"/>
      <c r="P3" s="223"/>
      <c r="Q3" s="223"/>
      <c r="R3" s="223"/>
      <c r="S3" s="223"/>
    </row>
    <row r="4" spans="1:23" s="244" customFormat="1" ht="13" customHeight="1">
      <c r="A4" s="242"/>
      <c r="B4" s="5" t="str">
        <f>IF('Summary | Sumário'!D$3=Names!B$3,Names!Q2,Names!R2)</f>
        <v>Funding - including other interest bearing liabilities</v>
      </c>
      <c r="C4" s="287"/>
      <c r="T4" s="331"/>
    </row>
    <row r="5" spans="1:23" ht="13" customHeight="1">
      <c r="A5" s="325"/>
      <c r="B5" s="404" t="str">
        <f>IF('Summary | Sumário'!D$3=Names!B$3,Names!Q3,Names!R3)</f>
        <v>Liabilities with customers</v>
      </c>
      <c r="C5" s="439">
        <v>4714439</v>
      </c>
      <c r="D5" s="439">
        <v>12436632</v>
      </c>
      <c r="E5" s="439">
        <f>K5</f>
        <v>18333543</v>
      </c>
      <c r="F5" s="439">
        <f>O5</f>
        <v>23642804</v>
      </c>
      <c r="G5" s="439">
        <f>S5</f>
        <v>32651620</v>
      </c>
      <c r="H5" s="439">
        <v>13392679</v>
      </c>
      <c r="I5" s="439">
        <v>15629130.619999999</v>
      </c>
      <c r="J5" s="439">
        <v>17093473.298</v>
      </c>
      <c r="K5" s="439">
        <v>18333543</v>
      </c>
      <c r="L5" s="439">
        <v>18958118</v>
      </c>
      <c r="M5" s="439">
        <v>19746409</v>
      </c>
      <c r="N5" s="439">
        <v>21452026</v>
      </c>
      <c r="O5" s="439">
        <v>23642804</v>
      </c>
      <c r="P5" s="439">
        <v>24182006</v>
      </c>
      <c r="Q5" s="439">
        <v>26299326</v>
      </c>
      <c r="R5" s="439">
        <v>29063988</v>
      </c>
      <c r="S5" s="439">
        <v>32651620</v>
      </c>
    </row>
    <row r="6" spans="1:23" ht="13" customHeight="1">
      <c r="A6" s="325"/>
      <c r="B6" s="19" t="str">
        <f>IF('Summary | Sumário'!D$3=Names!B$3,Names!Q4,Names!R4)</f>
        <v>Demand deposits</v>
      </c>
      <c r="C6" s="287">
        <v>2094127</v>
      </c>
      <c r="D6" s="287">
        <v>6713351</v>
      </c>
      <c r="E6" s="287">
        <f t="shared" ref="E6:E15" si="0">K6</f>
        <v>9932809</v>
      </c>
      <c r="F6" s="287">
        <f t="shared" ref="F6:F15" si="1">O6</f>
        <v>11566826</v>
      </c>
      <c r="G6" s="287">
        <f t="shared" ref="G6:G15" si="2">S6</f>
        <v>2572536</v>
      </c>
      <c r="H6" s="287">
        <v>6984899</v>
      </c>
      <c r="I6" s="287">
        <v>8299742</v>
      </c>
      <c r="J6" s="287">
        <v>9163029</v>
      </c>
      <c r="K6" s="287">
        <v>9932809</v>
      </c>
      <c r="L6" s="287">
        <v>9620809</v>
      </c>
      <c r="M6" s="287">
        <v>9784611</v>
      </c>
      <c r="N6" s="287">
        <v>10418989</v>
      </c>
      <c r="O6" s="287">
        <v>11566826</v>
      </c>
      <c r="P6" s="287">
        <v>11005662</v>
      </c>
      <c r="Q6" s="287">
        <v>3109793</v>
      </c>
      <c r="R6" s="287">
        <v>1813779</v>
      </c>
      <c r="S6" s="287">
        <v>2572536</v>
      </c>
      <c r="T6" s="332"/>
    </row>
    <row r="7" spans="1:23" ht="13" customHeight="1">
      <c r="A7" s="325"/>
      <c r="B7" s="25" t="str">
        <f>IF('Summary | Sumário'!D$3=Names!B$3,Names!Q5,Names!R5)</f>
        <v>Time deposits</v>
      </c>
      <c r="C7" s="282">
        <v>2259047</v>
      </c>
      <c r="D7" s="282">
        <v>4771204</v>
      </c>
      <c r="E7" s="282">
        <f t="shared" si="0"/>
        <v>6922061</v>
      </c>
      <c r="F7" s="282">
        <f t="shared" si="1"/>
        <v>10517060</v>
      </c>
      <c r="G7" s="282">
        <f t="shared" si="2"/>
        <v>28158459</v>
      </c>
      <c r="H7" s="282">
        <v>5394450</v>
      </c>
      <c r="I7" s="282">
        <v>6119961</v>
      </c>
      <c r="J7" s="282">
        <v>6580559</v>
      </c>
      <c r="K7" s="282">
        <v>6922061</v>
      </c>
      <c r="L7" s="282">
        <v>7894003</v>
      </c>
      <c r="M7" s="282">
        <v>8579727</v>
      </c>
      <c r="N7" s="282">
        <v>9558462</v>
      </c>
      <c r="O7" s="282">
        <v>10517060</v>
      </c>
      <c r="P7" s="282">
        <v>11687031</v>
      </c>
      <c r="Q7" s="282">
        <v>21616586</v>
      </c>
      <c r="R7" s="282">
        <v>25572336</v>
      </c>
      <c r="S7" s="282">
        <v>28158459</v>
      </c>
      <c r="T7" s="333"/>
    </row>
    <row r="8" spans="1:23" ht="13" customHeight="1">
      <c r="A8" s="325"/>
      <c r="B8" s="19" t="str">
        <f>IF('Summary | Sumário'!D$3=Names!B$3,Names!Q6,Names!R6)</f>
        <v>Savings deposits</v>
      </c>
      <c r="C8" s="287">
        <v>307098</v>
      </c>
      <c r="D8" s="287">
        <v>887666</v>
      </c>
      <c r="E8" s="287">
        <f t="shared" si="0"/>
        <v>1230039</v>
      </c>
      <c r="F8" s="287">
        <f t="shared" si="1"/>
        <v>1307055</v>
      </c>
      <c r="G8" s="287">
        <f t="shared" si="2"/>
        <v>1540604</v>
      </c>
      <c r="H8" s="287">
        <v>935359</v>
      </c>
      <c r="I8" s="287">
        <v>1049178</v>
      </c>
      <c r="J8" s="287">
        <v>1138085</v>
      </c>
      <c r="K8" s="287">
        <v>1230039</v>
      </c>
      <c r="L8" s="287">
        <v>1215061</v>
      </c>
      <c r="M8" s="287">
        <v>1182012</v>
      </c>
      <c r="N8" s="287">
        <v>1216043</v>
      </c>
      <c r="O8" s="287">
        <v>1307055</v>
      </c>
      <c r="P8" s="287">
        <v>1274938</v>
      </c>
      <c r="Q8" s="287">
        <v>1305803</v>
      </c>
      <c r="R8" s="287">
        <v>1350713</v>
      </c>
      <c r="S8" s="287">
        <v>1540604</v>
      </c>
      <c r="T8" s="333"/>
    </row>
    <row r="9" spans="1:23" ht="13" customHeight="1">
      <c r="A9" s="325"/>
      <c r="B9" s="25" t="str">
        <f>IF('Summary | Sumário'!D$3=Names!B$3,Names!Q7,Names!R7)</f>
        <v>Creditors by resources to release</v>
      </c>
      <c r="C9" s="282">
        <v>54167</v>
      </c>
      <c r="D9" s="282">
        <v>64410</v>
      </c>
      <c r="E9" s="282">
        <f t="shared" si="0"/>
        <v>248633</v>
      </c>
      <c r="F9" s="282">
        <f t="shared" si="1"/>
        <v>251863</v>
      </c>
      <c r="G9" s="282">
        <f t="shared" si="2"/>
        <v>380021</v>
      </c>
      <c r="H9" s="282">
        <v>77971</v>
      </c>
      <c r="I9" s="282">
        <v>160250</v>
      </c>
      <c r="J9" s="282">
        <v>211800</v>
      </c>
      <c r="K9" s="282">
        <v>248633</v>
      </c>
      <c r="L9" s="282">
        <v>228245</v>
      </c>
      <c r="M9" s="282">
        <v>200059</v>
      </c>
      <c r="N9" s="282">
        <v>258532</v>
      </c>
      <c r="O9" s="282">
        <v>251863</v>
      </c>
      <c r="P9" s="282">
        <v>214375</v>
      </c>
      <c r="Q9" s="282">
        <v>267144</v>
      </c>
      <c r="R9" s="282">
        <v>327160</v>
      </c>
      <c r="S9" s="282">
        <v>380021</v>
      </c>
      <c r="T9" s="333"/>
    </row>
    <row r="10" spans="1:23" ht="13" customHeight="1">
      <c r="A10" s="325"/>
      <c r="B10" s="18" t="str">
        <f>IF('Summary | Sumário'!D$3=Names!B$3,Names!Q8,Names!R8)</f>
        <v>Securities issued</v>
      </c>
      <c r="C10" s="287">
        <v>1719580</v>
      </c>
      <c r="D10" s="287">
        <v>1729436</v>
      </c>
      <c r="E10" s="287">
        <f t="shared" si="0"/>
        <v>3572093</v>
      </c>
      <c r="F10" s="287">
        <f t="shared" si="1"/>
        <v>6202165</v>
      </c>
      <c r="G10" s="287">
        <f t="shared" si="2"/>
        <v>8095042</v>
      </c>
      <c r="H10" s="287">
        <v>1704892</v>
      </c>
      <c r="I10" s="287">
        <v>2081723</v>
      </c>
      <c r="J10" s="287">
        <v>3093320</v>
      </c>
      <c r="K10" s="287">
        <v>3572093</v>
      </c>
      <c r="L10" s="287">
        <v>4280956</v>
      </c>
      <c r="M10" s="287">
        <v>6104223</v>
      </c>
      <c r="N10" s="287">
        <v>6916919</v>
      </c>
      <c r="O10" s="287">
        <v>6202165</v>
      </c>
      <c r="P10" s="287">
        <v>6640557</v>
      </c>
      <c r="Q10" s="287">
        <v>7006191.0407400001</v>
      </c>
      <c r="R10" s="287">
        <v>7462564.5372699993</v>
      </c>
      <c r="S10" s="287">
        <v>8095042</v>
      </c>
      <c r="T10" s="333"/>
    </row>
    <row r="11" spans="1:23" ht="13" customHeight="1">
      <c r="A11" s="325"/>
      <c r="B11" s="24" t="str">
        <f>IF('Summary | Sumário'!D$3=Names!B$3,Names!Q24,Names!R24)</f>
        <v>Interest bearing liabilities with financial institutions</v>
      </c>
      <c r="C11" s="282">
        <f>SUM(C12:C13)</f>
        <v>510733</v>
      </c>
      <c r="D11" s="282">
        <f t="shared" ref="D11:R11" si="3">SUM(D12:D13)</f>
        <v>102874</v>
      </c>
      <c r="E11" s="282">
        <f t="shared" si="0"/>
        <v>1113010</v>
      </c>
      <c r="F11" s="282">
        <f t="shared" si="1"/>
        <v>2635401</v>
      </c>
      <c r="G11" s="282">
        <f t="shared" si="2"/>
        <v>2658958</v>
      </c>
      <c r="H11" s="282">
        <f t="shared" si="3"/>
        <v>215077.01337999999</v>
      </c>
      <c r="I11" s="282">
        <f t="shared" si="3"/>
        <v>385394.85464999999</v>
      </c>
      <c r="J11" s="282">
        <f t="shared" si="3"/>
        <v>947510.22100000002</v>
      </c>
      <c r="K11" s="282">
        <f t="shared" si="3"/>
        <v>1113010</v>
      </c>
      <c r="L11" s="282">
        <f t="shared" si="3"/>
        <v>1473583</v>
      </c>
      <c r="M11" s="282">
        <f t="shared" si="3"/>
        <v>1795650</v>
      </c>
      <c r="N11" s="282">
        <f t="shared" si="3"/>
        <v>2286525</v>
      </c>
      <c r="O11" s="282">
        <f t="shared" si="3"/>
        <v>2635401</v>
      </c>
      <c r="P11" s="282">
        <f t="shared" si="3"/>
        <v>2673490</v>
      </c>
      <c r="Q11" s="282">
        <f t="shared" si="3"/>
        <v>2320817</v>
      </c>
      <c r="R11" s="282">
        <f t="shared" si="3"/>
        <v>2957425.0232100002</v>
      </c>
      <c r="S11" s="282">
        <f t="shared" ref="S11" si="4">SUM(S12:S13)</f>
        <v>2658958</v>
      </c>
      <c r="T11" s="333"/>
    </row>
    <row r="12" spans="1:23" ht="13" customHeight="1">
      <c r="A12" s="325"/>
      <c r="B12" s="19" t="str">
        <f>IF('Summary | Sumário'!D$3=Names!B$3,Names!Q20,Names!R20)</f>
        <v>Securities sold under agreements to reurchase</v>
      </c>
      <c r="C12" s="287">
        <v>178491</v>
      </c>
      <c r="D12" s="287">
        <v>102874</v>
      </c>
      <c r="E12" s="287">
        <f t="shared" si="0"/>
        <v>973533</v>
      </c>
      <c r="F12" s="287">
        <f t="shared" si="1"/>
        <v>1902873</v>
      </c>
      <c r="G12" s="287">
        <f t="shared" si="2"/>
        <v>1011092</v>
      </c>
      <c r="H12" s="287">
        <v>164878.20288</v>
      </c>
      <c r="I12" s="287">
        <v>209582.78599999999</v>
      </c>
      <c r="J12" s="287">
        <v>656030.402</v>
      </c>
      <c r="K12" s="287">
        <v>973533</v>
      </c>
      <c r="L12" s="287">
        <v>976192</v>
      </c>
      <c r="M12" s="287">
        <v>1480935</v>
      </c>
      <c r="N12" s="287">
        <v>1354877</v>
      </c>
      <c r="O12" s="287">
        <v>1902873</v>
      </c>
      <c r="P12" s="287">
        <v>1882289</v>
      </c>
      <c r="Q12" s="287">
        <v>1727567</v>
      </c>
      <c r="R12" s="287">
        <v>1600987.9855800001</v>
      </c>
      <c r="S12" s="287">
        <v>1011092</v>
      </c>
      <c r="T12" s="333"/>
    </row>
    <row r="13" spans="1:23" ht="13" customHeight="1">
      <c r="A13" s="325"/>
      <c r="B13" s="25" t="str">
        <f>IF('Summary | Sumário'!D$3=Names!B$3,Names!Q21,Names!R21)</f>
        <v>Interbank deposits</v>
      </c>
      <c r="C13" s="282">
        <v>332242</v>
      </c>
      <c r="D13" s="282">
        <v>0</v>
      </c>
      <c r="E13" s="282">
        <f t="shared" si="0"/>
        <v>139477</v>
      </c>
      <c r="F13" s="282">
        <f t="shared" si="1"/>
        <v>732528</v>
      </c>
      <c r="G13" s="282">
        <f t="shared" si="2"/>
        <v>1647866</v>
      </c>
      <c r="H13" s="282">
        <v>50198.8105</v>
      </c>
      <c r="I13" s="282">
        <v>175812.06864999997</v>
      </c>
      <c r="J13" s="282">
        <v>291479.81900000002</v>
      </c>
      <c r="K13" s="282">
        <v>139477</v>
      </c>
      <c r="L13" s="282">
        <v>497391</v>
      </c>
      <c r="M13" s="282">
        <v>314715</v>
      </c>
      <c r="N13" s="282">
        <v>931648</v>
      </c>
      <c r="O13" s="282">
        <v>732528</v>
      </c>
      <c r="P13" s="282">
        <v>791201</v>
      </c>
      <c r="Q13" s="282">
        <v>593250</v>
      </c>
      <c r="R13" s="282">
        <v>1356437.0376300002</v>
      </c>
      <c r="S13" s="282">
        <v>1647866</v>
      </c>
      <c r="T13" s="333"/>
    </row>
    <row r="14" spans="1:23" ht="13" customHeight="1">
      <c r="A14" s="325"/>
      <c r="B14" s="18" t="str">
        <f>IF('Summary | Sumário'!D$3=Names!B$3,Names!Q22,Names!R22)</f>
        <v>Borrowing and onlending</v>
      </c>
      <c r="C14" s="287">
        <v>29800</v>
      </c>
      <c r="D14" s="287">
        <v>27405</v>
      </c>
      <c r="E14" s="287">
        <f t="shared" si="0"/>
        <v>25071</v>
      </c>
      <c r="F14" s="287">
        <f t="shared" si="1"/>
        <v>36448</v>
      </c>
      <c r="G14" s="287">
        <f t="shared" si="2"/>
        <v>107412</v>
      </c>
      <c r="H14" s="287">
        <v>27179</v>
      </c>
      <c r="I14" s="287">
        <v>26325</v>
      </c>
      <c r="J14" s="287">
        <v>25580</v>
      </c>
      <c r="K14" s="287">
        <v>25071</v>
      </c>
      <c r="L14" s="287">
        <v>33002</v>
      </c>
      <c r="M14" s="287">
        <v>31855</v>
      </c>
      <c r="N14" s="287">
        <v>33119</v>
      </c>
      <c r="O14" s="287">
        <v>36448</v>
      </c>
      <c r="P14" s="287">
        <v>36632</v>
      </c>
      <c r="Q14" s="287">
        <v>38753</v>
      </c>
      <c r="R14" s="287">
        <v>87649</v>
      </c>
      <c r="S14" s="287">
        <v>107412</v>
      </c>
      <c r="T14" s="333"/>
    </row>
    <row r="15" spans="1:23" ht="13" customHeight="1">
      <c r="A15" s="325"/>
      <c r="B15" s="451" t="str">
        <f>IF('Summary | Sumário'!D$3=Names!B$3,Names!Q9,Names!R9)</f>
        <v>Total funding</v>
      </c>
      <c r="C15" s="452">
        <f>C5+C10+C11+C14</f>
        <v>6974552</v>
      </c>
      <c r="D15" s="452">
        <f t="shared" ref="D15:R15" si="5">D5+D10+D11+D14</f>
        <v>14296347</v>
      </c>
      <c r="E15" s="452">
        <f t="shared" si="0"/>
        <v>23043717</v>
      </c>
      <c r="F15" s="452">
        <f t="shared" si="1"/>
        <v>32516818</v>
      </c>
      <c r="G15" s="452">
        <f t="shared" si="2"/>
        <v>43513032</v>
      </c>
      <c r="H15" s="452">
        <f t="shared" si="5"/>
        <v>15339827.01338</v>
      </c>
      <c r="I15" s="452">
        <f t="shared" si="5"/>
        <v>18122573.474649996</v>
      </c>
      <c r="J15" s="452">
        <f t="shared" si="5"/>
        <v>21159883.519000001</v>
      </c>
      <c r="K15" s="452">
        <f t="shared" si="5"/>
        <v>23043717</v>
      </c>
      <c r="L15" s="452">
        <f t="shared" si="5"/>
        <v>24745659</v>
      </c>
      <c r="M15" s="452">
        <f t="shared" si="5"/>
        <v>27678137</v>
      </c>
      <c r="N15" s="452">
        <f t="shared" si="5"/>
        <v>30688589</v>
      </c>
      <c r="O15" s="452">
        <f t="shared" si="5"/>
        <v>32516818</v>
      </c>
      <c r="P15" s="452">
        <f t="shared" si="5"/>
        <v>33532685</v>
      </c>
      <c r="Q15" s="452">
        <f t="shared" si="5"/>
        <v>35665087.040739998</v>
      </c>
      <c r="R15" s="452">
        <f t="shared" si="5"/>
        <v>39571626.560479999</v>
      </c>
      <c r="S15" s="452">
        <f t="shared" ref="S15" si="6">S5+S10+S11+S14</f>
        <v>43513032</v>
      </c>
      <c r="T15" s="333"/>
    </row>
    <row r="16" spans="1:23" ht="13" customHeight="1">
      <c r="A16" s="325"/>
      <c r="T16" s="333"/>
    </row>
    <row r="17" spans="1:20" ht="13" customHeight="1">
      <c r="A17" s="325"/>
      <c r="B17" s="26" t="str">
        <f>IF('Summary | Sumário'!D$3=Names!B$3,Names!Q37,Names!R10)</f>
        <v>All-in cost of funding</v>
      </c>
      <c r="C17" s="285"/>
      <c r="D17" s="285"/>
      <c r="E17" s="285"/>
      <c r="F17" s="285"/>
      <c r="G17" s="285"/>
      <c r="H17" s="285"/>
      <c r="I17" s="285"/>
      <c r="J17" s="285"/>
      <c r="K17" s="285"/>
      <c r="L17" s="285"/>
      <c r="M17" s="285"/>
      <c r="N17" s="285"/>
      <c r="O17" s="285"/>
      <c r="P17" s="285"/>
      <c r="Q17" s="285"/>
      <c r="R17" s="285"/>
      <c r="S17" s="285"/>
      <c r="T17" s="333"/>
    </row>
    <row r="18" spans="1:20" ht="13" customHeight="1">
      <c r="A18" s="325"/>
      <c r="B18" s="412" t="str">
        <f>IF('Summary | Sumário'!D$3=Names!B$3,Names!Q11,Names!R11)</f>
        <v>Annualized interest expenses</v>
      </c>
      <c r="C18" s="442">
        <f>C19</f>
        <v>256717</v>
      </c>
      <c r="D18" s="442">
        <f t="shared" ref="D18:F18" si="7">D19</f>
        <v>184335</v>
      </c>
      <c r="E18" s="442">
        <f t="shared" si="7"/>
        <v>543242</v>
      </c>
      <c r="F18" s="442">
        <f t="shared" si="7"/>
        <v>1972850</v>
      </c>
      <c r="G18" s="442">
        <f>G19</f>
        <v>2887573</v>
      </c>
      <c r="H18" s="442">
        <f>H19*4</f>
        <v>262236</v>
      </c>
      <c r="I18" s="442">
        <f t="shared" ref="I18:S18" si="8">I19*4</f>
        <v>345044</v>
      </c>
      <c r="J18" s="442">
        <f t="shared" si="8"/>
        <v>554348</v>
      </c>
      <c r="K18" s="442">
        <f t="shared" si="8"/>
        <v>1011340</v>
      </c>
      <c r="L18" s="442">
        <f t="shared" si="8"/>
        <v>1347084</v>
      </c>
      <c r="M18" s="442">
        <f t="shared" si="8"/>
        <v>1860164</v>
      </c>
      <c r="N18" s="442">
        <f t="shared" si="8"/>
        <v>2318712</v>
      </c>
      <c r="O18" s="442">
        <f t="shared" si="8"/>
        <v>2365440</v>
      </c>
      <c r="P18" s="442">
        <f t="shared" si="8"/>
        <v>2691084</v>
      </c>
      <c r="Q18" s="442">
        <f t="shared" si="8"/>
        <v>2768824</v>
      </c>
      <c r="R18" s="442">
        <f t="shared" si="8"/>
        <v>3081592</v>
      </c>
      <c r="S18" s="442">
        <f t="shared" si="8"/>
        <v>3008792.0200000005</v>
      </c>
      <c r="T18" s="333"/>
    </row>
    <row r="19" spans="1:20" ht="13" customHeight="1">
      <c r="A19" s="325"/>
      <c r="B19" s="203" t="str">
        <f>IF('Summary | Sumário'!D$3=Names!B$3,Names!Q12,Names!R12)</f>
        <v>Interest expenses</v>
      </c>
      <c r="C19" s="282">
        <v>256717</v>
      </c>
      <c r="D19" s="282">
        <v>184335</v>
      </c>
      <c r="E19" s="282">
        <v>543242</v>
      </c>
      <c r="F19" s="282">
        <v>1972850</v>
      </c>
      <c r="G19" s="282">
        <v>2887573</v>
      </c>
      <c r="H19" s="282">
        <v>65559</v>
      </c>
      <c r="I19" s="282">
        <v>86261</v>
      </c>
      <c r="J19" s="282">
        <v>138587</v>
      </c>
      <c r="K19" s="282">
        <v>252835</v>
      </c>
      <c r="L19" s="282">
        <v>336771</v>
      </c>
      <c r="M19" s="282">
        <v>465041</v>
      </c>
      <c r="N19" s="282">
        <v>579678</v>
      </c>
      <c r="O19" s="282">
        <v>591360</v>
      </c>
      <c r="P19" s="282">
        <v>672771</v>
      </c>
      <c r="Q19" s="282">
        <v>692206</v>
      </c>
      <c r="R19" s="282">
        <v>770398</v>
      </c>
      <c r="S19" s="282">
        <v>752198.00500000012</v>
      </c>
      <c r="T19" s="333"/>
    </row>
    <row r="20" spans="1:20" ht="13" customHeight="1">
      <c r="A20" s="325"/>
      <c r="B20" s="18" t="str">
        <f>IF('Summary | Sumário'!D$3=Names!B$3,Names!Q13,Names!R13)</f>
        <v>(÷) Average funding</v>
      </c>
      <c r="C20" s="334">
        <f>AVERAGE(C21:C22)</f>
        <v>6974552</v>
      </c>
      <c r="D20" s="334">
        <f t="shared" ref="D20:R20" si="9">AVERAGE(D21:D22)</f>
        <v>10635449.5</v>
      </c>
      <c r="E20" s="334">
        <f t="shared" si="9"/>
        <v>18670032</v>
      </c>
      <c r="F20" s="334">
        <f t="shared" si="9"/>
        <v>27780267.5</v>
      </c>
      <c r="G20" s="334">
        <f t="shared" si="9"/>
        <v>38014925</v>
      </c>
      <c r="H20" s="334">
        <f t="shared" si="9"/>
        <v>23928322.506689999</v>
      </c>
      <c r="I20" s="334">
        <f t="shared" si="9"/>
        <v>16731200.244014997</v>
      </c>
      <c r="J20" s="334">
        <f t="shared" si="9"/>
        <v>19641228.496824998</v>
      </c>
      <c r="K20" s="334">
        <f t="shared" si="9"/>
        <v>22101800.259500001</v>
      </c>
      <c r="L20" s="334">
        <f t="shared" si="9"/>
        <v>23894688</v>
      </c>
      <c r="M20" s="334">
        <f t="shared" si="9"/>
        <v>26211898</v>
      </c>
      <c r="N20" s="334">
        <f t="shared" si="9"/>
        <v>29183363</v>
      </c>
      <c r="O20" s="334">
        <f t="shared" si="9"/>
        <v>31602703.5</v>
      </c>
      <c r="P20" s="334">
        <f t="shared" si="9"/>
        <v>33024751.5</v>
      </c>
      <c r="Q20" s="334">
        <f t="shared" si="9"/>
        <v>34598886.020369999</v>
      </c>
      <c r="R20" s="334">
        <f t="shared" si="9"/>
        <v>37618356.800609998</v>
      </c>
      <c r="S20" s="334">
        <f t="shared" ref="S20" si="10">AVERAGE(S21:S22)</f>
        <v>41542329.280239999</v>
      </c>
      <c r="T20" s="333"/>
    </row>
    <row r="21" spans="1:20" ht="13" customHeight="1">
      <c r="A21" s="325"/>
      <c r="B21" s="203" t="str">
        <f>IF('Summary | Sumário'!D$3=Names!B$3,Names!Q14,Names!R14)</f>
        <v>Total funding</v>
      </c>
      <c r="C21" s="335">
        <f>C15</f>
        <v>6974552</v>
      </c>
      <c r="D21" s="335">
        <f t="shared" ref="D21:R21" si="11">D15</f>
        <v>14296347</v>
      </c>
      <c r="E21" s="335">
        <f t="shared" si="11"/>
        <v>23043717</v>
      </c>
      <c r="F21" s="335">
        <f t="shared" si="11"/>
        <v>32516818</v>
      </c>
      <c r="G21" s="335">
        <f t="shared" si="11"/>
        <v>43513032</v>
      </c>
      <c r="H21" s="335">
        <f t="shared" si="11"/>
        <v>15339827.01338</v>
      </c>
      <c r="I21" s="335">
        <f t="shared" si="11"/>
        <v>18122573.474649996</v>
      </c>
      <c r="J21" s="335">
        <f t="shared" si="11"/>
        <v>21159883.519000001</v>
      </c>
      <c r="K21" s="335">
        <f t="shared" si="11"/>
        <v>23043717</v>
      </c>
      <c r="L21" s="335">
        <f t="shared" si="11"/>
        <v>24745659</v>
      </c>
      <c r="M21" s="335">
        <f t="shared" si="11"/>
        <v>27678137</v>
      </c>
      <c r="N21" s="335">
        <f t="shared" si="11"/>
        <v>30688589</v>
      </c>
      <c r="O21" s="335">
        <f t="shared" si="11"/>
        <v>32516818</v>
      </c>
      <c r="P21" s="335">
        <f t="shared" si="11"/>
        <v>33532685</v>
      </c>
      <c r="Q21" s="335">
        <f t="shared" si="11"/>
        <v>35665087.040739998</v>
      </c>
      <c r="R21" s="335">
        <f t="shared" si="11"/>
        <v>39571626.560479999</v>
      </c>
      <c r="S21" s="335">
        <f t="shared" ref="S21" si="12">S15</f>
        <v>43513032</v>
      </c>
      <c r="T21" s="333"/>
    </row>
    <row r="22" spans="1:20" ht="13" customHeight="1">
      <c r="A22" s="325"/>
      <c r="B22" s="200" t="str">
        <f>IF('Summary | Sumário'!D$3=Names!B$3,Names!Q15,Names!R15)</f>
        <v>Total funding in the previous period</v>
      </c>
      <c r="C22" s="334">
        <f>C15</f>
        <v>6974552</v>
      </c>
      <c r="D22" s="334">
        <f t="shared" ref="D22:Q22" si="13">C15</f>
        <v>6974552</v>
      </c>
      <c r="E22" s="334">
        <f t="shared" si="13"/>
        <v>14296347</v>
      </c>
      <c r="F22" s="334">
        <f t="shared" si="13"/>
        <v>23043717</v>
      </c>
      <c r="G22" s="334">
        <f t="shared" si="13"/>
        <v>32516818</v>
      </c>
      <c r="H22" s="334">
        <f>F15</f>
        <v>32516818</v>
      </c>
      <c r="I22" s="334">
        <f t="shared" si="13"/>
        <v>15339827.01338</v>
      </c>
      <c r="J22" s="334">
        <f t="shared" si="13"/>
        <v>18122573.474649996</v>
      </c>
      <c r="K22" s="334">
        <f t="shared" si="13"/>
        <v>21159883.519000001</v>
      </c>
      <c r="L22" s="334">
        <f t="shared" si="13"/>
        <v>23043717</v>
      </c>
      <c r="M22" s="334">
        <f t="shared" si="13"/>
        <v>24745659</v>
      </c>
      <c r="N22" s="334">
        <f t="shared" si="13"/>
        <v>27678137</v>
      </c>
      <c r="O22" s="334">
        <f t="shared" si="13"/>
        <v>30688589</v>
      </c>
      <c r="P22" s="334">
        <f t="shared" si="13"/>
        <v>32516818</v>
      </c>
      <c r="Q22" s="334">
        <f t="shared" si="13"/>
        <v>33532685</v>
      </c>
      <c r="R22" s="334">
        <f>Q15</f>
        <v>35665087.040739998</v>
      </c>
      <c r="S22" s="334">
        <f>R15</f>
        <v>39571626.560479999</v>
      </c>
      <c r="T22" s="333"/>
    </row>
    <row r="23" spans="1:20" ht="13" customHeight="1">
      <c r="A23" s="325"/>
      <c r="B23" s="435" t="str">
        <f>IF('Summary | Sumário'!D$3=Names!B$3,Names!Q36,Names!R16)</f>
        <v>(=) All-in cost of funding (%)</v>
      </c>
      <c r="C23" s="453">
        <f>C18/C20</f>
        <v>3.6807668793637213E-2</v>
      </c>
      <c r="D23" s="453">
        <f t="shared" ref="D23:R23" si="14">D18/D20</f>
        <v>1.7332130625978714E-2</v>
      </c>
      <c r="E23" s="453">
        <f t="shared" si="14"/>
        <v>2.9097004225809575E-2</v>
      </c>
      <c r="F23" s="453">
        <f t="shared" si="14"/>
        <v>7.1016234814873541E-2</v>
      </c>
      <c r="G23" s="453">
        <f t="shared" si="14"/>
        <v>7.5958929288956908E-2</v>
      </c>
      <c r="H23" s="453">
        <f t="shared" si="14"/>
        <v>1.0959230423556969E-2</v>
      </c>
      <c r="I23" s="453">
        <f t="shared" si="14"/>
        <v>2.0622788261913692E-2</v>
      </c>
      <c r="J23" s="453">
        <f t="shared" si="14"/>
        <v>2.8223692835181377E-2</v>
      </c>
      <c r="K23" s="453">
        <f t="shared" si="14"/>
        <v>4.5758263495540207E-2</v>
      </c>
      <c r="L23" s="453">
        <f t="shared" si="14"/>
        <v>5.637587734981097E-2</v>
      </c>
      <c r="M23" s="453">
        <f t="shared" si="14"/>
        <v>7.0966398541608855E-2</v>
      </c>
      <c r="N23" s="453">
        <f t="shared" si="14"/>
        <v>7.9453214490735696E-2</v>
      </c>
      <c r="O23" s="453">
        <f t="shared" si="14"/>
        <v>7.48492925613152E-2</v>
      </c>
      <c r="P23" s="453">
        <f t="shared" si="14"/>
        <v>8.148688113519946E-2</v>
      </c>
      <c r="Q23" s="453">
        <f t="shared" si="14"/>
        <v>8.0026391554047796E-2</v>
      </c>
      <c r="R23" s="453">
        <f t="shared" si="14"/>
        <v>8.1917240998416782E-2</v>
      </c>
      <c r="S23" s="453">
        <f t="shared" ref="S23" si="15">S18/S20</f>
        <v>7.2427138105401342E-2</v>
      </c>
      <c r="T23" s="333"/>
    </row>
    <row r="24" spans="1:20" ht="13" customHeight="1">
      <c r="A24" s="325"/>
      <c r="B24" s="201" t="str">
        <f>IF('Summary | Sumário'!D$3=Names!B$3,Names!Q17,Names!R17)</f>
        <v>(÷) Average daily CDI rate in the period (%)</v>
      </c>
      <c r="C24" s="336">
        <v>5.9375494071146499E-2</v>
      </c>
      <c r="D24" s="336">
        <v>2.7735059760956016E-2</v>
      </c>
      <c r="E24" s="336">
        <v>4.4600000000000001E-2</v>
      </c>
      <c r="F24" s="336">
        <v>0.124527888446216</v>
      </c>
      <c r="G24" s="336">
        <v>0.1320823293</v>
      </c>
      <c r="H24" s="336">
        <v>2.022950819672133E-2</v>
      </c>
      <c r="I24" s="336">
        <v>3.2427419354838741E-2</v>
      </c>
      <c r="J24" s="336">
        <v>4.8576923076923101E-2</v>
      </c>
      <c r="K24" s="336">
        <v>7.6261904761904697E-2</v>
      </c>
      <c r="L24" s="336">
        <v>0.10270967741935499</v>
      </c>
      <c r="M24" s="336">
        <v>0.123758064516129</v>
      </c>
      <c r="N24" s="336">
        <v>0.13465384615384601</v>
      </c>
      <c r="O24" s="336">
        <v>0.13650000000000001</v>
      </c>
      <c r="P24" s="336">
        <v>0.13650000000000001</v>
      </c>
      <c r="Q24" s="336">
        <v>0.13650000000000001</v>
      </c>
      <c r="R24" s="336">
        <v>0.13275000000000001</v>
      </c>
      <c r="S24" s="336">
        <v>0.1224016393</v>
      </c>
      <c r="T24" s="333"/>
    </row>
    <row r="25" spans="1:20" ht="13" customHeight="1">
      <c r="A25" s="325"/>
      <c r="B25" s="435" t="str">
        <f>IF('Summary | Sumário'!D$3=Names!B$3,Names!Q35,Names!R18)</f>
        <v>(=) All-in cost of funding % of CDI</v>
      </c>
      <c r="C25" s="453">
        <f t="shared" ref="C25:R25" si="16">C23/C24</f>
        <v>0.61991347389097162</v>
      </c>
      <c r="D25" s="453">
        <f t="shared" si="16"/>
        <v>0.62491773139706708</v>
      </c>
      <c r="E25" s="453">
        <f t="shared" si="16"/>
        <v>0.65239919788810707</v>
      </c>
      <c r="F25" s="453">
        <f t="shared" si="16"/>
        <v>0.57028377900702687</v>
      </c>
      <c r="G25" s="453">
        <f t="shared" si="16"/>
        <v>0.57508774785785755</v>
      </c>
      <c r="H25" s="453">
        <f t="shared" si="16"/>
        <v>0.54174477782574915</v>
      </c>
      <c r="I25" s="453">
        <f t="shared" si="16"/>
        <v>0.63596760618684289</v>
      </c>
      <c r="J25" s="453">
        <f t="shared" si="16"/>
        <v>0.58101030381212626</v>
      </c>
      <c r="K25" s="453">
        <f t="shared" si="16"/>
        <v>0.60001469460277557</v>
      </c>
      <c r="L25" s="453">
        <f t="shared" si="16"/>
        <v>0.54888574052893768</v>
      </c>
      <c r="M25" s="453">
        <f t="shared" si="16"/>
        <v>0.57342847772445593</v>
      </c>
      <c r="N25" s="453">
        <f t="shared" si="16"/>
        <v>0.59005529184779504</v>
      </c>
      <c r="O25" s="453">
        <f t="shared" si="16"/>
        <v>0.54834646565066081</v>
      </c>
      <c r="P25" s="453">
        <f t="shared" si="16"/>
        <v>0.59697348816995932</v>
      </c>
      <c r="Q25" s="453">
        <f t="shared" si="16"/>
        <v>0.5862739307988849</v>
      </c>
      <c r="R25" s="453">
        <f t="shared" si="16"/>
        <v>0.61707902823666128</v>
      </c>
      <c r="S25" s="453">
        <f t="shared" ref="S25" si="17">S23/S24</f>
        <v>0.59171705967014232</v>
      </c>
      <c r="T25" s="333"/>
    </row>
    <row r="26" spans="1:20" ht="13" customHeight="1">
      <c r="A26" s="325"/>
      <c r="T26" s="333"/>
    </row>
    <row r="27" spans="1:20" ht="13" customHeight="1">
      <c r="A27" s="325"/>
      <c r="B27" s="26" t="str">
        <f>IF('Summary | Sumário'!D$3=Names!B$3,Names!Q33,Names!R33)</f>
        <v>Funding - excluding other interest bearing liabilities</v>
      </c>
      <c r="C27" s="394"/>
      <c r="D27" s="394"/>
      <c r="E27" s="394"/>
      <c r="F27" s="394"/>
      <c r="G27" s="394"/>
      <c r="H27" s="394"/>
      <c r="I27" s="394"/>
      <c r="J27" s="394"/>
      <c r="K27" s="394"/>
      <c r="L27" s="394"/>
      <c r="M27" s="394"/>
      <c r="N27" s="394"/>
      <c r="O27" s="394"/>
      <c r="P27" s="394"/>
      <c r="Q27" s="394"/>
      <c r="R27" s="394"/>
      <c r="S27" s="394"/>
    </row>
    <row r="28" spans="1:20" ht="13" customHeight="1">
      <c r="A28" s="325"/>
      <c r="B28" s="412" t="str">
        <f>IF('Summary | Sumário'!D$3=Names!B$3,Names!Q3,Names!R3)</f>
        <v>Liabilities with customers</v>
      </c>
      <c r="C28" s="442">
        <v>4714439</v>
      </c>
      <c r="D28" s="442">
        <v>12436632</v>
      </c>
      <c r="E28" s="442">
        <f t="shared" ref="E28:E33" si="18">K28</f>
        <v>18333543</v>
      </c>
      <c r="F28" s="442">
        <f t="shared" ref="F28:F33" si="19">O28</f>
        <v>23642804</v>
      </c>
      <c r="G28" s="442">
        <f t="shared" ref="G28:G33" si="20">S28</f>
        <v>32651620</v>
      </c>
      <c r="H28" s="442">
        <v>13392679</v>
      </c>
      <c r="I28" s="442">
        <v>15629130.619999999</v>
      </c>
      <c r="J28" s="442">
        <v>17093473.298</v>
      </c>
      <c r="K28" s="442">
        <v>18333543</v>
      </c>
      <c r="L28" s="442">
        <v>18958118</v>
      </c>
      <c r="M28" s="442">
        <v>19746409</v>
      </c>
      <c r="N28" s="442">
        <v>21452026</v>
      </c>
      <c r="O28" s="442">
        <v>23642804</v>
      </c>
      <c r="P28" s="442">
        <v>24182006</v>
      </c>
      <c r="Q28" s="442">
        <v>26299326</v>
      </c>
      <c r="R28" s="442">
        <v>29063988</v>
      </c>
      <c r="S28" s="442">
        <v>32651620</v>
      </c>
    </row>
    <row r="29" spans="1:20" ht="13" customHeight="1">
      <c r="A29" s="325"/>
      <c r="B29" s="25" t="str">
        <f>IF('Summary | Sumário'!D$3=Names!B$3,Names!Q4,Names!R4)</f>
        <v>Demand deposits</v>
      </c>
      <c r="C29" s="335">
        <v>2094127</v>
      </c>
      <c r="D29" s="335">
        <v>6713351</v>
      </c>
      <c r="E29" s="335">
        <f t="shared" si="18"/>
        <v>9932809</v>
      </c>
      <c r="F29" s="335">
        <f t="shared" si="19"/>
        <v>11566826</v>
      </c>
      <c r="G29" s="335">
        <f t="shared" si="20"/>
        <v>2572536</v>
      </c>
      <c r="H29" s="335">
        <v>6984899</v>
      </c>
      <c r="I29" s="335">
        <v>8299742</v>
      </c>
      <c r="J29" s="335">
        <v>9163029</v>
      </c>
      <c r="K29" s="335">
        <v>9932809</v>
      </c>
      <c r="L29" s="335">
        <v>9620809</v>
      </c>
      <c r="M29" s="335">
        <v>9784611</v>
      </c>
      <c r="N29" s="335">
        <v>10418989</v>
      </c>
      <c r="O29" s="335">
        <v>11566826</v>
      </c>
      <c r="P29" s="335">
        <v>11005662</v>
      </c>
      <c r="Q29" s="335">
        <v>3109793</v>
      </c>
      <c r="R29" s="335">
        <v>1813779</v>
      </c>
      <c r="S29" s="335">
        <v>2572536</v>
      </c>
    </row>
    <row r="30" spans="1:20" ht="13" customHeight="1">
      <c r="B30" s="19" t="str">
        <f>IF('Summary | Sumário'!D$3=Names!B$3,Names!Q5,Names!R5)</f>
        <v>Time deposits</v>
      </c>
      <c r="C30" s="334">
        <v>2259047</v>
      </c>
      <c r="D30" s="334">
        <v>4771204</v>
      </c>
      <c r="E30" s="334">
        <f t="shared" si="18"/>
        <v>6922061</v>
      </c>
      <c r="F30" s="334">
        <f t="shared" si="19"/>
        <v>10517060</v>
      </c>
      <c r="G30" s="334">
        <f t="shared" si="20"/>
        <v>28158459</v>
      </c>
      <c r="H30" s="334">
        <v>5394450</v>
      </c>
      <c r="I30" s="334">
        <v>6119961</v>
      </c>
      <c r="J30" s="334">
        <v>6580559</v>
      </c>
      <c r="K30" s="334">
        <v>6922061</v>
      </c>
      <c r="L30" s="334">
        <v>7894003</v>
      </c>
      <c r="M30" s="334">
        <v>8579727</v>
      </c>
      <c r="N30" s="334">
        <v>9558462</v>
      </c>
      <c r="O30" s="334">
        <v>10517060</v>
      </c>
      <c r="P30" s="334">
        <v>11687031</v>
      </c>
      <c r="Q30" s="334">
        <v>21616586</v>
      </c>
      <c r="R30" s="334">
        <v>25572336</v>
      </c>
      <c r="S30" s="334">
        <v>28158459</v>
      </c>
    </row>
    <row r="31" spans="1:20" ht="13" customHeight="1">
      <c r="B31" s="25" t="str">
        <f>IF('Summary | Sumário'!D$3=Names!B$3,Names!Q6,Names!R6)</f>
        <v>Savings deposits</v>
      </c>
      <c r="C31" s="335">
        <v>307098</v>
      </c>
      <c r="D31" s="335">
        <v>887666</v>
      </c>
      <c r="E31" s="335">
        <f t="shared" si="18"/>
        <v>1230039</v>
      </c>
      <c r="F31" s="335">
        <f t="shared" si="19"/>
        <v>1307055</v>
      </c>
      <c r="G31" s="335">
        <f t="shared" si="20"/>
        <v>1540604</v>
      </c>
      <c r="H31" s="335">
        <v>935359</v>
      </c>
      <c r="I31" s="335">
        <v>1049178</v>
      </c>
      <c r="J31" s="335">
        <v>1138085</v>
      </c>
      <c r="K31" s="335">
        <v>1230039</v>
      </c>
      <c r="L31" s="335">
        <v>1215061</v>
      </c>
      <c r="M31" s="335">
        <v>1182012</v>
      </c>
      <c r="N31" s="335">
        <v>1216043</v>
      </c>
      <c r="O31" s="335">
        <v>1307055</v>
      </c>
      <c r="P31" s="335">
        <v>1274938</v>
      </c>
      <c r="Q31" s="335">
        <v>1305803</v>
      </c>
      <c r="R31" s="335">
        <v>1350713</v>
      </c>
      <c r="S31" s="335">
        <v>1540604</v>
      </c>
    </row>
    <row r="32" spans="1:20" ht="13" customHeight="1">
      <c r="B32" s="19" t="str">
        <f>IF('Summary | Sumário'!D$3=Names!B$3,Names!Q7,Names!R7)</f>
        <v>Creditors by resources to release</v>
      </c>
      <c r="C32" s="334">
        <v>54167</v>
      </c>
      <c r="D32" s="334">
        <v>64410</v>
      </c>
      <c r="E32" s="334">
        <f t="shared" si="18"/>
        <v>248633</v>
      </c>
      <c r="F32" s="334">
        <f t="shared" si="19"/>
        <v>251863</v>
      </c>
      <c r="G32" s="334">
        <f t="shared" si="20"/>
        <v>380021</v>
      </c>
      <c r="H32" s="334">
        <v>77971</v>
      </c>
      <c r="I32" s="334">
        <v>160250</v>
      </c>
      <c r="J32" s="334">
        <v>211800</v>
      </c>
      <c r="K32" s="334">
        <v>248633</v>
      </c>
      <c r="L32" s="334">
        <v>228245</v>
      </c>
      <c r="M32" s="334">
        <v>200059</v>
      </c>
      <c r="N32" s="334">
        <v>258532</v>
      </c>
      <c r="O32" s="334">
        <v>251863</v>
      </c>
      <c r="P32" s="334">
        <v>214375</v>
      </c>
      <c r="Q32" s="334">
        <v>267144</v>
      </c>
      <c r="R32" s="334">
        <v>327160</v>
      </c>
      <c r="S32" s="334">
        <v>380021</v>
      </c>
    </row>
    <row r="33" spans="1:21" ht="13" customHeight="1">
      <c r="B33" s="24" t="str">
        <f>IF('Summary | Sumário'!D$3=Names!B$3,Names!Q8,Names!R8)</f>
        <v>Securities issued</v>
      </c>
      <c r="C33" s="335">
        <v>1719580</v>
      </c>
      <c r="D33" s="335">
        <v>1729436</v>
      </c>
      <c r="E33" s="335">
        <f t="shared" si="18"/>
        <v>3572093</v>
      </c>
      <c r="F33" s="335">
        <f t="shared" si="19"/>
        <v>6202165</v>
      </c>
      <c r="G33" s="335">
        <f t="shared" si="20"/>
        <v>8095042</v>
      </c>
      <c r="H33" s="335">
        <v>1704892</v>
      </c>
      <c r="I33" s="335">
        <v>2081723</v>
      </c>
      <c r="J33" s="335">
        <v>3093320</v>
      </c>
      <c r="K33" s="335">
        <v>3572093</v>
      </c>
      <c r="L33" s="335">
        <v>4280956</v>
      </c>
      <c r="M33" s="335">
        <v>6104223</v>
      </c>
      <c r="N33" s="335">
        <v>6916919</v>
      </c>
      <c r="O33" s="335">
        <v>6202165</v>
      </c>
      <c r="P33" s="335">
        <v>6640557</v>
      </c>
      <c r="Q33" s="335">
        <v>7006191.0407400001</v>
      </c>
      <c r="R33" s="335">
        <v>7462564.5372699993</v>
      </c>
      <c r="S33" s="335">
        <v>8095042</v>
      </c>
    </row>
    <row r="34" spans="1:21" ht="13" customHeight="1">
      <c r="B34" s="436" t="str">
        <f>IF('Summary | Sumário'!D$3=Names!B$3,Names!Q9,Names!R9)</f>
        <v>Total funding</v>
      </c>
      <c r="C34" s="440">
        <f t="shared" ref="C34:R34" si="21">C28+C33</f>
        <v>6434019</v>
      </c>
      <c r="D34" s="440">
        <f t="shared" si="21"/>
        <v>14166068</v>
      </c>
      <c r="E34" s="440">
        <f t="shared" si="21"/>
        <v>21905636</v>
      </c>
      <c r="F34" s="440">
        <f t="shared" si="21"/>
        <v>29844969</v>
      </c>
      <c r="G34" s="440">
        <f t="shared" si="21"/>
        <v>40746662</v>
      </c>
      <c r="H34" s="440">
        <f t="shared" si="21"/>
        <v>15097571</v>
      </c>
      <c r="I34" s="440">
        <f t="shared" si="21"/>
        <v>17710853.619999997</v>
      </c>
      <c r="J34" s="440">
        <f t="shared" si="21"/>
        <v>20186793.298</v>
      </c>
      <c r="K34" s="440">
        <f t="shared" si="21"/>
        <v>21905636</v>
      </c>
      <c r="L34" s="440">
        <f t="shared" si="21"/>
        <v>23239074</v>
      </c>
      <c r="M34" s="440">
        <f t="shared" si="21"/>
        <v>25850632</v>
      </c>
      <c r="N34" s="440">
        <f t="shared" si="21"/>
        <v>28368945</v>
      </c>
      <c r="O34" s="440">
        <f t="shared" si="21"/>
        <v>29844969</v>
      </c>
      <c r="P34" s="440">
        <f t="shared" si="21"/>
        <v>30822563</v>
      </c>
      <c r="Q34" s="440">
        <f t="shared" si="21"/>
        <v>33305517.040739998</v>
      </c>
      <c r="R34" s="440">
        <f t="shared" si="21"/>
        <v>36526552.537270002</v>
      </c>
      <c r="S34" s="440">
        <f t="shared" ref="S34" si="22">S28+S33</f>
        <v>40746662</v>
      </c>
    </row>
    <row r="35" spans="1:21" ht="13" customHeight="1">
      <c r="B35" s="26"/>
      <c r="C35" s="337"/>
      <c r="D35" s="337"/>
      <c r="E35" s="337"/>
      <c r="F35" s="337"/>
      <c r="G35" s="337"/>
      <c r="H35" s="337"/>
      <c r="I35" s="337"/>
      <c r="J35" s="337"/>
      <c r="K35" s="337"/>
      <c r="L35" s="337"/>
      <c r="M35" s="337"/>
      <c r="N35" s="337"/>
      <c r="O35" s="337"/>
      <c r="P35" s="337"/>
      <c r="Q35" s="337"/>
      <c r="R35" s="337"/>
      <c r="S35" s="337"/>
    </row>
    <row r="36" spans="1:21" s="244" customFormat="1" ht="13" customHeight="1">
      <c r="A36" s="242"/>
      <c r="B36" s="5" t="str">
        <f>IF('Summary | Sumário'!D$3=Names!B$3,Names!Q34,Names!R34)</f>
        <v>Cost of funding - excluding other interest bearing liabilities</v>
      </c>
      <c r="C36" s="291"/>
      <c r="D36" s="291"/>
      <c r="E36" s="291"/>
      <c r="F36" s="291"/>
      <c r="G36" s="291"/>
      <c r="H36" s="291"/>
      <c r="I36" s="291"/>
      <c r="J36" s="291"/>
      <c r="K36" s="291"/>
      <c r="L36" s="291"/>
      <c r="M36" s="291"/>
      <c r="N36" s="291"/>
      <c r="O36" s="291"/>
      <c r="P36" s="291"/>
      <c r="Q36" s="291"/>
      <c r="R36" s="291"/>
      <c r="S36" s="291"/>
    </row>
    <row r="37" spans="1:21" s="269" customFormat="1" ht="13" customHeight="1">
      <c r="A37" s="338"/>
      <c r="B37" s="404" t="str">
        <f>IF('Summary | Sumário'!D$3=Names!B$3,Names!Q11,Names!R11)</f>
        <v>Annualized interest expenses</v>
      </c>
      <c r="C37" s="439">
        <f>C38</f>
        <v>256717</v>
      </c>
      <c r="D37" s="439">
        <f t="shared" ref="D37:F37" si="23">D38</f>
        <v>184335</v>
      </c>
      <c r="E37" s="439">
        <f t="shared" si="23"/>
        <v>543242</v>
      </c>
      <c r="F37" s="439">
        <f t="shared" si="23"/>
        <v>1972850</v>
      </c>
      <c r="G37" s="439">
        <f>G38</f>
        <v>2887573</v>
      </c>
      <c r="H37" s="439">
        <f>H38*4</f>
        <v>262236</v>
      </c>
      <c r="I37" s="439">
        <f t="shared" ref="I37:S37" si="24">I38*4</f>
        <v>345044</v>
      </c>
      <c r="J37" s="439">
        <f t="shared" si="24"/>
        <v>554348</v>
      </c>
      <c r="K37" s="439">
        <f t="shared" si="24"/>
        <v>1011340</v>
      </c>
      <c r="L37" s="439">
        <f t="shared" si="24"/>
        <v>1347084</v>
      </c>
      <c r="M37" s="439">
        <f t="shared" si="24"/>
        <v>1860164</v>
      </c>
      <c r="N37" s="439">
        <f t="shared" si="24"/>
        <v>2318712</v>
      </c>
      <c r="O37" s="439">
        <f t="shared" si="24"/>
        <v>2365440</v>
      </c>
      <c r="P37" s="439">
        <f t="shared" si="24"/>
        <v>2691084</v>
      </c>
      <c r="Q37" s="439">
        <f t="shared" si="24"/>
        <v>2768824</v>
      </c>
      <c r="R37" s="439">
        <f t="shared" si="24"/>
        <v>3081592</v>
      </c>
      <c r="S37" s="439">
        <f t="shared" si="24"/>
        <v>3008792.0200000005</v>
      </c>
      <c r="T37" s="293"/>
    </row>
    <row r="38" spans="1:21" ht="13" customHeight="1">
      <c r="B38" s="200" t="str">
        <f>IF('Summary | Sumário'!D$3=Names!B$3,Names!Q12,Names!R12)</f>
        <v>Interest expenses</v>
      </c>
      <c r="C38" s="287">
        <v>256717</v>
      </c>
      <c r="D38" s="287">
        <v>184335</v>
      </c>
      <c r="E38" s="287">
        <v>543242</v>
      </c>
      <c r="F38" s="287">
        <v>1972850</v>
      </c>
      <c r="G38" s="287">
        <v>2887573</v>
      </c>
      <c r="H38" s="287">
        <v>65559</v>
      </c>
      <c r="I38" s="287">
        <v>86261</v>
      </c>
      <c r="J38" s="287">
        <v>138587</v>
      </c>
      <c r="K38" s="287">
        <v>252835</v>
      </c>
      <c r="L38" s="287">
        <v>336771</v>
      </c>
      <c r="M38" s="287">
        <v>465041</v>
      </c>
      <c r="N38" s="287">
        <v>579678</v>
      </c>
      <c r="O38" s="287">
        <v>591360</v>
      </c>
      <c r="P38" s="287">
        <v>672771</v>
      </c>
      <c r="Q38" s="287">
        <v>692206</v>
      </c>
      <c r="R38" s="287">
        <v>770398</v>
      </c>
      <c r="S38" s="287">
        <v>752198.00500000012</v>
      </c>
    </row>
    <row r="39" spans="1:21" ht="13" customHeight="1">
      <c r="B39" s="24" t="str">
        <f>IF('Summary | Sumário'!D$3=Names!B$3,Names!Q13,Names!R13)</f>
        <v>(÷) Average funding</v>
      </c>
      <c r="C39" s="335">
        <f>AVERAGE(C40:C41)</f>
        <v>6434019</v>
      </c>
      <c r="D39" s="335">
        <f t="shared" ref="D39:P39" si="25">AVERAGE(D40:D41)</f>
        <v>10300043.5</v>
      </c>
      <c r="E39" s="335">
        <f t="shared" si="25"/>
        <v>18035852</v>
      </c>
      <c r="F39" s="335">
        <f t="shared" si="25"/>
        <v>25875302.5</v>
      </c>
      <c r="G39" s="335">
        <f t="shared" si="25"/>
        <v>35295815.5</v>
      </c>
      <c r="H39" s="335">
        <f t="shared" si="25"/>
        <v>14631819.5</v>
      </c>
      <c r="I39" s="335">
        <f t="shared" si="25"/>
        <v>16404212.309999999</v>
      </c>
      <c r="J39" s="335">
        <f t="shared" si="25"/>
        <v>18948823.458999999</v>
      </c>
      <c r="K39" s="335">
        <f t="shared" si="25"/>
        <v>21046214.649</v>
      </c>
      <c r="L39" s="335">
        <f t="shared" si="25"/>
        <v>22572355</v>
      </c>
      <c r="M39" s="335">
        <f t="shared" si="25"/>
        <v>24544853</v>
      </c>
      <c r="N39" s="335">
        <f t="shared" si="25"/>
        <v>27109788.5</v>
      </c>
      <c r="O39" s="335">
        <f t="shared" si="25"/>
        <v>29106957</v>
      </c>
      <c r="P39" s="335">
        <f t="shared" si="25"/>
        <v>30333766</v>
      </c>
      <c r="Q39" s="335">
        <f t="shared" ref="Q39:R39" si="26">AVERAGE(Q40:Q41)</f>
        <v>32064040.020369999</v>
      </c>
      <c r="R39" s="335">
        <f t="shared" si="26"/>
        <v>34916034.789004996</v>
      </c>
      <c r="S39" s="335">
        <f t="shared" ref="S39" si="27">AVERAGE(S40:S41)</f>
        <v>38636607.268635005</v>
      </c>
    </row>
    <row r="40" spans="1:21" ht="13" customHeight="1">
      <c r="B40" s="200" t="str">
        <f>IF('Summary | Sumário'!D$3=Names!B$3,Names!Q14,Names!R14)</f>
        <v>Total funding</v>
      </c>
      <c r="C40" s="334">
        <f>C34</f>
        <v>6434019</v>
      </c>
      <c r="D40" s="334">
        <f t="shared" ref="D40:P40" si="28">D34</f>
        <v>14166068</v>
      </c>
      <c r="E40" s="334">
        <f t="shared" si="28"/>
        <v>21905636</v>
      </c>
      <c r="F40" s="334">
        <f t="shared" si="28"/>
        <v>29844969</v>
      </c>
      <c r="G40" s="334">
        <f t="shared" si="28"/>
        <v>40746662</v>
      </c>
      <c r="H40" s="334">
        <f t="shared" si="28"/>
        <v>15097571</v>
      </c>
      <c r="I40" s="334">
        <f t="shared" si="28"/>
        <v>17710853.619999997</v>
      </c>
      <c r="J40" s="334">
        <f t="shared" si="28"/>
        <v>20186793.298</v>
      </c>
      <c r="K40" s="334">
        <f t="shared" si="28"/>
        <v>21905636</v>
      </c>
      <c r="L40" s="334">
        <f t="shared" si="28"/>
        <v>23239074</v>
      </c>
      <c r="M40" s="334">
        <f t="shared" si="28"/>
        <v>25850632</v>
      </c>
      <c r="N40" s="334">
        <f t="shared" si="28"/>
        <v>28368945</v>
      </c>
      <c r="O40" s="334">
        <f t="shared" si="28"/>
        <v>29844969</v>
      </c>
      <c r="P40" s="334">
        <f t="shared" si="28"/>
        <v>30822563</v>
      </c>
      <c r="Q40" s="334">
        <f t="shared" ref="Q40:R40" si="29">Q34</f>
        <v>33305517.040739998</v>
      </c>
      <c r="R40" s="334">
        <f t="shared" si="29"/>
        <v>36526552.537270002</v>
      </c>
      <c r="S40" s="334">
        <f t="shared" ref="S40" si="30">S34</f>
        <v>40746662</v>
      </c>
    </row>
    <row r="41" spans="1:21" ht="13" customHeight="1">
      <c r="B41" s="203" t="str">
        <f>IF('Summary | Sumário'!D$3=Names!B$3,Names!Q15,Names!R15)</f>
        <v>Total funding in the previous period</v>
      </c>
      <c r="C41" s="335">
        <f>C34</f>
        <v>6434019</v>
      </c>
      <c r="D41" s="335">
        <f>C40</f>
        <v>6434019</v>
      </c>
      <c r="E41" s="335">
        <f t="shared" ref="E41:G41" si="31">D40</f>
        <v>14166068</v>
      </c>
      <c r="F41" s="335">
        <f t="shared" si="31"/>
        <v>21905636</v>
      </c>
      <c r="G41" s="335">
        <f t="shared" si="31"/>
        <v>29844969</v>
      </c>
      <c r="H41" s="335">
        <f>D40</f>
        <v>14166068</v>
      </c>
      <c r="I41" s="335">
        <f>H40</f>
        <v>15097571</v>
      </c>
      <c r="J41" s="335">
        <f t="shared" ref="J41:S41" si="32">I40</f>
        <v>17710853.619999997</v>
      </c>
      <c r="K41" s="335">
        <f t="shared" si="32"/>
        <v>20186793.298</v>
      </c>
      <c r="L41" s="335">
        <f t="shared" si="32"/>
        <v>21905636</v>
      </c>
      <c r="M41" s="335">
        <f t="shared" si="32"/>
        <v>23239074</v>
      </c>
      <c r="N41" s="335">
        <f t="shared" si="32"/>
        <v>25850632</v>
      </c>
      <c r="O41" s="335">
        <f t="shared" si="32"/>
        <v>28368945</v>
      </c>
      <c r="P41" s="335">
        <f t="shared" si="32"/>
        <v>29844969</v>
      </c>
      <c r="Q41" s="335">
        <f t="shared" si="32"/>
        <v>30822563</v>
      </c>
      <c r="R41" s="335">
        <f t="shared" si="32"/>
        <v>33305517.040739998</v>
      </c>
      <c r="S41" s="335">
        <f t="shared" si="32"/>
        <v>36526552.537270002</v>
      </c>
    </row>
    <row r="42" spans="1:21" ht="13" customHeight="1">
      <c r="B42" s="436" t="str">
        <f>IF('Summary | Sumário'!D$3=Names!B$3,Names!Q16,Names!R16)</f>
        <v>Cost of funding (%)</v>
      </c>
      <c r="C42" s="454">
        <f>C37/C39</f>
        <v>3.9899944342719533E-2</v>
      </c>
      <c r="D42" s="454">
        <f t="shared" ref="D42:P42" si="33">D37/D39</f>
        <v>1.7896526359330422E-2</v>
      </c>
      <c r="E42" s="454">
        <f t="shared" ref="E42" si="34">E37/E39</f>
        <v>3.0120118528362286E-2</v>
      </c>
      <c r="F42" s="454">
        <f t="shared" ref="F42:G42" si="35">F37/F39</f>
        <v>7.6244519266972816E-2</v>
      </c>
      <c r="G42" s="454">
        <f t="shared" si="35"/>
        <v>8.1810632764668656E-2</v>
      </c>
      <c r="H42" s="454">
        <f t="shared" si="33"/>
        <v>1.7922309662171544E-2</v>
      </c>
      <c r="I42" s="454">
        <f t="shared" si="33"/>
        <v>2.1033865782733217E-2</v>
      </c>
      <c r="J42" s="454">
        <f t="shared" si="33"/>
        <v>2.9255008956068192E-2</v>
      </c>
      <c r="K42" s="454">
        <f t="shared" si="33"/>
        <v>4.8053296845380851E-2</v>
      </c>
      <c r="L42" s="454">
        <f t="shared" si="33"/>
        <v>5.9678487246900024E-2</v>
      </c>
      <c r="M42" s="454">
        <f t="shared" si="33"/>
        <v>7.5786316585395724E-2</v>
      </c>
      <c r="N42" s="454">
        <f t="shared" si="33"/>
        <v>8.5530434883326373E-2</v>
      </c>
      <c r="O42" s="454">
        <f t="shared" si="33"/>
        <v>8.1267169220059651E-2</v>
      </c>
      <c r="P42" s="454">
        <f t="shared" si="33"/>
        <v>8.8715789526430708E-2</v>
      </c>
      <c r="Q42" s="454">
        <f t="shared" ref="Q42:R42" si="36">Q37/Q39</f>
        <v>8.6352936131597599E-2</v>
      </c>
      <c r="R42" s="454">
        <f t="shared" si="36"/>
        <v>8.8257215305856798E-2</v>
      </c>
      <c r="S42" s="454">
        <f t="shared" ref="S42" si="37">S37/S39</f>
        <v>7.7874125931407079E-2</v>
      </c>
    </row>
    <row r="43" spans="1:21" ht="13" customHeight="1">
      <c r="B43" s="204" t="str">
        <f>IF('Summary | Sumário'!D$3=Names!B$3,Names!Q17,Names!R17)</f>
        <v>(÷) Average daily CDI rate in the period (%)</v>
      </c>
      <c r="C43" s="339">
        <v>5.9375494071146499E-2</v>
      </c>
      <c r="D43" s="339">
        <v>2.7735059760956016E-2</v>
      </c>
      <c r="E43" s="339">
        <v>4.4600000000000001E-2</v>
      </c>
      <c r="F43" s="339">
        <v>0.124527888446216</v>
      </c>
      <c r="G43" s="339">
        <v>0.1320823293</v>
      </c>
      <c r="H43" s="339">
        <v>2.022950819672133E-2</v>
      </c>
      <c r="I43" s="339">
        <v>3.2427419354838741E-2</v>
      </c>
      <c r="J43" s="339">
        <v>4.8576923076923101E-2</v>
      </c>
      <c r="K43" s="339">
        <v>7.6261904761904697E-2</v>
      </c>
      <c r="L43" s="339">
        <v>0.10270967741935499</v>
      </c>
      <c r="M43" s="339">
        <v>0.123758064516129</v>
      </c>
      <c r="N43" s="339">
        <v>0.13465384615384601</v>
      </c>
      <c r="O43" s="339">
        <v>0.13650000000000001</v>
      </c>
      <c r="P43" s="339">
        <v>0.13650000000000001</v>
      </c>
      <c r="Q43" s="339">
        <v>0.13650000000000001</v>
      </c>
      <c r="R43" s="339">
        <v>0.13275000000000001</v>
      </c>
      <c r="S43" s="339">
        <v>0.1224016393</v>
      </c>
    </row>
    <row r="44" spans="1:21" ht="13" customHeight="1">
      <c r="B44" s="436" t="str">
        <f>IF('Summary | Sumário'!D$3=Names!B$3,Names!Q18,Names!R18)</f>
        <v>Cost of funding % of CDI</v>
      </c>
      <c r="C44" s="454">
        <f t="shared" ref="C44:P44" si="38">C42/C43</f>
        <v>0.67199347082332572</v>
      </c>
      <c r="D44" s="454">
        <f t="shared" si="38"/>
        <v>0.64526727231084702</v>
      </c>
      <c r="E44" s="454">
        <f t="shared" si="38"/>
        <v>0.67533898045655349</v>
      </c>
      <c r="F44" s="454">
        <f t="shared" si="38"/>
        <v>0.61226862687793082</v>
      </c>
      <c r="G44" s="454">
        <f t="shared" si="38"/>
        <v>0.61939120242838308</v>
      </c>
      <c r="H44" s="454">
        <f t="shared" si="38"/>
        <v>0.88594885688206093</v>
      </c>
      <c r="I44" s="454">
        <f t="shared" si="38"/>
        <v>0.64864445587140429</v>
      </c>
      <c r="J44" s="454">
        <f t="shared" si="38"/>
        <v>0.6022408811225437</v>
      </c>
      <c r="K44" s="454">
        <f t="shared" si="38"/>
        <v>0.63010879410115439</v>
      </c>
      <c r="L44" s="454">
        <f t="shared" si="38"/>
        <v>0.58104054794406346</v>
      </c>
      <c r="M44" s="454">
        <f t="shared" si="38"/>
        <v>0.61237477235690552</v>
      </c>
      <c r="N44" s="454">
        <f t="shared" si="38"/>
        <v>0.63518746271536364</v>
      </c>
      <c r="O44" s="454">
        <f t="shared" si="38"/>
        <v>0.59536387707003402</v>
      </c>
      <c r="P44" s="454">
        <f t="shared" si="38"/>
        <v>0.64993252400315527</v>
      </c>
      <c r="Q44" s="454">
        <f t="shared" ref="Q44:R44" si="39">Q42/Q43</f>
        <v>0.6326222427223267</v>
      </c>
      <c r="R44" s="454">
        <f t="shared" si="39"/>
        <v>0.66483778008178374</v>
      </c>
      <c r="S44" s="454">
        <f t="shared" ref="S44" si="40">S42/S43</f>
        <v>0.63621799819642677</v>
      </c>
    </row>
    <row r="45" spans="1:21" ht="13" customHeight="1">
      <c r="B45" s="82"/>
      <c r="C45" s="336"/>
      <c r="D45" s="336"/>
      <c r="E45" s="336"/>
      <c r="F45" s="336"/>
      <c r="G45" s="336"/>
      <c r="H45" s="336"/>
      <c r="I45" s="336"/>
      <c r="J45" s="336"/>
      <c r="K45" s="336"/>
      <c r="L45" s="336"/>
      <c r="M45" s="336"/>
      <c r="N45" s="336"/>
      <c r="O45" s="336"/>
      <c r="P45" s="336"/>
      <c r="Q45" s="336"/>
      <c r="R45" s="336"/>
      <c r="S45" s="336"/>
    </row>
    <row r="46" spans="1:21" ht="13" customHeight="1">
      <c r="B46" s="93" t="str">
        <f>IF('Summary | Sumário'!D3=Names!B3,Names!AT4,Names!AU4)</f>
        <v>Source: CDI Rate according to CETIP</v>
      </c>
      <c r="C46" s="336"/>
      <c r="D46" s="336"/>
      <c r="E46" s="336"/>
      <c r="F46" s="336"/>
      <c r="G46" s="336"/>
      <c r="H46" s="336"/>
      <c r="I46" s="336"/>
      <c r="J46" s="336"/>
      <c r="K46" s="336"/>
      <c r="L46" s="336"/>
      <c r="M46" s="336"/>
      <c r="N46" s="336"/>
      <c r="O46" s="336"/>
      <c r="P46" s="336"/>
      <c r="Q46" s="336"/>
      <c r="R46" s="336"/>
      <c r="S46" s="336"/>
    </row>
    <row r="47" spans="1:21" ht="13" customHeight="1">
      <c r="B47" s="88"/>
      <c r="C47" s="340"/>
      <c r="D47" s="340"/>
      <c r="E47" s="340"/>
      <c r="F47" s="340"/>
      <c r="G47" s="340"/>
      <c r="H47" s="340"/>
      <c r="I47" s="340"/>
      <c r="J47" s="340"/>
      <c r="K47" s="340"/>
      <c r="L47" s="340"/>
      <c r="M47" s="340"/>
      <c r="N47" s="340"/>
      <c r="O47" s="340"/>
      <c r="P47" s="340"/>
      <c r="Q47" s="340"/>
      <c r="R47" s="340"/>
      <c r="S47" s="340"/>
    </row>
    <row r="48" spans="1:21" ht="13" customHeight="1">
      <c r="B48" s="88"/>
      <c r="C48" s="340"/>
      <c r="D48" s="340"/>
      <c r="E48" s="340"/>
      <c r="F48" s="340"/>
      <c r="G48" s="340"/>
      <c r="H48" s="340"/>
      <c r="I48" s="340"/>
      <c r="J48" s="340"/>
      <c r="K48" s="340"/>
      <c r="L48" s="340"/>
      <c r="M48" s="340"/>
      <c r="N48" s="340"/>
      <c r="O48" s="340"/>
      <c r="P48" s="340"/>
      <c r="Q48" s="340"/>
      <c r="R48" s="340"/>
      <c r="S48" s="340"/>
      <c r="U48" s="250"/>
    </row>
    <row r="49" spans="1:22" ht="13" customHeight="1">
      <c r="A49" s="325"/>
      <c r="B49" s="88"/>
      <c r="C49" s="340"/>
      <c r="D49" s="340"/>
      <c r="E49" s="340"/>
      <c r="F49" s="340"/>
      <c r="G49" s="340"/>
      <c r="H49" s="340"/>
      <c r="I49" s="340"/>
      <c r="J49" s="340"/>
      <c r="K49" s="340"/>
      <c r="L49" s="340"/>
      <c r="M49" s="340"/>
      <c r="N49" s="340"/>
      <c r="O49" s="340"/>
      <c r="P49" s="340"/>
      <c r="Q49" s="340"/>
      <c r="R49" s="340"/>
      <c r="S49" s="340"/>
      <c r="T49" s="250"/>
      <c r="U49" s="250"/>
      <c r="V49" s="321"/>
    </row>
    <row r="50" spans="1:22" ht="13" customHeight="1">
      <c r="A50" s="325"/>
      <c r="B50" s="80"/>
      <c r="C50" s="287"/>
      <c r="D50" s="287"/>
      <c r="E50" s="287"/>
      <c r="F50" s="287"/>
      <c r="G50" s="287"/>
      <c r="H50" s="287"/>
      <c r="I50" s="287"/>
      <c r="J50" s="287"/>
      <c r="K50" s="287"/>
      <c r="L50" s="287"/>
      <c r="M50" s="287"/>
      <c r="N50" s="287"/>
      <c r="O50" s="287"/>
      <c r="P50" s="287"/>
      <c r="Q50" s="287"/>
      <c r="R50" s="287"/>
      <c r="S50" s="287"/>
      <c r="T50" s="250"/>
      <c r="U50" s="250"/>
      <c r="V50" s="321"/>
    </row>
    <row r="51" spans="1:22" ht="13" customHeight="1">
      <c r="A51" s="325"/>
      <c r="B51" s="80"/>
      <c r="C51" s="329"/>
      <c r="D51" s="329"/>
      <c r="E51" s="329"/>
      <c r="F51" s="329"/>
      <c r="G51" s="329"/>
      <c r="H51" s="329"/>
      <c r="I51" s="329"/>
      <c r="J51" s="329"/>
      <c r="K51" s="329"/>
      <c r="L51" s="329"/>
      <c r="M51" s="329"/>
      <c r="N51" s="329"/>
      <c r="O51" s="329"/>
      <c r="P51" s="329"/>
      <c r="Q51" s="329"/>
      <c r="R51" s="329"/>
      <c r="S51" s="329"/>
      <c r="T51" s="250"/>
      <c r="U51" s="250"/>
    </row>
    <row r="52" spans="1:22" ht="13" customHeight="1">
      <c r="A52" s="325"/>
      <c r="B52" s="81"/>
      <c r="C52" s="341"/>
      <c r="D52" s="341"/>
      <c r="E52" s="341"/>
      <c r="F52" s="341"/>
      <c r="G52" s="341"/>
      <c r="H52" s="341"/>
      <c r="I52" s="341"/>
      <c r="J52" s="341"/>
      <c r="K52" s="341"/>
      <c r="L52" s="341"/>
      <c r="M52" s="341"/>
      <c r="N52" s="341"/>
      <c r="O52" s="341"/>
      <c r="P52" s="341"/>
      <c r="Q52" s="341"/>
      <c r="R52" s="341"/>
      <c r="S52" s="341"/>
      <c r="T52" s="250"/>
      <c r="U52" s="250"/>
    </row>
    <row r="53" spans="1:22" ht="13" customHeight="1">
      <c r="A53" s="325"/>
      <c r="T53" s="250"/>
      <c r="U53" s="250"/>
    </row>
    <row r="54" spans="1:22" ht="13" customHeight="1">
      <c r="A54" s="325"/>
      <c r="B54" s="82"/>
      <c r="C54" s="336"/>
      <c r="D54" s="336"/>
      <c r="E54" s="336"/>
      <c r="F54" s="336"/>
      <c r="G54" s="336"/>
      <c r="H54" s="336"/>
      <c r="I54" s="336"/>
      <c r="J54" s="336"/>
      <c r="K54" s="336"/>
      <c r="L54" s="336"/>
      <c r="M54" s="336"/>
      <c r="N54" s="336"/>
      <c r="O54" s="336"/>
      <c r="P54" s="336"/>
      <c r="Q54" s="336"/>
      <c r="R54" s="336"/>
      <c r="S54" s="336"/>
    </row>
    <row r="55" spans="1:22" ht="13" customHeight="1">
      <c r="A55" s="325"/>
      <c r="B55" s="82"/>
      <c r="C55" s="336"/>
      <c r="D55" s="336"/>
      <c r="E55" s="336"/>
      <c r="F55" s="336"/>
      <c r="G55" s="336"/>
      <c r="H55" s="336"/>
      <c r="I55" s="336"/>
      <c r="J55" s="336"/>
      <c r="K55" s="336"/>
      <c r="L55" s="336"/>
      <c r="M55" s="336"/>
      <c r="N55" s="336"/>
      <c r="O55" s="336"/>
      <c r="P55" s="336"/>
      <c r="Q55" s="336"/>
      <c r="R55" s="336"/>
      <c r="S55" s="336"/>
    </row>
    <row r="56" spans="1:22" ht="13" customHeight="1">
      <c r="A56" s="325"/>
      <c r="B56" s="82"/>
      <c r="C56" s="336"/>
      <c r="D56" s="336"/>
      <c r="E56" s="336"/>
      <c r="F56" s="336"/>
      <c r="G56" s="336"/>
      <c r="H56" s="336"/>
      <c r="I56" s="336"/>
      <c r="J56" s="336"/>
      <c r="K56" s="336"/>
      <c r="L56" s="336"/>
      <c r="M56" s="336"/>
      <c r="N56" s="336"/>
      <c r="O56" s="336"/>
      <c r="P56" s="336"/>
      <c r="Q56" s="336"/>
      <c r="R56" s="336"/>
      <c r="S56" s="336"/>
    </row>
    <row r="57" spans="1:22" ht="13" customHeight="1">
      <c r="A57" s="325"/>
      <c r="T57" s="293"/>
    </row>
    <row r="58" spans="1:22" ht="13" customHeight="1">
      <c r="T58" s="293"/>
    </row>
  </sheetData>
  <sheetProtection algorithmName="SHA-512" hashValue="GdxThJhy+bBR5MdSjshAIq+aqQp/3oWpHz4R6juLz5q6mWdA5n4qBsXkx5gVAFiCDtOmnRszp7UYNB/GNIG+pw==" saltValue="lYmVdEQ2C4Ihhw4J18RjtA=="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8192-E1BC-0E44-928B-4A788C5D6993}">
  <sheetPr>
    <tabColor rgb="FFEB7100"/>
  </sheetPr>
  <dimension ref="A1:XET39"/>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6384" width="10.83203125" style="211"/>
  </cols>
  <sheetData>
    <row r="1" spans="1:1021 1034:2048 2061:3062 3075:4089 4102:5116 5129:6143 6156:7157 7170:8184 8197:9211 9224:10238 10251:11252 11265:12279 12292:13306 13319:14333 14346:15360 15373:16374" ht="13" customHeight="1">
      <c r="C1" s="212"/>
      <c r="D1" s="212"/>
      <c r="E1" s="212"/>
      <c r="F1" s="212"/>
      <c r="G1" s="212"/>
      <c r="H1" s="212"/>
      <c r="I1" s="212"/>
      <c r="J1" s="212"/>
      <c r="K1" s="212"/>
      <c r="L1" s="212"/>
      <c r="M1" s="212"/>
      <c r="N1" s="212"/>
      <c r="O1" s="212"/>
      <c r="P1" s="212"/>
      <c r="Q1" s="212"/>
      <c r="R1" s="212"/>
      <c r="S1" s="212"/>
    </row>
    <row r="2" spans="1:1021 1034:2048 2061:3062 3075:4089 4102:5116 5129:6143 6156:7157 7170:8184 8197:9211 9224:10238 10251:11252 11265:12279 12292:13306 13319:14333 14346:15360 15373:16374" s="12" customFormat="1" ht="13" customHeight="1">
      <c r="B2" s="400" t="str">
        <f>IF('Summary | Sumário'!D$3=Names!B$3,Names!S1,Names!T1)</f>
        <v>Fee Revenues (IFRS, R$ Thousands)</v>
      </c>
      <c r="C2" s="208">
        <f>IF('Summary | Sumário'!D3=Names!B3,Names!C2,Names!D2)</f>
        <v>2019</v>
      </c>
      <c r="D2" s="208">
        <f>IF('Summary | Sumário'!D3=Names!B3,Names!C3,Names!D3)</f>
        <v>2020</v>
      </c>
      <c r="E2" s="208">
        <f>IF('Summary | Sumário'!D3=Names!B3,Names!C4,Names!D4)</f>
        <v>2021</v>
      </c>
      <c r="F2" s="208">
        <f>IF('Summary | Sumário'!D3=Names!B3,Names!C5,Names!D5)</f>
        <v>2022</v>
      </c>
      <c r="G2" s="429">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2" t="str">
        <f>IF('Summary | Sumário'!D3=Names!B3,Names!C17,Names!D17)</f>
        <v>4Q23</v>
      </c>
      <c r="T2" s="13"/>
      <c r="V2" s="14"/>
      <c r="W2" s="15"/>
    </row>
    <row r="3" spans="1:1021 1034:2048 2061:3062 3075:4089 4102:5116 5129:6143 6156:7157 7170:8184 8197:9211 9224:10238 10251:11252 11265:12279 12292:13306 13319:14333 14346:15360 15373:16374" ht="13" customHeight="1">
      <c r="B3" s="16"/>
      <c r="C3" s="222"/>
      <c r="D3" s="222"/>
      <c r="E3" s="222"/>
      <c r="F3" s="222"/>
      <c r="G3" s="223"/>
      <c r="H3" s="223"/>
      <c r="I3" s="223"/>
      <c r="J3" s="223"/>
      <c r="K3" s="223"/>
      <c r="L3" s="223"/>
      <c r="M3" s="223"/>
      <c r="N3" s="223"/>
      <c r="O3" s="223"/>
      <c r="P3" s="223"/>
      <c r="Q3" s="223"/>
      <c r="R3" s="223"/>
      <c r="S3" s="223"/>
    </row>
    <row r="4" spans="1:1021 1034:2048 2061:3062 3075:4089 4102:5116 5129:6143 6156:7157 7170:8184 8197:9211 9224:10238 10251:11252 11265:12279 12292:13306 13319:14333 14346:15360 15373:16374" s="326" customFormat="1" ht="13" customHeight="1">
      <c r="A4" s="325"/>
      <c r="B4" s="403" t="str">
        <f>IF('Summary | Sumário'!D$3=Names!B$3,Names!S3,Names!T3)</f>
        <v xml:space="preserve">Revenues from services and commissions </v>
      </c>
      <c r="C4" s="287"/>
      <c r="D4" s="287"/>
      <c r="E4" s="287"/>
      <c r="F4" s="287"/>
      <c r="G4" s="287"/>
      <c r="H4" s="287"/>
      <c r="I4" s="287"/>
      <c r="J4" s="287"/>
      <c r="K4" s="287"/>
      <c r="L4" s="287"/>
      <c r="M4" s="287"/>
      <c r="N4" s="287"/>
      <c r="O4" s="287"/>
      <c r="P4" s="287"/>
      <c r="Q4" s="287"/>
      <c r="R4" s="287"/>
      <c r="S4" s="287"/>
      <c r="T4" s="287"/>
      <c r="U4" s="211"/>
      <c r="AG4" s="327"/>
      <c r="AT4" s="327"/>
      <c r="BG4" s="327"/>
      <c r="BT4" s="327"/>
      <c r="CG4" s="327"/>
      <c r="CT4" s="327"/>
      <c r="DG4" s="327"/>
      <c r="DT4" s="327"/>
      <c r="EG4" s="327"/>
      <c r="ET4" s="327"/>
      <c r="FG4" s="327"/>
      <c r="FT4" s="327"/>
      <c r="GG4" s="327"/>
      <c r="GT4" s="327"/>
      <c r="HG4" s="327"/>
      <c r="HT4" s="327"/>
      <c r="IG4" s="327"/>
      <c r="IT4" s="327"/>
      <c r="JG4" s="327"/>
      <c r="JT4" s="327"/>
      <c r="KG4" s="327"/>
      <c r="KT4" s="327"/>
      <c r="LG4" s="327"/>
      <c r="LT4" s="327"/>
      <c r="MG4" s="327"/>
      <c r="MT4" s="327"/>
      <c r="NG4" s="327"/>
      <c r="NT4" s="327"/>
      <c r="OG4" s="327"/>
      <c r="OT4" s="327"/>
      <c r="PG4" s="327"/>
      <c r="PT4" s="327"/>
      <c r="QG4" s="327"/>
      <c r="QT4" s="327"/>
      <c r="RG4" s="327"/>
      <c r="RT4" s="327"/>
      <c r="SG4" s="327"/>
      <c r="ST4" s="327"/>
      <c r="TG4" s="327"/>
      <c r="TT4" s="327"/>
      <c r="UG4" s="327"/>
      <c r="UT4" s="327"/>
      <c r="VG4" s="327"/>
      <c r="VT4" s="327"/>
      <c r="WG4" s="327"/>
      <c r="WT4" s="327"/>
      <c r="XG4" s="327"/>
      <c r="XT4" s="327"/>
      <c r="YG4" s="327"/>
      <c r="YT4" s="327"/>
      <c r="ZG4" s="327"/>
      <c r="ZT4" s="327"/>
      <c r="AAG4" s="327"/>
      <c r="AAT4" s="327"/>
      <c r="ABG4" s="327"/>
      <c r="ABT4" s="327"/>
      <c r="ACG4" s="327"/>
      <c r="ACT4" s="327"/>
      <c r="ADG4" s="327"/>
      <c r="ADT4" s="327"/>
      <c r="AEG4" s="327"/>
      <c r="AET4" s="327"/>
      <c r="AFG4" s="327"/>
      <c r="AFT4" s="327"/>
      <c r="AGG4" s="327"/>
      <c r="AGT4" s="327"/>
      <c r="AHG4" s="327"/>
      <c r="AHT4" s="327"/>
      <c r="AIG4" s="327"/>
      <c r="AIT4" s="327"/>
      <c r="AJG4" s="327"/>
      <c r="AJT4" s="327"/>
      <c r="AKG4" s="327"/>
      <c r="AKT4" s="327"/>
      <c r="ALG4" s="327"/>
      <c r="ALT4" s="327"/>
      <c r="AMG4" s="327"/>
      <c r="AMT4" s="327"/>
      <c r="ANG4" s="327"/>
      <c r="ANT4" s="327"/>
      <c r="AOG4" s="327"/>
      <c r="AOT4" s="327"/>
      <c r="APG4" s="327"/>
      <c r="APT4" s="327"/>
      <c r="AQG4" s="327"/>
      <c r="AQT4" s="327"/>
      <c r="ARG4" s="327"/>
      <c r="ART4" s="327"/>
      <c r="ASG4" s="327"/>
      <c r="AST4" s="327"/>
      <c r="ATG4" s="327"/>
      <c r="ATT4" s="327"/>
      <c r="AUG4" s="327"/>
      <c r="AUT4" s="327"/>
      <c r="AVG4" s="327"/>
      <c r="AVT4" s="327"/>
      <c r="AWG4" s="327"/>
      <c r="AWT4" s="327"/>
      <c r="AXG4" s="327"/>
      <c r="AXT4" s="327"/>
      <c r="AYG4" s="327"/>
      <c r="AYT4" s="327"/>
      <c r="AZG4" s="327"/>
      <c r="AZT4" s="327"/>
      <c r="BAG4" s="327"/>
      <c r="BAT4" s="327"/>
      <c r="BBG4" s="327"/>
      <c r="BBT4" s="327"/>
      <c r="BCG4" s="327"/>
      <c r="BCT4" s="327"/>
      <c r="BDG4" s="327"/>
      <c r="BDT4" s="327"/>
      <c r="BEG4" s="327"/>
      <c r="BET4" s="327"/>
      <c r="BFG4" s="327"/>
      <c r="BFT4" s="327"/>
      <c r="BGG4" s="327"/>
      <c r="BGT4" s="327"/>
      <c r="BHG4" s="327"/>
      <c r="BHT4" s="327"/>
      <c r="BIG4" s="327"/>
      <c r="BIT4" s="327"/>
      <c r="BJG4" s="327"/>
      <c r="BJT4" s="327"/>
      <c r="BKG4" s="327"/>
      <c r="BKT4" s="327"/>
      <c r="BLG4" s="327"/>
      <c r="BLT4" s="327"/>
      <c r="BMG4" s="327"/>
      <c r="BMT4" s="327"/>
      <c r="BNG4" s="327"/>
      <c r="BNT4" s="327"/>
      <c r="BOG4" s="327"/>
      <c r="BOT4" s="327"/>
      <c r="BPG4" s="327"/>
      <c r="BPT4" s="327"/>
      <c r="BQG4" s="327"/>
      <c r="BQT4" s="327"/>
      <c r="BRG4" s="327"/>
      <c r="BRT4" s="327"/>
      <c r="BSG4" s="327"/>
      <c r="BST4" s="327"/>
      <c r="BTG4" s="327"/>
      <c r="BTT4" s="327"/>
      <c r="BUG4" s="327"/>
      <c r="BUT4" s="327"/>
      <c r="BVG4" s="327"/>
      <c r="BVT4" s="327"/>
      <c r="BWG4" s="327"/>
      <c r="BWT4" s="327"/>
      <c r="BXG4" s="327"/>
      <c r="BXT4" s="327"/>
      <c r="BYG4" s="327"/>
      <c r="BYT4" s="327"/>
      <c r="BZG4" s="327"/>
      <c r="BZT4" s="327"/>
      <c r="CAG4" s="327"/>
      <c r="CAT4" s="327"/>
      <c r="CBG4" s="327"/>
      <c r="CBT4" s="327"/>
      <c r="CCG4" s="327"/>
      <c r="CCT4" s="327"/>
      <c r="CDG4" s="327"/>
      <c r="CDT4" s="327"/>
      <c r="CEG4" s="327"/>
      <c r="CET4" s="327"/>
      <c r="CFG4" s="327"/>
      <c r="CFT4" s="327"/>
      <c r="CGG4" s="327"/>
      <c r="CGT4" s="327"/>
      <c r="CHG4" s="327"/>
      <c r="CHT4" s="327"/>
      <c r="CIG4" s="327"/>
      <c r="CIT4" s="327"/>
      <c r="CJG4" s="327"/>
      <c r="CJT4" s="327"/>
      <c r="CKG4" s="327"/>
      <c r="CKT4" s="327"/>
      <c r="CLG4" s="327"/>
      <c r="CLT4" s="327"/>
      <c r="CMG4" s="327"/>
      <c r="CMT4" s="327"/>
      <c r="CNG4" s="327"/>
      <c r="CNT4" s="327"/>
      <c r="COG4" s="327"/>
      <c r="COT4" s="327"/>
      <c r="CPG4" s="327"/>
      <c r="CPT4" s="327"/>
      <c r="CQG4" s="327"/>
      <c r="CQT4" s="327"/>
      <c r="CRG4" s="327"/>
      <c r="CRT4" s="327"/>
      <c r="CSG4" s="327"/>
      <c r="CST4" s="327"/>
      <c r="CTG4" s="327"/>
      <c r="CTT4" s="327"/>
      <c r="CUG4" s="327"/>
      <c r="CUT4" s="327"/>
      <c r="CVG4" s="327"/>
      <c r="CVT4" s="327"/>
      <c r="CWG4" s="327"/>
      <c r="CWT4" s="327"/>
      <c r="CXG4" s="327"/>
      <c r="CXT4" s="327"/>
      <c r="CYG4" s="327"/>
      <c r="CYT4" s="327"/>
      <c r="CZG4" s="327"/>
      <c r="CZT4" s="327"/>
      <c r="DAG4" s="327"/>
      <c r="DAT4" s="327"/>
      <c r="DBG4" s="327"/>
      <c r="DBT4" s="327"/>
      <c r="DCG4" s="327"/>
      <c r="DCT4" s="327"/>
      <c r="DDG4" s="327"/>
      <c r="DDT4" s="327"/>
      <c r="DEG4" s="327"/>
      <c r="DET4" s="327"/>
      <c r="DFG4" s="327"/>
      <c r="DFT4" s="327"/>
      <c r="DGG4" s="327"/>
      <c r="DGT4" s="327"/>
      <c r="DHG4" s="327"/>
      <c r="DHT4" s="327"/>
      <c r="DIG4" s="327"/>
      <c r="DIT4" s="327"/>
      <c r="DJG4" s="327"/>
      <c r="DJT4" s="327"/>
      <c r="DKG4" s="327"/>
      <c r="DKT4" s="327"/>
      <c r="DLG4" s="327"/>
      <c r="DLT4" s="327"/>
      <c r="DMG4" s="327"/>
      <c r="DMT4" s="327"/>
      <c r="DNG4" s="327"/>
      <c r="DNT4" s="327"/>
      <c r="DOG4" s="327"/>
      <c r="DOT4" s="327"/>
      <c r="DPG4" s="327"/>
      <c r="DPT4" s="327"/>
      <c r="DQG4" s="327"/>
      <c r="DQT4" s="327"/>
      <c r="DRG4" s="327"/>
      <c r="DRT4" s="327"/>
      <c r="DSG4" s="327"/>
      <c r="DST4" s="327"/>
      <c r="DTG4" s="327"/>
      <c r="DTT4" s="327"/>
      <c r="DUG4" s="327"/>
      <c r="DUT4" s="327"/>
      <c r="DVG4" s="327"/>
      <c r="DVT4" s="327"/>
      <c r="DWG4" s="327"/>
      <c r="DWT4" s="327"/>
      <c r="DXG4" s="327"/>
      <c r="DXT4" s="327"/>
      <c r="DYG4" s="327"/>
      <c r="DYT4" s="327"/>
      <c r="DZG4" s="327"/>
      <c r="DZT4" s="327"/>
      <c r="EAG4" s="327"/>
      <c r="EAT4" s="327"/>
      <c r="EBG4" s="327"/>
      <c r="EBT4" s="327"/>
      <c r="ECG4" s="327"/>
      <c r="ECT4" s="327"/>
      <c r="EDG4" s="327"/>
      <c r="EDT4" s="327"/>
      <c r="EEG4" s="327"/>
      <c r="EET4" s="327"/>
      <c r="EFG4" s="327"/>
      <c r="EFT4" s="327"/>
      <c r="EGG4" s="327"/>
      <c r="EGT4" s="327"/>
      <c r="EHG4" s="327"/>
      <c r="EHT4" s="327"/>
      <c r="EIG4" s="327"/>
      <c r="EIT4" s="327"/>
      <c r="EJG4" s="327"/>
      <c r="EJT4" s="327"/>
      <c r="EKG4" s="327"/>
      <c r="EKT4" s="327"/>
      <c r="ELG4" s="327"/>
      <c r="ELT4" s="327"/>
      <c r="EMG4" s="327"/>
      <c r="EMT4" s="327"/>
      <c r="ENG4" s="327"/>
      <c r="ENT4" s="327"/>
      <c r="EOG4" s="327"/>
      <c r="EOT4" s="327"/>
      <c r="EPG4" s="327"/>
      <c r="EPT4" s="327"/>
      <c r="EQG4" s="327"/>
      <c r="EQT4" s="327"/>
      <c r="ERG4" s="327"/>
      <c r="ERT4" s="327"/>
      <c r="ESG4" s="327"/>
      <c r="EST4" s="327"/>
      <c r="ETG4" s="327"/>
      <c r="ETT4" s="327"/>
      <c r="EUG4" s="327"/>
      <c r="EUT4" s="327"/>
      <c r="EVG4" s="327"/>
      <c r="EVT4" s="327"/>
      <c r="EWG4" s="327"/>
      <c r="EWT4" s="327"/>
      <c r="EXG4" s="327"/>
      <c r="EXT4" s="327"/>
      <c r="EYG4" s="327"/>
      <c r="EYT4" s="327"/>
      <c r="EZG4" s="327"/>
      <c r="EZT4" s="327"/>
      <c r="FAG4" s="327"/>
      <c r="FAT4" s="327"/>
      <c r="FBG4" s="327"/>
      <c r="FBT4" s="327"/>
      <c r="FCG4" s="327"/>
      <c r="FCT4" s="327"/>
      <c r="FDG4" s="327"/>
      <c r="FDT4" s="327"/>
      <c r="FEG4" s="327"/>
      <c r="FET4" s="327"/>
      <c r="FFG4" s="327"/>
      <c r="FFT4" s="327"/>
      <c r="FGG4" s="327"/>
      <c r="FGT4" s="327"/>
      <c r="FHG4" s="327"/>
      <c r="FHT4" s="327"/>
      <c r="FIG4" s="327"/>
      <c r="FIT4" s="327"/>
      <c r="FJG4" s="327"/>
      <c r="FJT4" s="327"/>
      <c r="FKG4" s="327"/>
      <c r="FKT4" s="327"/>
      <c r="FLG4" s="327"/>
      <c r="FLT4" s="327"/>
      <c r="FMG4" s="327"/>
      <c r="FMT4" s="327"/>
      <c r="FNG4" s="327"/>
      <c r="FNT4" s="327"/>
      <c r="FOG4" s="327"/>
      <c r="FOT4" s="327"/>
      <c r="FPG4" s="327"/>
      <c r="FPT4" s="327"/>
      <c r="FQG4" s="327"/>
      <c r="FQT4" s="327"/>
      <c r="FRG4" s="327"/>
      <c r="FRT4" s="327"/>
      <c r="FSG4" s="327"/>
      <c r="FST4" s="327"/>
      <c r="FTG4" s="327"/>
      <c r="FTT4" s="327"/>
      <c r="FUG4" s="327"/>
      <c r="FUT4" s="327"/>
      <c r="FVG4" s="327"/>
      <c r="FVT4" s="327"/>
      <c r="FWG4" s="327"/>
      <c r="FWT4" s="327"/>
      <c r="FXG4" s="327"/>
      <c r="FXT4" s="327"/>
      <c r="FYG4" s="327"/>
      <c r="FYT4" s="327"/>
      <c r="FZG4" s="327"/>
      <c r="FZT4" s="327"/>
      <c r="GAG4" s="327"/>
      <c r="GAT4" s="327"/>
      <c r="GBG4" s="327"/>
      <c r="GBT4" s="327"/>
      <c r="GCG4" s="327"/>
      <c r="GCT4" s="327"/>
      <c r="GDG4" s="327"/>
      <c r="GDT4" s="327"/>
      <c r="GEG4" s="327"/>
      <c r="GET4" s="327"/>
      <c r="GFG4" s="327"/>
      <c r="GFT4" s="327"/>
      <c r="GGG4" s="327"/>
      <c r="GGT4" s="327"/>
      <c r="GHG4" s="327"/>
      <c r="GHT4" s="327"/>
      <c r="GIG4" s="327"/>
      <c r="GIT4" s="327"/>
      <c r="GJG4" s="327"/>
      <c r="GJT4" s="327"/>
      <c r="GKG4" s="327"/>
      <c r="GKT4" s="327"/>
      <c r="GLG4" s="327"/>
      <c r="GLT4" s="327"/>
      <c r="GMG4" s="327"/>
      <c r="GMT4" s="327"/>
      <c r="GNG4" s="327"/>
      <c r="GNT4" s="327"/>
      <c r="GOG4" s="327"/>
      <c r="GOT4" s="327"/>
      <c r="GPG4" s="327"/>
      <c r="GPT4" s="327"/>
      <c r="GQG4" s="327"/>
      <c r="GQT4" s="327"/>
      <c r="GRG4" s="327"/>
      <c r="GRT4" s="327"/>
      <c r="GSG4" s="327"/>
      <c r="GST4" s="327"/>
      <c r="GTG4" s="327"/>
      <c r="GTT4" s="327"/>
      <c r="GUG4" s="327"/>
      <c r="GUT4" s="327"/>
      <c r="GVG4" s="327"/>
      <c r="GVT4" s="327"/>
      <c r="GWG4" s="327"/>
      <c r="GWT4" s="327"/>
      <c r="GXG4" s="327"/>
      <c r="GXT4" s="327"/>
      <c r="GYG4" s="327"/>
      <c r="GYT4" s="327"/>
      <c r="GZG4" s="327"/>
      <c r="GZT4" s="327"/>
      <c r="HAG4" s="327"/>
      <c r="HAT4" s="327"/>
      <c r="HBG4" s="327"/>
      <c r="HBT4" s="327"/>
      <c r="HCG4" s="327"/>
      <c r="HCT4" s="327"/>
      <c r="HDG4" s="327"/>
      <c r="HDT4" s="327"/>
      <c r="HEG4" s="327"/>
      <c r="HET4" s="327"/>
      <c r="HFG4" s="327"/>
      <c r="HFT4" s="327"/>
      <c r="HGG4" s="327"/>
      <c r="HGT4" s="327"/>
      <c r="HHG4" s="327"/>
      <c r="HHT4" s="327"/>
      <c r="HIG4" s="327"/>
      <c r="HIT4" s="327"/>
      <c r="HJG4" s="327"/>
      <c r="HJT4" s="327"/>
      <c r="HKG4" s="327"/>
      <c r="HKT4" s="327"/>
      <c r="HLG4" s="327"/>
      <c r="HLT4" s="327"/>
      <c r="HMG4" s="327"/>
      <c r="HMT4" s="327"/>
      <c r="HNG4" s="327"/>
      <c r="HNT4" s="327"/>
      <c r="HOG4" s="327"/>
      <c r="HOT4" s="327"/>
      <c r="HPG4" s="327"/>
      <c r="HPT4" s="327"/>
      <c r="HQG4" s="327"/>
      <c r="HQT4" s="327"/>
      <c r="HRG4" s="327"/>
      <c r="HRT4" s="327"/>
      <c r="HSG4" s="327"/>
      <c r="HST4" s="327"/>
      <c r="HTG4" s="327"/>
      <c r="HTT4" s="327"/>
      <c r="HUG4" s="327"/>
      <c r="HUT4" s="327"/>
      <c r="HVG4" s="327"/>
      <c r="HVT4" s="327"/>
      <c r="HWG4" s="327"/>
      <c r="HWT4" s="327"/>
      <c r="HXG4" s="327"/>
      <c r="HXT4" s="327"/>
      <c r="HYG4" s="327"/>
      <c r="HYT4" s="327"/>
      <c r="HZG4" s="327"/>
      <c r="HZT4" s="327"/>
      <c r="IAG4" s="327"/>
      <c r="IAT4" s="327"/>
      <c r="IBG4" s="327"/>
      <c r="IBT4" s="327"/>
      <c r="ICG4" s="327"/>
      <c r="ICT4" s="327"/>
      <c r="IDG4" s="327"/>
      <c r="IDT4" s="327"/>
      <c r="IEG4" s="327"/>
      <c r="IET4" s="327"/>
      <c r="IFG4" s="327"/>
      <c r="IFT4" s="327"/>
      <c r="IGG4" s="327"/>
      <c r="IGT4" s="327"/>
      <c r="IHG4" s="327"/>
      <c r="IHT4" s="327"/>
      <c r="IIG4" s="327"/>
      <c r="IIT4" s="327"/>
      <c r="IJG4" s="327"/>
      <c r="IJT4" s="327"/>
      <c r="IKG4" s="327"/>
      <c r="IKT4" s="327"/>
      <c r="ILG4" s="327"/>
      <c r="ILT4" s="327"/>
      <c r="IMG4" s="327"/>
      <c r="IMT4" s="327"/>
      <c r="ING4" s="327"/>
      <c r="INT4" s="327"/>
      <c r="IOG4" s="327"/>
      <c r="IOT4" s="327"/>
      <c r="IPG4" s="327"/>
      <c r="IPT4" s="327"/>
      <c r="IQG4" s="327"/>
      <c r="IQT4" s="327"/>
      <c r="IRG4" s="327"/>
      <c r="IRT4" s="327"/>
      <c r="ISG4" s="327"/>
      <c r="IST4" s="327"/>
      <c r="ITG4" s="327"/>
      <c r="ITT4" s="327"/>
      <c r="IUG4" s="327"/>
      <c r="IUT4" s="327"/>
      <c r="IVG4" s="327"/>
      <c r="IVT4" s="327"/>
      <c r="IWG4" s="327"/>
      <c r="IWT4" s="327"/>
      <c r="IXG4" s="327"/>
      <c r="IXT4" s="327"/>
      <c r="IYG4" s="327"/>
      <c r="IYT4" s="327"/>
      <c r="IZG4" s="327"/>
      <c r="IZT4" s="327"/>
      <c r="JAG4" s="327"/>
      <c r="JAT4" s="327"/>
      <c r="JBG4" s="327"/>
      <c r="JBT4" s="327"/>
      <c r="JCG4" s="327"/>
      <c r="JCT4" s="327"/>
      <c r="JDG4" s="327"/>
      <c r="JDT4" s="327"/>
      <c r="JEG4" s="327"/>
      <c r="JET4" s="327"/>
      <c r="JFG4" s="327"/>
      <c r="JFT4" s="327"/>
      <c r="JGG4" s="327"/>
      <c r="JGT4" s="327"/>
      <c r="JHG4" s="327"/>
      <c r="JHT4" s="327"/>
      <c r="JIG4" s="327"/>
      <c r="JIT4" s="327"/>
      <c r="JJG4" s="327"/>
      <c r="JJT4" s="327"/>
      <c r="JKG4" s="327"/>
      <c r="JKT4" s="327"/>
      <c r="JLG4" s="327"/>
      <c r="JLT4" s="327"/>
      <c r="JMG4" s="327"/>
      <c r="JMT4" s="327"/>
      <c r="JNG4" s="327"/>
      <c r="JNT4" s="327"/>
      <c r="JOG4" s="327"/>
      <c r="JOT4" s="327"/>
      <c r="JPG4" s="327"/>
      <c r="JPT4" s="327"/>
      <c r="JQG4" s="327"/>
      <c r="JQT4" s="327"/>
      <c r="JRG4" s="327"/>
      <c r="JRT4" s="327"/>
      <c r="JSG4" s="327"/>
      <c r="JST4" s="327"/>
      <c r="JTG4" s="327"/>
      <c r="JTT4" s="327"/>
      <c r="JUG4" s="327"/>
      <c r="JUT4" s="327"/>
      <c r="JVG4" s="327"/>
      <c r="JVT4" s="327"/>
      <c r="JWG4" s="327"/>
      <c r="JWT4" s="327"/>
      <c r="JXG4" s="327"/>
      <c r="JXT4" s="327"/>
      <c r="JYG4" s="327"/>
      <c r="JYT4" s="327"/>
      <c r="JZG4" s="327"/>
      <c r="JZT4" s="327"/>
      <c r="KAG4" s="327"/>
      <c r="KAT4" s="327"/>
      <c r="KBG4" s="327"/>
      <c r="KBT4" s="327"/>
      <c r="KCG4" s="327"/>
      <c r="KCT4" s="327"/>
      <c r="KDG4" s="327"/>
      <c r="KDT4" s="327"/>
      <c r="KEG4" s="327"/>
      <c r="KET4" s="327"/>
      <c r="KFG4" s="327"/>
      <c r="KFT4" s="327"/>
      <c r="KGG4" s="327"/>
      <c r="KGT4" s="327"/>
      <c r="KHG4" s="327"/>
      <c r="KHT4" s="327"/>
      <c r="KIG4" s="327"/>
      <c r="KIT4" s="327"/>
      <c r="KJG4" s="327"/>
      <c r="KJT4" s="327"/>
      <c r="KKG4" s="327"/>
      <c r="KKT4" s="327"/>
      <c r="KLG4" s="327"/>
      <c r="KLT4" s="327"/>
      <c r="KMG4" s="327"/>
      <c r="KMT4" s="327"/>
      <c r="KNG4" s="327"/>
      <c r="KNT4" s="327"/>
      <c r="KOG4" s="327"/>
      <c r="KOT4" s="327"/>
      <c r="KPG4" s="327"/>
      <c r="KPT4" s="327"/>
      <c r="KQG4" s="327"/>
      <c r="KQT4" s="327"/>
      <c r="KRG4" s="327"/>
      <c r="KRT4" s="327"/>
      <c r="KSG4" s="327"/>
      <c r="KST4" s="327"/>
      <c r="KTG4" s="327"/>
      <c r="KTT4" s="327"/>
      <c r="KUG4" s="327"/>
      <c r="KUT4" s="327"/>
      <c r="KVG4" s="327"/>
      <c r="KVT4" s="327"/>
      <c r="KWG4" s="327"/>
      <c r="KWT4" s="327"/>
      <c r="KXG4" s="327"/>
      <c r="KXT4" s="327"/>
      <c r="KYG4" s="327"/>
      <c r="KYT4" s="327"/>
      <c r="KZG4" s="327"/>
      <c r="KZT4" s="327"/>
      <c r="LAG4" s="327"/>
      <c r="LAT4" s="327"/>
      <c r="LBG4" s="327"/>
      <c r="LBT4" s="327"/>
      <c r="LCG4" s="327"/>
      <c r="LCT4" s="327"/>
      <c r="LDG4" s="327"/>
      <c r="LDT4" s="327"/>
      <c r="LEG4" s="327"/>
      <c r="LET4" s="327"/>
      <c r="LFG4" s="327"/>
      <c r="LFT4" s="327"/>
      <c r="LGG4" s="327"/>
      <c r="LGT4" s="327"/>
      <c r="LHG4" s="327"/>
      <c r="LHT4" s="327"/>
      <c r="LIG4" s="327"/>
      <c r="LIT4" s="327"/>
      <c r="LJG4" s="327"/>
      <c r="LJT4" s="327"/>
      <c r="LKG4" s="327"/>
      <c r="LKT4" s="327"/>
      <c r="LLG4" s="327"/>
      <c r="LLT4" s="327"/>
      <c r="LMG4" s="327"/>
      <c r="LMT4" s="327"/>
      <c r="LNG4" s="327"/>
      <c r="LNT4" s="327"/>
      <c r="LOG4" s="327"/>
      <c r="LOT4" s="327"/>
      <c r="LPG4" s="327"/>
      <c r="LPT4" s="327"/>
      <c r="LQG4" s="327"/>
      <c r="LQT4" s="327"/>
      <c r="LRG4" s="327"/>
      <c r="LRT4" s="327"/>
      <c r="LSG4" s="327"/>
      <c r="LST4" s="327"/>
      <c r="LTG4" s="327"/>
      <c r="LTT4" s="327"/>
      <c r="LUG4" s="327"/>
      <c r="LUT4" s="327"/>
      <c r="LVG4" s="327"/>
      <c r="LVT4" s="327"/>
      <c r="LWG4" s="327"/>
      <c r="LWT4" s="327"/>
      <c r="LXG4" s="327"/>
      <c r="LXT4" s="327"/>
      <c r="LYG4" s="327"/>
      <c r="LYT4" s="327"/>
      <c r="LZG4" s="327"/>
      <c r="LZT4" s="327"/>
      <c r="MAG4" s="327"/>
      <c r="MAT4" s="327"/>
      <c r="MBG4" s="327"/>
      <c r="MBT4" s="327"/>
      <c r="MCG4" s="327"/>
      <c r="MCT4" s="327"/>
      <c r="MDG4" s="327"/>
      <c r="MDT4" s="327"/>
      <c r="MEG4" s="327"/>
      <c r="MET4" s="327"/>
      <c r="MFG4" s="327"/>
      <c r="MFT4" s="327"/>
      <c r="MGG4" s="327"/>
      <c r="MGT4" s="327"/>
      <c r="MHG4" s="327"/>
      <c r="MHT4" s="327"/>
      <c r="MIG4" s="327"/>
      <c r="MIT4" s="327"/>
      <c r="MJG4" s="327"/>
      <c r="MJT4" s="327"/>
      <c r="MKG4" s="327"/>
      <c r="MKT4" s="327"/>
      <c r="MLG4" s="327"/>
      <c r="MLT4" s="327"/>
      <c r="MMG4" s="327"/>
      <c r="MMT4" s="327"/>
      <c r="MNG4" s="327"/>
      <c r="MNT4" s="327"/>
      <c r="MOG4" s="327"/>
      <c r="MOT4" s="327"/>
      <c r="MPG4" s="327"/>
      <c r="MPT4" s="327"/>
      <c r="MQG4" s="327"/>
      <c r="MQT4" s="327"/>
      <c r="MRG4" s="327"/>
      <c r="MRT4" s="327"/>
      <c r="MSG4" s="327"/>
      <c r="MST4" s="327"/>
      <c r="MTG4" s="327"/>
      <c r="MTT4" s="327"/>
      <c r="MUG4" s="327"/>
      <c r="MUT4" s="327"/>
      <c r="MVG4" s="327"/>
      <c r="MVT4" s="327"/>
      <c r="MWG4" s="327"/>
      <c r="MWT4" s="327"/>
      <c r="MXG4" s="327"/>
      <c r="MXT4" s="327"/>
      <c r="MYG4" s="327"/>
      <c r="MYT4" s="327"/>
      <c r="MZG4" s="327"/>
      <c r="MZT4" s="327"/>
      <c r="NAG4" s="327"/>
      <c r="NAT4" s="327"/>
      <c r="NBG4" s="327"/>
      <c r="NBT4" s="327"/>
      <c r="NCG4" s="327"/>
      <c r="NCT4" s="327"/>
      <c r="NDG4" s="327"/>
      <c r="NDT4" s="327"/>
      <c r="NEG4" s="327"/>
      <c r="NET4" s="327"/>
      <c r="NFG4" s="327"/>
      <c r="NFT4" s="327"/>
      <c r="NGG4" s="327"/>
      <c r="NGT4" s="327"/>
      <c r="NHG4" s="327"/>
      <c r="NHT4" s="327"/>
      <c r="NIG4" s="327"/>
      <c r="NIT4" s="327"/>
      <c r="NJG4" s="327"/>
      <c r="NJT4" s="327"/>
      <c r="NKG4" s="327"/>
      <c r="NKT4" s="327"/>
      <c r="NLG4" s="327"/>
      <c r="NLT4" s="327"/>
      <c r="NMG4" s="327"/>
      <c r="NMT4" s="327"/>
      <c r="NNG4" s="327"/>
      <c r="NNT4" s="327"/>
      <c r="NOG4" s="327"/>
      <c r="NOT4" s="327"/>
      <c r="NPG4" s="327"/>
      <c r="NPT4" s="327"/>
      <c r="NQG4" s="327"/>
      <c r="NQT4" s="327"/>
      <c r="NRG4" s="327"/>
      <c r="NRT4" s="327"/>
      <c r="NSG4" s="327"/>
      <c r="NST4" s="327"/>
      <c r="NTG4" s="327"/>
      <c r="NTT4" s="327"/>
      <c r="NUG4" s="327"/>
      <c r="NUT4" s="327"/>
      <c r="NVG4" s="327"/>
      <c r="NVT4" s="327"/>
      <c r="NWG4" s="327"/>
      <c r="NWT4" s="327"/>
      <c r="NXG4" s="327"/>
      <c r="NXT4" s="327"/>
      <c r="NYG4" s="327"/>
      <c r="NYT4" s="327"/>
      <c r="NZG4" s="327"/>
      <c r="NZT4" s="327"/>
      <c r="OAG4" s="327"/>
      <c r="OAT4" s="327"/>
      <c r="OBG4" s="327"/>
      <c r="OBT4" s="327"/>
      <c r="OCG4" s="327"/>
      <c r="OCT4" s="327"/>
      <c r="ODG4" s="327"/>
      <c r="ODT4" s="327"/>
      <c r="OEG4" s="327"/>
      <c r="OET4" s="327"/>
      <c r="OFG4" s="327"/>
      <c r="OFT4" s="327"/>
      <c r="OGG4" s="327"/>
      <c r="OGT4" s="327"/>
      <c r="OHG4" s="327"/>
      <c r="OHT4" s="327"/>
      <c r="OIG4" s="327"/>
      <c r="OIT4" s="327"/>
      <c r="OJG4" s="327"/>
      <c r="OJT4" s="327"/>
      <c r="OKG4" s="327"/>
      <c r="OKT4" s="327"/>
      <c r="OLG4" s="327"/>
      <c r="OLT4" s="327"/>
      <c r="OMG4" s="327"/>
      <c r="OMT4" s="327"/>
      <c r="ONG4" s="327"/>
      <c r="ONT4" s="327"/>
      <c r="OOG4" s="327"/>
      <c r="OOT4" s="327"/>
      <c r="OPG4" s="327"/>
      <c r="OPT4" s="327"/>
      <c r="OQG4" s="327"/>
      <c r="OQT4" s="327"/>
      <c r="ORG4" s="327"/>
      <c r="ORT4" s="327"/>
      <c r="OSG4" s="327"/>
      <c r="OST4" s="327"/>
      <c r="OTG4" s="327"/>
      <c r="OTT4" s="327"/>
      <c r="OUG4" s="327"/>
      <c r="OUT4" s="327"/>
      <c r="OVG4" s="327"/>
      <c r="OVT4" s="327"/>
      <c r="OWG4" s="327"/>
      <c r="OWT4" s="327"/>
      <c r="OXG4" s="327"/>
      <c r="OXT4" s="327"/>
      <c r="OYG4" s="327"/>
      <c r="OYT4" s="327"/>
      <c r="OZG4" s="327"/>
      <c r="OZT4" s="327"/>
      <c r="PAG4" s="327"/>
      <c r="PAT4" s="327"/>
      <c r="PBG4" s="327"/>
      <c r="PBT4" s="327"/>
      <c r="PCG4" s="327"/>
      <c r="PCT4" s="327"/>
      <c r="PDG4" s="327"/>
      <c r="PDT4" s="327"/>
      <c r="PEG4" s="327"/>
      <c r="PET4" s="327"/>
      <c r="PFG4" s="327"/>
      <c r="PFT4" s="327"/>
      <c r="PGG4" s="327"/>
      <c r="PGT4" s="327"/>
      <c r="PHG4" s="327"/>
      <c r="PHT4" s="327"/>
      <c r="PIG4" s="327"/>
      <c r="PIT4" s="327"/>
      <c r="PJG4" s="327"/>
      <c r="PJT4" s="327"/>
      <c r="PKG4" s="327"/>
      <c r="PKT4" s="327"/>
      <c r="PLG4" s="327"/>
      <c r="PLT4" s="327"/>
      <c r="PMG4" s="327"/>
      <c r="PMT4" s="327"/>
      <c r="PNG4" s="327"/>
      <c r="PNT4" s="327"/>
      <c r="POG4" s="327"/>
      <c r="POT4" s="327"/>
      <c r="PPG4" s="327"/>
      <c r="PPT4" s="327"/>
      <c r="PQG4" s="327"/>
      <c r="PQT4" s="327"/>
      <c r="PRG4" s="327"/>
      <c r="PRT4" s="327"/>
      <c r="PSG4" s="327"/>
      <c r="PST4" s="327"/>
      <c r="PTG4" s="327"/>
      <c r="PTT4" s="327"/>
      <c r="PUG4" s="327"/>
      <c r="PUT4" s="327"/>
      <c r="PVG4" s="327"/>
      <c r="PVT4" s="327"/>
      <c r="PWG4" s="327"/>
      <c r="PWT4" s="327"/>
      <c r="PXG4" s="327"/>
      <c r="PXT4" s="327"/>
      <c r="PYG4" s="327"/>
      <c r="PYT4" s="327"/>
      <c r="PZG4" s="327"/>
      <c r="PZT4" s="327"/>
      <c r="QAG4" s="327"/>
      <c r="QAT4" s="327"/>
      <c r="QBG4" s="327"/>
      <c r="QBT4" s="327"/>
      <c r="QCG4" s="327"/>
      <c r="QCT4" s="327"/>
      <c r="QDG4" s="327"/>
      <c r="QDT4" s="327"/>
      <c r="QEG4" s="327"/>
      <c r="QET4" s="327"/>
      <c r="QFG4" s="327"/>
      <c r="QFT4" s="327"/>
      <c r="QGG4" s="327"/>
      <c r="QGT4" s="327"/>
      <c r="QHG4" s="327"/>
      <c r="QHT4" s="327"/>
      <c r="QIG4" s="327"/>
      <c r="QIT4" s="327"/>
      <c r="QJG4" s="327"/>
      <c r="QJT4" s="327"/>
      <c r="QKG4" s="327"/>
      <c r="QKT4" s="327"/>
      <c r="QLG4" s="327"/>
      <c r="QLT4" s="327"/>
      <c r="QMG4" s="327"/>
      <c r="QMT4" s="327"/>
      <c r="QNG4" s="327"/>
      <c r="QNT4" s="327"/>
      <c r="QOG4" s="327"/>
      <c r="QOT4" s="327"/>
      <c r="QPG4" s="327"/>
      <c r="QPT4" s="327"/>
      <c r="QQG4" s="327"/>
      <c r="QQT4" s="327"/>
      <c r="QRG4" s="327"/>
      <c r="QRT4" s="327"/>
      <c r="QSG4" s="327"/>
      <c r="QST4" s="327"/>
      <c r="QTG4" s="327"/>
      <c r="QTT4" s="327"/>
      <c r="QUG4" s="327"/>
      <c r="QUT4" s="327"/>
      <c r="QVG4" s="327"/>
      <c r="QVT4" s="327"/>
      <c r="QWG4" s="327"/>
      <c r="QWT4" s="327"/>
      <c r="QXG4" s="327"/>
      <c r="QXT4" s="327"/>
      <c r="QYG4" s="327"/>
      <c r="QYT4" s="327"/>
      <c r="QZG4" s="327"/>
      <c r="QZT4" s="327"/>
      <c r="RAG4" s="327"/>
      <c r="RAT4" s="327"/>
      <c r="RBG4" s="327"/>
      <c r="RBT4" s="327"/>
      <c r="RCG4" s="327"/>
      <c r="RCT4" s="327"/>
      <c r="RDG4" s="327"/>
      <c r="RDT4" s="327"/>
      <c r="REG4" s="327"/>
      <c r="RET4" s="327"/>
      <c r="RFG4" s="327"/>
      <c r="RFT4" s="327"/>
      <c r="RGG4" s="327"/>
      <c r="RGT4" s="327"/>
      <c r="RHG4" s="327"/>
      <c r="RHT4" s="327"/>
      <c r="RIG4" s="327"/>
      <c r="RIT4" s="327"/>
      <c r="RJG4" s="327"/>
      <c r="RJT4" s="327"/>
      <c r="RKG4" s="327"/>
      <c r="RKT4" s="327"/>
      <c r="RLG4" s="327"/>
      <c r="RLT4" s="327"/>
      <c r="RMG4" s="327"/>
      <c r="RMT4" s="327"/>
      <c r="RNG4" s="327"/>
      <c r="RNT4" s="327"/>
      <c r="ROG4" s="327"/>
      <c r="ROT4" s="327"/>
      <c r="RPG4" s="327"/>
      <c r="RPT4" s="327"/>
      <c r="RQG4" s="327"/>
      <c r="RQT4" s="327"/>
      <c r="RRG4" s="327"/>
      <c r="RRT4" s="327"/>
      <c r="RSG4" s="327"/>
      <c r="RST4" s="327"/>
      <c r="RTG4" s="327"/>
      <c r="RTT4" s="327"/>
      <c r="RUG4" s="327"/>
      <c r="RUT4" s="327"/>
      <c r="RVG4" s="327"/>
      <c r="RVT4" s="327"/>
      <c r="RWG4" s="327"/>
      <c r="RWT4" s="327"/>
      <c r="RXG4" s="327"/>
      <c r="RXT4" s="327"/>
      <c r="RYG4" s="327"/>
      <c r="RYT4" s="327"/>
      <c r="RZG4" s="327"/>
      <c r="RZT4" s="327"/>
      <c r="SAG4" s="327"/>
      <c r="SAT4" s="327"/>
      <c r="SBG4" s="327"/>
      <c r="SBT4" s="327"/>
      <c r="SCG4" s="327"/>
      <c r="SCT4" s="327"/>
      <c r="SDG4" s="327"/>
      <c r="SDT4" s="327"/>
      <c r="SEG4" s="327"/>
      <c r="SET4" s="327"/>
      <c r="SFG4" s="327"/>
      <c r="SFT4" s="327"/>
      <c r="SGG4" s="327"/>
      <c r="SGT4" s="327"/>
      <c r="SHG4" s="327"/>
      <c r="SHT4" s="327"/>
      <c r="SIG4" s="327"/>
      <c r="SIT4" s="327"/>
      <c r="SJG4" s="327"/>
      <c r="SJT4" s="327"/>
      <c r="SKG4" s="327"/>
      <c r="SKT4" s="327"/>
      <c r="SLG4" s="327"/>
      <c r="SLT4" s="327"/>
      <c r="SMG4" s="327"/>
      <c r="SMT4" s="327"/>
      <c r="SNG4" s="327"/>
      <c r="SNT4" s="327"/>
      <c r="SOG4" s="327"/>
      <c r="SOT4" s="327"/>
      <c r="SPG4" s="327"/>
      <c r="SPT4" s="327"/>
      <c r="SQG4" s="327"/>
      <c r="SQT4" s="327"/>
      <c r="SRG4" s="327"/>
      <c r="SRT4" s="327"/>
      <c r="SSG4" s="327"/>
      <c r="SST4" s="327"/>
      <c r="STG4" s="327"/>
      <c r="STT4" s="327"/>
      <c r="SUG4" s="327"/>
      <c r="SUT4" s="327"/>
      <c r="SVG4" s="327"/>
      <c r="SVT4" s="327"/>
      <c r="SWG4" s="327"/>
      <c r="SWT4" s="327"/>
      <c r="SXG4" s="327"/>
      <c r="SXT4" s="327"/>
      <c r="SYG4" s="327"/>
      <c r="SYT4" s="327"/>
      <c r="SZG4" s="327"/>
      <c r="SZT4" s="327"/>
      <c r="TAG4" s="327"/>
      <c r="TAT4" s="327"/>
      <c r="TBG4" s="327"/>
      <c r="TBT4" s="327"/>
      <c r="TCG4" s="327"/>
      <c r="TCT4" s="327"/>
      <c r="TDG4" s="327"/>
      <c r="TDT4" s="327"/>
      <c r="TEG4" s="327"/>
      <c r="TET4" s="327"/>
      <c r="TFG4" s="327"/>
      <c r="TFT4" s="327"/>
      <c r="TGG4" s="327"/>
      <c r="TGT4" s="327"/>
      <c r="THG4" s="327"/>
      <c r="THT4" s="327"/>
      <c r="TIG4" s="327"/>
      <c r="TIT4" s="327"/>
      <c r="TJG4" s="327"/>
      <c r="TJT4" s="327"/>
      <c r="TKG4" s="327"/>
      <c r="TKT4" s="327"/>
      <c r="TLG4" s="327"/>
      <c r="TLT4" s="327"/>
      <c r="TMG4" s="327"/>
      <c r="TMT4" s="327"/>
      <c r="TNG4" s="327"/>
      <c r="TNT4" s="327"/>
      <c r="TOG4" s="327"/>
      <c r="TOT4" s="327"/>
      <c r="TPG4" s="327"/>
      <c r="TPT4" s="327"/>
      <c r="TQG4" s="327"/>
      <c r="TQT4" s="327"/>
      <c r="TRG4" s="327"/>
      <c r="TRT4" s="327"/>
      <c r="TSG4" s="327"/>
      <c r="TST4" s="327"/>
      <c r="TTG4" s="327"/>
      <c r="TTT4" s="327"/>
      <c r="TUG4" s="327"/>
      <c r="TUT4" s="327"/>
      <c r="TVG4" s="327"/>
      <c r="TVT4" s="327"/>
      <c r="TWG4" s="327"/>
      <c r="TWT4" s="327"/>
      <c r="TXG4" s="327"/>
      <c r="TXT4" s="327"/>
      <c r="TYG4" s="327"/>
      <c r="TYT4" s="327"/>
      <c r="TZG4" s="327"/>
      <c r="TZT4" s="327"/>
      <c r="UAG4" s="327"/>
      <c r="UAT4" s="327"/>
      <c r="UBG4" s="327"/>
      <c r="UBT4" s="327"/>
      <c r="UCG4" s="327"/>
      <c r="UCT4" s="327"/>
      <c r="UDG4" s="327"/>
      <c r="UDT4" s="327"/>
      <c r="UEG4" s="327"/>
      <c r="UET4" s="327"/>
      <c r="UFG4" s="327"/>
      <c r="UFT4" s="327"/>
      <c r="UGG4" s="327"/>
      <c r="UGT4" s="327"/>
      <c r="UHG4" s="327"/>
      <c r="UHT4" s="327"/>
      <c r="UIG4" s="327"/>
      <c r="UIT4" s="327"/>
      <c r="UJG4" s="327"/>
      <c r="UJT4" s="327"/>
      <c r="UKG4" s="327"/>
      <c r="UKT4" s="327"/>
      <c r="ULG4" s="327"/>
      <c r="ULT4" s="327"/>
      <c r="UMG4" s="327"/>
      <c r="UMT4" s="327"/>
      <c r="UNG4" s="327"/>
      <c r="UNT4" s="327"/>
      <c r="UOG4" s="327"/>
      <c r="UOT4" s="327"/>
      <c r="UPG4" s="327"/>
      <c r="UPT4" s="327"/>
      <c r="UQG4" s="327"/>
      <c r="UQT4" s="327"/>
      <c r="URG4" s="327"/>
      <c r="URT4" s="327"/>
      <c r="USG4" s="327"/>
      <c r="UST4" s="327"/>
      <c r="UTG4" s="327"/>
      <c r="UTT4" s="327"/>
      <c r="UUG4" s="327"/>
      <c r="UUT4" s="327"/>
      <c r="UVG4" s="327"/>
      <c r="UVT4" s="327"/>
      <c r="UWG4" s="327"/>
      <c r="UWT4" s="327"/>
      <c r="UXG4" s="327"/>
      <c r="UXT4" s="327"/>
      <c r="UYG4" s="327"/>
      <c r="UYT4" s="327"/>
      <c r="UZG4" s="327"/>
      <c r="UZT4" s="327"/>
      <c r="VAG4" s="327"/>
      <c r="VAT4" s="327"/>
      <c r="VBG4" s="327"/>
      <c r="VBT4" s="327"/>
      <c r="VCG4" s="327"/>
      <c r="VCT4" s="327"/>
      <c r="VDG4" s="327"/>
      <c r="VDT4" s="327"/>
      <c r="VEG4" s="327"/>
      <c r="VET4" s="327"/>
      <c r="VFG4" s="327"/>
      <c r="VFT4" s="327"/>
      <c r="VGG4" s="327"/>
      <c r="VGT4" s="327"/>
      <c r="VHG4" s="327"/>
      <c r="VHT4" s="327"/>
      <c r="VIG4" s="327"/>
      <c r="VIT4" s="327"/>
      <c r="VJG4" s="327"/>
      <c r="VJT4" s="327"/>
      <c r="VKG4" s="327"/>
      <c r="VKT4" s="327"/>
      <c r="VLG4" s="327"/>
      <c r="VLT4" s="327"/>
      <c r="VMG4" s="327"/>
      <c r="VMT4" s="327"/>
      <c r="VNG4" s="327"/>
      <c r="VNT4" s="327"/>
      <c r="VOG4" s="327"/>
      <c r="VOT4" s="327"/>
      <c r="VPG4" s="327"/>
      <c r="VPT4" s="327"/>
      <c r="VQG4" s="327"/>
      <c r="VQT4" s="327"/>
      <c r="VRG4" s="327"/>
      <c r="VRT4" s="327"/>
      <c r="VSG4" s="327"/>
      <c r="VST4" s="327"/>
      <c r="VTG4" s="327"/>
      <c r="VTT4" s="327"/>
      <c r="VUG4" s="327"/>
      <c r="VUT4" s="327"/>
      <c r="VVG4" s="327"/>
      <c r="VVT4" s="327"/>
      <c r="VWG4" s="327"/>
      <c r="VWT4" s="327"/>
      <c r="VXG4" s="327"/>
      <c r="VXT4" s="327"/>
      <c r="VYG4" s="327"/>
      <c r="VYT4" s="327"/>
      <c r="VZG4" s="327"/>
      <c r="VZT4" s="327"/>
      <c r="WAG4" s="327"/>
      <c r="WAT4" s="327"/>
      <c r="WBG4" s="327"/>
      <c r="WBT4" s="327"/>
      <c r="WCG4" s="327"/>
      <c r="WCT4" s="327"/>
      <c r="WDG4" s="327"/>
      <c r="WDT4" s="327"/>
      <c r="WEG4" s="327"/>
      <c r="WET4" s="327"/>
      <c r="WFG4" s="327"/>
      <c r="WFT4" s="327"/>
      <c r="WGG4" s="327"/>
      <c r="WGT4" s="327"/>
      <c r="WHG4" s="327"/>
      <c r="WHT4" s="327"/>
      <c r="WIG4" s="327"/>
      <c r="WIT4" s="327"/>
      <c r="WJG4" s="327"/>
      <c r="WJT4" s="327"/>
      <c r="WKG4" s="327"/>
      <c r="WKT4" s="327"/>
      <c r="WLG4" s="327"/>
      <c r="WLT4" s="327"/>
      <c r="WMG4" s="327"/>
      <c r="WMT4" s="327"/>
      <c r="WNG4" s="327"/>
      <c r="WNT4" s="327"/>
      <c r="WOG4" s="327"/>
      <c r="WOT4" s="327"/>
      <c r="WPG4" s="327"/>
      <c r="WPT4" s="327"/>
      <c r="WQG4" s="327"/>
      <c r="WQT4" s="327"/>
      <c r="WRG4" s="327"/>
      <c r="WRT4" s="327"/>
      <c r="WSG4" s="327"/>
      <c r="WST4" s="327"/>
      <c r="WTG4" s="327"/>
      <c r="WTT4" s="327"/>
      <c r="WUG4" s="327"/>
      <c r="WUT4" s="327"/>
      <c r="WVG4" s="327"/>
      <c r="WVT4" s="327"/>
      <c r="WWG4" s="327"/>
      <c r="WWT4" s="327"/>
      <c r="WXG4" s="327"/>
      <c r="WXT4" s="327"/>
      <c r="WYG4" s="327"/>
      <c r="WYT4" s="327"/>
      <c r="WZG4" s="327"/>
      <c r="WZT4" s="327"/>
      <c r="XAG4" s="327"/>
      <c r="XAT4" s="327"/>
      <c r="XBG4" s="327"/>
      <c r="XBT4" s="327"/>
      <c r="XCG4" s="327"/>
      <c r="XCT4" s="327"/>
      <c r="XDG4" s="327"/>
      <c r="XDT4" s="327"/>
      <c r="XEG4" s="327"/>
      <c r="XET4" s="327"/>
    </row>
    <row r="5" spans="1:1021 1034:2048 2061:3062 3075:4089 4102:5116 5129:6143 6156:7157 7170:8184 8197:9211 9224:10238 10251:11252 11265:12279 12292:13306 13319:14333 14346:15360 15373:16374" ht="13" customHeight="1">
      <c r="A5" s="325"/>
      <c r="B5" s="404" t="str">
        <f>IF('Summary | Sumário'!D$3=Names!B$3,Names!S4,Names!T4)</f>
        <v>Interchange</v>
      </c>
      <c r="C5" s="443">
        <v>58152</v>
      </c>
      <c r="D5" s="443">
        <v>137863</v>
      </c>
      <c r="E5" s="443">
        <f>SUM(H5:K5)</f>
        <v>369340</v>
      </c>
      <c r="F5" s="443">
        <f>SUM(L5:O5)</f>
        <v>617552</v>
      </c>
      <c r="G5" s="443">
        <f>SUM(P5:S5)</f>
        <v>820630</v>
      </c>
      <c r="H5" s="443">
        <v>61188</v>
      </c>
      <c r="I5" s="443">
        <v>78212</v>
      </c>
      <c r="J5" s="443">
        <v>99723</v>
      </c>
      <c r="K5" s="443">
        <v>130217</v>
      </c>
      <c r="L5" s="443">
        <v>127049</v>
      </c>
      <c r="M5" s="443">
        <v>149403</v>
      </c>
      <c r="N5" s="443">
        <v>161418</v>
      </c>
      <c r="O5" s="443">
        <v>179682</v>
      </c>
      <c r="P5" s="443">
        <v>174929</v>
      </c>
      <c r="Q5" s="443">
        <v>185608</v>
      </c>
      <c r="R5" s="443">
        <v>214415</v>
      </c>
      <c r="S5" s="443">
        <v>245678</v>
      </c>
      <c r="T5" s="329"/>
    </row>
    <row r="6" spans="1:1021 1034:2048 2061:3062 3075:4089 4102:5116 5129:6143 6156:7157 7170:8184 8197:9211 9224:10238 10251:11252 11265:12279 12292:13306 13319:14333 14346:15360 15373:16374" ht="13" customHeight="1">
      <c r="A6" s="325"/>
      <c r="B6" s="18" t="str">
        <f>IF('Summary | Sumário'!D$3=Names!B$3,Names!S5,Names!T5)</f>
        <v>Comissions</v>
      </c>
      <c r="C6" s="329">
        <v>18870</v>
      </c>
      <c r="D6" s="329">
        <v>110640</v>
      </c>
      <c r="E6" s="329">
        <f t="shared" ref="E6:E11" si="0">SUM(H6:K6)</f>
        <v>314586</v>
      </c>
      <c r="F6" s="329">
        <f t="shared" ref="F6:F11" si="1">SUM(L6:O6)</f>
        <v>523889</v>
      </c>
      <c r="G6" s="329">
        <f t="shared" ref="G6:G14" si="2">SUM(P6:S6)</f>
        <v>536580</v>
      </c>
      <c r="H6" s="329">
        <v>57439.66</v>
      </c>
      <c r="I6" s="329">
        <v>71617</v>
      </c>
      <c r="J6" s="329">
        <v>78731</v>
      </c>
      <c r="K6" s="329">
        <v>106798.34</v>
      </c>
      <c r="L6" s="329">
        <v>120069</v>
      </c>
      <c r="M6" s="329">
        <v>134103</v>
      </c>
      <c r="N6" s="329">
        <v>122675</v>
      </c>
      <c r="O6" s="329">
        <v>147042</v>
      </c>
      <c r="P6" s="329">
        <v>132652</v>
      </c>
      <c r="Q6" s="329">
        <v>116633</v>
      </c>
      <c r="R6" s="329">
        <v>142831</v>
      </c>
      <c r="S6" s="329">
        <v>144464</v>
      </c>
      <c r="T6" s="329"/>
    </row>
    <row r="7" spans="1:1021 1034:2048 2061:3062 3075:4089 4102:5116 5129:6143 6156:7157 7170:8184 8197:9211 9224:10238 10251:11252 11265:12279 12292:13306 13319:14333 14346:15360 15373:16374" ht="13" customHeight="1">
      <c r="A7" s="325"/>
      <c r="B7" s="24" t="str">
        <f>IF('Summary | Sumário'!D$3=Names!B$3,Names!S6,Names!T6)</f>
        <v>Banking</v>
      </c>
      <c r="C7" s="328">
        <v>29397</v>
      </c>
      <c r="D7" s="328">
        <v>40436</v>
      </c>
      <c r="E7" s="328">
        <f t="shared" si="0"/>
        <v>50992</v>
      </c>
      <c r="F7" s="328">
        <f t="shared" si="1"/>
        <v>62544</v>
      </c>
      <c r="G7" s="328">
        <f t="shared" si="2"/>
        <v>89507</v>
      </c>
      <c r="H7" s="328">
        <v>11035</v>
      </c>
      <c r="I7" s="328">
        <v>11281</v>
      </c>
      <c r="J7" s="328">
        <v>13664</v>
      </c>
      <c r="K7" s="328">
        <v>15012</v>
      </c>
      <c r="L7" s="328">
        <v>12254</v>
      </c>
      <c r="M7" s="328">
        <v>16155</v>
      </c>
      <c r="N7" s="328">
        <v>16837</v>
      </c>
      <c r="O7" s="328">
        <v>17298</v>
      </c>
      <c r="P7" s="328">
        <v>14541</v>
      </c>
      <c r="Q7" s="328">
        <v>21875.4</v>
      </c>
      <c r="R7" s="328">
        <v>24030</v>
      </c>
      <c r="S7" s="328">
        <v>29060.6</v>
      </c>
      <c r="T7" s="329"/>
    </row>
    <row r="8" spans="1:1021 1034:2048 2061:3062 3075:4089 4102:5116 5129:6143 6156:7157 7170:8184 8197:9211 9224:10238 10251:11252 11265:12279 12292:13306 13319:14333 14346:15360 15373:16374" ht="13" customHeight="1">
      <c r="A8" s="325"/>
      <c r="B8" s="18" t="str">
        <f>IF('Summary | Sumário'!D$3=Names!B$3,Names!S7,Names!T7)</f>
        <v>Management (Inter DTVM &amp; Asset)</v>
      </c>
      <c r="C8" s="329">
        <v>11433</v>
      </c>
      <c r="D8" s="329">
        <v>13335</v>
      </c>
      <c r="E8" s="329">
        <f t="shared" si="0"/>
        <v>42182</v>
      </c>
      <c r="F8" s="329">
        <f t="shared" si="1"/>
        <v>30925</v>
      </c>
      <c r="G8" s="329">
        <f t="shared" si="2"/>
        <v>64472</v>
      </c>
      <c r="H8" s="329">
        <v>5165</v>
      </c>
      <c r="I8" s="329">
        <v>6004</v>
      </c>
      <c r="J8" s="329">
        <v>18589</v>
      </c>
      <c r="K8" s="329">
        <v>12424</v>
      </c>
      <c r="L8" s="329">
        <v>14542</v>
      </c>
      <c r="M8" s="329">
        <v>11162</v>
      </c>
      <c r="N8" s="329">
        <v>5731</v>
      </c>
      <c r="O8" s="329">
        <v>-510</v>
      </c>
      <c r="P8" s="329">
        <v>14053</v>
      </c>
      <c r="Q8" s="329">
        <v>13079</v>
      </c>
      <c r="R8" s="329">
        <v>20522</v>
      </c>
      <c r="S8" s="329">
        <v>16818</v>
      </c>
      <c r="T8" s="329"/>
    </row>
    <row r="9" spans="1:1021 1034:2048 2061:3062 3075:4089 4102:5116 5129:6143 6156:7157 7170:8184 8197:9211 9224:10238 10251:11252 11265:12279 12292:13306 13319:14333 14346:15360 15373:16374" ht="13" customHeight="1">
      <c r="A9" s="325"/>
      <c r="B9" s="24" t="str">
        <f>IF('Summary | Sumário'!D$3=Names!B$3,Names!S8,Names!T8)</f>
        <v>Other</v>
      </c>
      <c r="C9" s="328">
        <v>4271</v>
      </c>
      <c r="D9" s="328">
        <v>6005</v>
      </c>
      <c r="E9" s="328">
        <f t="shared" si="0"/>
        <v>9780</v>
      </c>
      <c r="F9" s="328">
        <f t="shared" si="1"/>
        <v>18059</v>
      </c>
      <c r="G9" s="328">
        <f t="shared" si="2"/>
        <v>69945</v>
      </c>
      <c r="H9" s="328">
        <v>1891</v>
      </c>
      <c r="I9" s="328">
        <v>2826</v>
      </c>
      <c r="J9" s="328">
        <v>2715</v>
      </c>
      <c r="K9" s="328">
        <v>2348</v>
      </c>
      <c r="L9" s="328">
        <v>5875</v>
      </c>
      <c r="M9" s="328">
        <v>5182</v>
      </c>
      <c r="N9" s="328">
        <v>3516</v>
      </c>
      <c r="O9" s="328">
        <v>3486</v>
      </c>
      <c r="P9" s="328">
        <v>7279</v>
      </c>
      <c r="Q9" s="328">
        <v>20925</v>
      </c>
      <c r="R9" s="328">
        <v>20957</v>
      </c>
      <c r="S9" s="328">
        <v>20784</v>
      </c>
      <c r="T9" s="329"/>
    </row>
    <row r="10" spans="1:1021 1034:2048 2061:3062 3075:4089 4102:5116 5129:6143 6156:7157 7170:8184 8197:9211 9224:10238 10251:11252 11265:12279 12292:13306 13319:14333 14346:15360 15373:16374" ht="13" customHeight="1">
      <c r="A10" s="325"/>
      <c r="B10" s="18" t="str">
        <f>IF('Summary | Sumário'!D$3=Names!B$3,Names!S9,Names!T9)</f>
        <v>Securities placement</v>
      </c>
      <c r="C10" s="329">
        <v>8334</v>
      </c>
      <c r="D10" s="329">
        <v>8842</v>
      </c>
      <c r="E10" s="329">
        <f t="shared" si="0"/>
        <v>7052</v>
      </c>
      <c r="F10" s="329">
        <f t="shared" si="1"/>
        <v>36508</v>
      </c>
      <c r="G10" s="329">
        <f t="shared" si="2"/>
        <v>26300</v>
      </c>
      <c r="H10" s="329">
        <v>2729</v>
      </c>
      <c r="I10" s="329">
        <v>1155</v>
      </c>
      <c r="J10" s="329">
        <v>1669</v>
      </c>
      <c r="K10" s="329">
        <v>1499</v>
      </c>
      <c r="L10" s="329">
        <v>8972</v>
      </c>
      <c r="M10" s="329">
        <v>7760</v>
      </c>
      <c r="N10" s="329">
        <v>16676</v>
      </c>
      <c r="O10" s="329">
        <v>3100</v>
      </c>
      <c r="P10" s="329">
        <v>6167</v>
      </c>
      <c r="Q10" s="329">
        <v>4983</v>
      </c>
      <c r="R10" s="329">
        <v>326</v>
      </c>
      <c r="S10" s="329">
        <v>14824</v>
      </c>
      <c r="T10" s="329"/>
    </row>
    <row r="11" spans="1:1021 1034:2048 2061:3062 3075:4089 4102:5116 5129:6143 6156:7157 7170:8184 8197:9211 9224:10238 10251:11252 11265:12279 12292:13306 13319:14333 14346:15360 15373:16374" ht="13" customHeight="1">
      <c r="A11" s="325"/>
      <c r="B11" s="24" t="str">
        <f>IF('Summary | Sumário'!D$3=Names!B$3,Names!S10,Names!T10)</f>
        <v>Cashback expenses</v>
      </c>
      <c r="C11" s="328">
        <v>0</v>
      </c>
      <c r="D11" s="328">
        <v>-59976</v>
      </c>
      <c r="E11" s="328">
        <f t="shared" si="0"/>
        <v>-251363</v>
      </c>
      <c r="F11" s="328">
        <f t="shared" si="1"/>
        <v>-321438</v>
      </c>
      <c r="G11" s="328">
        <f t="shared" si="2"/>
        <v>-236482</v>
      </c>
      <c r="H11" s="328">
        <v>-38482.660000000003</v>
      </c>
      <c r="I11" s="328">
        <v>-60184</v>
      </c>
      <c r="J11" s="328">
        <v>-65808</v>
      </c>
      <c r="K11" s="328">
        <v>-86888.34</v>
      </c>
      <c r="L11" s="328">
        <v>-82542</v>
      </c>
      <c r="M11" s="328">
        <v>-85250</v>
      </c>
      <c r="N11" s="328">
        <v>-76420</v>
      </c>
      <c r="O11" s="328">
        <v>-77226</v>
      </c>
      <c r="P11" s="328">
        <v>-67268</v>
      </c>
      <c r="Q11" s="328">
        <v>-58005</v>
      </c>
      <c r="R11" s="328">
        <v>-48391</v>
      </c>
      <c r="S11" s="328">
        <v>-62818</v>
      </c>
      <c r="T11" s="329"/>
    </row>
    <row r="12" spans="1:1021 1034:2048 2061:3062 3075:4089 4102:5116 5129:6143 6156:7157 7170:8184 8197:9211 9224:10238 10251:11252 11265:12279 12292:13306 13319:14333 14346:15360 15373:16374" ht="13" customHeight="1">
      <c r="A12" s="325"/>
      <c r="B12" s="18" t="str">
        <f>IF('Summary | Sumário'!D$3=Names!B$3,Names!S11,Names!T11)</f>
        <v>Inter rewards</v>
      </c>
      <c r="C12" s="329">
        <v>0</v>
      </c>
      <c r="D12" s="329">
        <v>0</v>
      </c>
      <c r="E12" s="329">
        <f t="shared" ref="E12:E13" si="3">SUM(H12:K12)</f>
        <v>0</v>
      </c>
      <c r="F12" s="329">
        <f t="shared" ref="F12:F13" si="4">SUM(L12:O12)</f>
        <v>0</v>
      </c>
      <c r="G12" s="329">
        <f t="shared" si="2"/>
        <v>-66571</v>
      </c>
      <c r="H12" s="329">
        <v>0</v>
      </c>
      <c r="I12" s="329">
        <v>0</v>
      </c>
      <c r="J12" s="329">
        <v>0</v>
      </c>
      <c r="K12" s="329">
        <v>0</v>
      </c>
      <c r="L12" s="329">
        <v>0</v>
      </c>
      <c r="M12" s="329">
        <v>0</v>
      </c>
      <c r="N12" s="329">
        <v>0</v>
      </c>
      <c r="O12" s="329">
        <v>0</v>
      </c>
      <c r="P12" s="329">
        <v>0</v>
      </c>
      <c r="Q12" s="329">
        <v>-6574</v>
      </c>
      <c r="R12" s="329">
        <v>-26910</v>
      </c>
      <c r="S12" s="329">
        <v>-33087</v>
      </c>
      <c r="T12" s="329"/>
    </row>
    <row r="13" spans="1:1021 1034:2048 2061:3062 3075:4089 4102:5116 5129:6143 6156:7157 7170:8184 8197:9211 9224:10238 10251:11252 11265:12279 12292:13306 13319:14333 14346:15360 15373:16374" ht="13" customHeight="1">
      <c r="A13" s="325"/>
      <c r="B13" s="24" t="str">
        <f>IF('Summary | Sumário'!D$3=Names!B$3,Names!S12,Names!T12)</f>
        <v>Expenses from services and commissions</v>
      </c>
      <c r="C13" s="328">
        <v>-56627.339</v>
      </c>
      <c r="D13" s="328">
        <v>-71611</v>
      </c>
      <c r="E13" s="328">
        <f t="shared" si="3"/>
        <v>-100297</v>
      </c>
      <c r="F13" s="328">
        <f t="shared" si="4"/>
        <v>-129233</v>
      </c>
      <c r="G13" s="328">
        <f t="shared" si="2"/>
        <v>-135582</v>
      </c>
      <c r="H13" s="328">
        <v>-23279</v>
      </c>
      <c r="I13" s="328">
        <v>-21841</v>
      </c>
      <c r="J13" s="328">
        <v>-26430</v>
      </c>
      <c r="K13" s="328">
        <v>-28747</v>
      </c>
      <c r="L13" s="328">
        <v>-28516</v>
      </c>
      <c r="M13" s="328">
        <v>-33954</v>
      </c>
      <c r="N13" s="328">
        <v>-33404</v>
      </c>
      <c r="O13" s="328">
        <v>-33359</v>
      </c>
      <c r="P13" s="328">
        <v>-35678</v>
      </c>
      <c r="Q13" s="328">
        <v>-31723</v>
      </c>
      <c r="R13" s="328">
        <v>-32271</v>
      </c>
      <c r="S13" s="328">
        <v>-35910</v>
      </c>
      <c r="T13" s="329"/>
    </row>
    <row r="14" spans="1:1021 1034:2048 2061:3062 3075:4089 4102:5116 5129:6143 6156:7157 7170:8184 8197:9211 9224:10238 10251:11252 11265:12279 12292:13306 13319:14333 14346:15360 15373:16374" ht="13" customHeight="1">
      <c r="A14" s="325"/>
      <c r="B14" s="455" t="str">
        <f>IF('Summary | Sumário'!D$3=Names!B$3,Names!S13,Names!T13)</f>
        <v>Net result from services and commissions</v>
      </c>
      <c r="C14" s="433">
        <f>SUM(C5:C13)</f>
        <v>73829.660999999993</v>
      </c>
      <c r="D14" s="433">
        <f t="shared" ref="D14:P14" si="5">SUM(D5:D13)</f>
        <v>185534</v>
      </c>
      <c r="E14" s="433">
        <f t="shared" si="5"/>
        <v>442272</v>
      </c>
      <c r="F14" s="433">
        <f t="shared" si="5"/>
        <v>838806</v>
      </c>
      <c r="G14" s="433">
        <f t="shared" si="2"/>
        <v>1168799</v>
      </c>
      <c r="H14" s="433">
        <f t="shared" si="5"/>
        <v>77686</v>
      </c>
      <c r="I14" s="433">
        <f t="shared" si="5"/>
        <v>89070</v>
      </c>
      <c r="J14" s="433">
        <f t="shared" si="5"/>
        <v>122853</v>
      </c>
      <c r="K14" s="433">
        <f t="shared" si="5"/>
        <v>152662.99999999997</v>
      </c>
      <c r="L14" s="433">
        <f t="shared" si="5"/>
        <v>177703</v>
      </c>
      <c r="M14" s="433">
        <f t="shared" si="5"/>
        <v>204561</v>
      </c>
      <c r="N14" s="433">
        <f t="shared" si="5"/>
        <v>217029</v>
      </c>
      <c r="O14" s="433">
        <f t="shared" si="5"/>
        <v>239513</v>
      </c>
      <c r="P14" s="433">
        <f t="shared" si="5"/>
        <v>246675</v>
      </c>
      <c r="Q14" s="433">
        <f t="shared" ref="Q14:R14" si="6">SUM(Q5:Q13)</f>
        <v>266801.40000000002</v>
      </c>
      <c r="R14" s="433">
        <f t="shared" si="6"/>
        <v>315509</v>
      </c>
      <c r="S14" s="433">
        <f t="shared" ref="S14" si="7">SUM(S5:S13)</f>
        <v>339813.6</v>
      </c>
      <c r="T14" s="329"/>
    </row>
    <row r="15" spans="1:1021 1034:2048 2061:3062 3075:4089 4102:5116 5129:6143 6156:7157 7170:8184 8197:9211 9224:10238 10251:11252 11265:12279 12292:13306 13319:14333 14346:15360 15373:16374" ht="13" customHeight="1">
      <c r="A15" s="325"/>
      <c r="B15" s="94"/>
      <c r="C15" s="328"/>
      <c r="D15" s="328"/>
      <c r="E15" s="328"/>
      <c r="F15" s="328"/>
      <c r="G15" s="328"/>
      <c r="H15" s="328"/>
      <c r="I15" s="328"/>
      <c r="J15" s="328"/>
      <c r="K15" s="328"/>
      <c r="L15" s="328"/>
      <c r="M15" s="328"/>
      <c r="N15" s="328"/>
      <c r="O15" s="328"/>
      <c r="P15" s="328"/>
      <c r="Q15" s="328"/>
      <c r="R15" s="328"/>
      <c r="S15" s="328"/>
      <c r="T15" s="329"/>
    </row>
    <row r="16" spans="1:1021 1034:2048 2061:3062 3075:4089 4102:5116 5129:6143 6156:7157 7170:8184 8197:9211 9224:10238 10251:11252 11265:12279 12292:13306 13319:14333 14346:15360 15373:16374" ht="13" customHeight="1">
      <c r="A16" s="325"/>
      <c r="B16" s="403" t="str">
        <f>IF('Summary | Sumário'!D$3=Names!B$3,Names!S15,Names!T15)</f>
        <v>Other revenues</v>
      </c>
      <c r="C16" s="287"/>
      <c r="D16" s="287"/>
      <c r="E16" s="287"/>
      <c r="F16" s="287"/>
      <c r="G16" s="287"/>
      <c r="H16" s="287"/>
      <c r="I16" s="287"/>
      <c r="J16" s="287"/>
      <c r="K16" s="287"/>
      <c r="L16" s="287"/>
      <c r="M16" s="287"/>
      <c r="N16" s="287"/>
      <c r="O16" s="287"/>
      <c r="P16" s="287"/>
      <c r="Q16" s="287"/>
      <c r="R16" s="287"/>
      <c r="S16" s="287"/>
      <c r="T16" s="329"/>
    </row>
    <row r="17" spans="1:20" ht="13" customHeight="1">
      <c r="A17" s="325"/>
      <c r="B17" s="404" t="str">
        <f>IF('Summary | Sumário'!D$3=Names!B$3,Names!S16,Names!T16)</f>
        <v>Performance fees</v>
      </c>
      <c r="C17" s="443">
        <v>24610</v>
      </c>
      <c r="D17" s="443">
        <v>75230</v>
      </c>
      <c r="E17" s="443">
        <f>SUM(H17:K17)</f>
        <v>102863</v>
      </c>
      <c r="F17" s="443">
        <f>SUM(L17:O17)</f>
        <v>150401</v>
      </c>
      <c r="G17" s="443">
        <f t="shared" ref="G17:G21" si="8">SUM(P17:S17)</f>
        <v>135260</v>
      </c>
      <c r="H17" s="443">
        <v>29089</v>
      </c>
      <c r="I17" s="443">
        <v>45719</v>
      </c>
      <c r="J17" s="443">
        <v>18654</v>
      </c>
      <c r="K17" s="443">
        <v>9401</v>
      </c>
      <c r="L17" s="443">
        <v>40734</v>
      </c>
      <c r="M17" s="443">
        <v>52204</v>
      </c>
      <c r="N17" s="443">
        <v>30764</v>
      </c>
      <c r="O17" s="443">
        <v>26699</v>
      </c>
      <c r="P17" s="443">
        <v>28285</v>
      </c>
      <c r="Q17" s="443">
        <v>27910</v>
      </c>
      <c r="R17" s="443">
        <v>48644.500280000007</v>
      </c>
      <c r="S17" s="443">
        <v>30420.499719999993</v>
      </c>
      <c r="T17" s="329"/>
    </row>
    <row r="18" spans="1:20" ht="13" customHeight="1">
      <c r="A18" s="325"/>
      <c r="B18" s="18" t="str">
        <f>IF('Summary | Sumário'!D$3=Names!B$3,Names!S17,Names!T17)</f>
        <v>Capital gains (losses)</v>
      </c>
      <c r="C18" s="329">
        <v>0</v>
      </c>
      <c r="D18" s="329">
        <v>0</v>
      </c>
      <c r="E18" s="329">
        <f t="shared" ref="E18:E21" si="9">SUM(H18:K18)</f>
        <v>29330</v>
      </c>
      <c r="F18" s="329">
        <f t="shared" ref="F18:F21" si="10">SUM(L18:O18)</f>
        <v>66363</v>
      </c>
      <c r="G18" s="329">
        <f t="shared" si="8"/>
        <v>41785</v>
      </c>
      <c r="H18" s="329">
        <v>6837</v>
      </c>
      <c r="I18" s="329">
        <v>13917</v>
      </c>
      <c r="J18" s="329">
        <v>4248</v>
      </c>
      <c r="K18" s="329">
        <v>4328</v>
      </c>
      <c r="L18" s="329">
        <v>38486</v>
      </c>
      <c r="M18" s="329">
        <v>22428</v>
      </c>
      <c r="N18" s="329">
        <v>2651</v>
      </c>
      <c r="O18" s="329">
        <v>2798</v>
      </c>
      <c r="P18" s="329">
        <v>2938</v>
      </c>
      <c r="Q18" s="329">
        <v>6149</v>
      </c>
      <c r="R18" s="329">
        <v>25341</v>
      </c>
      <c r="S18" s="329">
        <v>7357</v>
      </c>
      <c r="T18" s="329"/>
    </row>
    <row r="19" spans="1:20" ht="13" customHeight="1">
      <c r="B19" s="24" t="str">
        <f>IF('Summary | Sumário'!D$3=Names!B$3,Names!S18,Names!T18)</f>
        <v>Foreign exchange</v>
      </c>
      <c r="C19" s="328">
        <v>5976</v>
      </c>
      <c r="D19" s="328">
        <v>17318</v>
      </c>
      <c r="E19" s="328">
        <f t="shared" si="9"/>
        <v>24667</v>
      </c>
      <c r="F19" s="328">
        <f t="shared" si="10"/>
        <v>99780</v>
      </c>
      <c r="G19" s="328">
        <f t="shared" si="8"/>
        <v>88708</v>
      </c>
      <c r="H19" s="328">
        <v>5876</v>
      </c>
      <c r="I19" s="328">
        <v>6689</v>
      </c>
      <c r="J19" s="328">
        <v>5791</v>
      </c>
      <c r="K19" s="328">
        <v>6311</v>
      </c>
      <c r="L19" s="328">
        <v>17033</v>
      </c>
      <c r="M19" s="328">
        <v>25563</v>
      </c>
      <c r="N19" s="328">
        <v>31137</v>
      </c>
      <c r="O19" s="328">
        <v>26047</v>
      </c>
      <c r="P19" s="328">
        <v>14919</v>
      </c>
      <c r="Q19" s="328">
        <v>26191</v>
      </c>
      <c r="R19" s="328">
        <v>26659</v>
      </c>
      <c r="S19" s="328">
        <v>20939</v>
      </c>
    </row>
    <row r="20" spans="1:20" ht="13" customHeight="1">
      <c r="B20" s="18" t="str">
        <f>IF('Summary | Sumário'!D$3=Names!B$3,Names!S19,Names!T19)</f>
        <v>Other revenue</v>
      </c>
      <c r="C20" s="329">
        <v>22257</v>
      </c>
      <c r="D20" s="329">
        <v>17334</v>
      </c>
      <c r="E20" s="329">
        <v>33222</v>
      </c>
      <c r="F20" s="329">
        <v>71918</v>
      </c>
      <c r="G20" s="329">
        <f t="shared" si="8"/>
        <v>109935</v>
      </c>
      <c r="H20" s="329">
        <v>5697</v>
      </c>
      <c r="I20" s="329">
        <v>9723</v>
      </c>
      <c r="J20" s="329">
        <v>7594</v>
      </c>
      <c r="K20" s="329">
        <v>10208</v>
      </c>
      <c r="L20" s="329">
        <v>16154</v>
      </c>
      <c r="M20" s="329">
        <v>11177</v>
      </c>
      <c r="N20" s="329">
        <v>13135</v>
      </c>
      <c r="O20" s="329">
        <v>31452</v>
      </c>
      <c r="P20" s="329">
        <v>19735</v>
      </c>
      <c r="Q20" s="329">
        <v>20908</v>
      </c>
      <c r="R20" s="329">
        <v>30785</v>
      </c>
      <c r="S20" s="329">
        <v>38507</v>
      </c>
    </row>
    <row r="21" spans="1:20" ht="13" customHeight="1">
      <c r="B21" s="456" t="str">
        <f>IF('Summary | Sumário'!D$3=Names!B$3,Names!S21,Names!T21)</f>
        <v>Other revenues</v>
      </c>
      <c r="C21" s="431">
        <f>SUM(C17:C20)</f>
        <v>52843</v>
      </c>
      <c r="D21" s="431">
        <f>SUM(D17:D20)</f>
        <v>109882</v>
      </c>
      <c r="E21" s="431">
        <f t="shared" si="9"/>
        <v>190082</v>
      </c>
      <c r="F21" s="431">
        <f t="shared" si="10"/>
        <v>388462</v>
      </c>
      <c r="G21" s="431">
        <f t="shared" si="8"/>
        <v>375688</v>
      </c>
      <c r="H21" s="431">
        <f t="shared" ref="H21:Q21" si="11">SUM(H17:H20)</f>
        <v>47499</v>
      </c>
      <c r="I21" s="431">
        <f t="shared" si="11"/>
        <v>76048</v>
      </c>
      <c r="J21" s="431">
        <f t="shared" si="11"/>
        <v>36287</v>
      </c>
      <c r="K21" s="431">
        <f t="shared" si="11"/>
        <v>30248</v>
      </c>
      <c r="L21" s="431">
        <f t="shared" si="11"/>
        <v>112407</v>
      </c>
      <c r="M21" s="431">
        <f t="shared" si="11"/>
        <v>111372</v>
      </c>
      <c r="N21" s="431">
        <f t="shared" si="11"/>
        <v>77687</v>
      </c>
      <c r="O21" s="431">
        <f t="shared" si="11"/>
        <v>86996</v>
      </c>
      <c r="P21" s="431">
        <f t="shared" si="11"/>
        <v>65877</v>
      </c>
      <c r="Q21" s="431">
        <f t="shared" si="11"/>
        <v>81158</v>
      </c>
      <c r="R21" s="431">
        <f t="shared" ref="R21:S21" si="12">SUM(R17:R20)</f>
        <v>131429.50028000001</v>
      </c>
      <c r="S21" s="431">
        <f t="shared" si="12"/>
        <v>97223.499719999993</v>
      </c>
    </row>
    <row r="23" spans="1:20" ht="13" customHeight="1">
      <c r="B23" s="407" t="str">
        <f>IF('Summary | Sumário'!D$3=Names!B$3,Names!S23,Names!T23)</f>
        <v>Fee revenues</v>
      </c>
      <c r="C23" s="282"/>
      <c r="D23" s="282"/>
      <c r="E23" s="282"/>
      <c r="F23" s="282"/>
      <c r="G23" s="282"/>
      <c r="H23" s="282"/>
      <c r="I23" s="282"/>
      <c r="J23" s="282"/>
      <c r="K23" s="282"/>
      <c r="L23" s="282"/>
      <c r="M23" s="282"/>
      <c r="N23" s="282"/>
      <c r="O23" s="282"/>
      <c r="P23" s="282"/>
      <c r="Q23" s="282"/>
      <c r="R23" s="282"/>
      <c r="S23" s="282"/>
    </row>
    <row r="24" spans="1:20" ht="13" customHeight="1">
      <c r="B24" s="412" t="str">
        <f>IF('Summary | Sumário'!D$3=Names!B$3,Names!S24,Names!T24)</f>
        <v>Net result from services and commissions</v>
      </c>
      <c r="C24" s="457">
        <v>73829.660999999993</v>
      </c>
      <c r="D24" s="457">
        <v>185534</v>
      </c>
      <c r="E24" s="457">
        <f>SUM(H24:K24)</f>
        <v>442272</v>
      </c>
      <c r="F24" s="457">
        <f>SUM(L24:O24)</f>
        <v>838806</v>
      </c>
      <c r="G24" s="457">
        <f t="shared" ref="G24:G26" si="13">SUM(P24:S24)</f>
        <v>1168800</v>
      </c>
      <c r="H24" s="457">
        <v>77686</v>
      </c>
      <c r="I24" s="457">
        <v>89070</v>
      </c>
      <c r="J24" s="457">
        <v>122853</v>
      </c>
      <c r="K24" s="457">
        <v>152663</v>
      </c>
      <c r="L24" s="457">
        <v>177703</v>
      </c>
      <c r="M24" s="457">
        <v>204561</v>
      </c>
      <c r="N24" s="457">
        <v>217029</v>
      </c>
      <c r="O24" s="457">
        <v>239513</v>
      </c>
      <c r="P24" s="457">
        <v>246675</v>
      </c>
      <c r="Q24" s="457">
        <v>266801</v>
      </c>
      <c r="R24" s="457">
        <v>315509</v>
      </c>
      <c r="S24" s="457">
        <v>339815</v>
      </c>
    </row>
    <row r="25" spans="1:20" ht="13" customHeight="1">
      <c r="A25" s="325"/>
      <c r="B25" s="24" t="str">
        <f>IF('Summary | Sumário'!D$3=Names!B$3,Names!S25,Names!T25)</f>
        <v>Other revenues</v>
      </c>
      <c r="C25" s="328">
        <f>C21</f>
        <v>52843</v>
      </c>
      <c r="D25" s="328">
        <f t="shared" ref="D25:P25" si="14">D21</f>
        <v>109882</v>
      </c>
      <c r="E25" s="328">
        <f t="shared" si="14"/>
        <v>190082</v>
      </c>
      <c r="F25" s="328">
        <f t="shared" si="14"/>
        <v>388462</v>
      </c>
      <c r="G25" s="328">
        <f t="shared" si="13"/>
        <v>375688</v>
      </c>
      <c r="H25" s="328">
        <f t="shared" si="14"/>
        <v>47499</v>
      </c>
      <c r="I25" s="328">
        <f t="shared" si="14"/>
        <v>76048</v>
      </c>
      <c r="J25" s="328">
        <f t="shared" si="14"/>
        <v>36287</v>
      </c>
      <c r="K25" s="328">
        <f t="shared" si="14"/>
        <v>30248</v>
      </c>
      <c r="L25" s="328">
        <f t="shared" si="14"/>
        <v>112407</v>
      </c>
      <c r="M25" s="328">
        <f t="shared" si="14"/>
        <v>111372</v>
      </c>
      <c r="N25" s="328">
        <f t="shared" si="14"/>
        <v>77687</v>
      </c>
      <c r="O25" s="328">
        <f t="shared" si="14"/>
        <v>86996</v>
      </c>
      <c r="P25" s="328">
        <f t="shared" si="14"/>
        <v>65877</v>
      </c>
      <c r="Q25" s="328">
        <f t="shared" ref="Q25:R25" si="15">Q21</f>
        <v>81158</v>
      </c>
      <c r="R25" s="328">
        <f t="shared" si="15"/>
        <v>131429.50028000001</v>
      </c>
      <c r="S25" s="328">
        <f t="shared" ref="S25" si="16">S21</f>
        <v>97223.499719999993</v>
      </c>
      <c r="T25" s="329"/>
    </row>
    <row r="26" spans="1:20" ht="13" customHeight="1">
      <c r="B26" s="455" t="str">
        <f>IF('Summary | Sumário'!D$3=Names!B$3,Names!S26,Names!T26)</f>
        <v>Net fee revenues</v>
      </c>
      <c r="C26" s="433">
        <f>SUM(C24:C25)</f>
        <v>126672.66099999999</v>
      </c>
      <c r="D26" s="433">
        <f t="shared" ref="D26:P26" si="17">SUM(D24:D25)</f>
        <v>295416</v>
      </c>
      <c r="E26" s="433">
        <f t="shared" si="17"/>
        <v>632354</v>
      </c>
      <c r="F26" s="433">
        <f t="shared" si="17"/>
        <v>1227268</v>
      </c>
      <c r="G26" s="433">
        <f t="shared" si="13"/>
        <v>1544488</v>
      </c>
      <c r="H26" s="433">
        <f t="shared" si="17"/>
        <v>125185</v>
      </c>
      <c r="I26" s="433">
        <f t="shared" si="17"/>
        <v>165118</v>
      </c>
      <c r="J26" s="433">
        <f t="shared" si="17"/>
        <v>159140</v>
      </c>
      <c r="K26" s="433">
        <f t="shared" si="17"/>
        <v>182911</v>
      </c>
      <c r="L26" s="433">
        <f t="shared" si="17"/>
        <v>290110</v>
      </c>
      <c r="M26" s="433">
        <f t="shared" si="17"/>
        <v>315933</v>
      </c>
      <c r="N26" s="433">
        <f t="shared" si="17"/>
        <v>294716</v>
      </c>
      <c r="O26" s="433">
        <f t="shared" si="17"/>
        <v>326509</v>
      </c>
      <c r="P26" s="433">
        <f t="shared" si="17"/>
        <v>312552</v>
      </c>
      <c r="Q26" s="433">
        <f t="shared" ref="Q26:R26" si="18">SUM(Q24:Q25)</f>
        <v>347959</v>
      </c>
      <c r="R26" s="433">
        <f t="shared" si="18"/>
        <v>446938.50028000004</v>
      </c>
      <c r="S26" s="433">
        <f t="shared" ref="S26" si="19">SUM(S24:S25)</f>
        <v>437038.49971999996</v>
      </c>
    </row>
    <row r="27" spans="1:20" ht="13" customHeight="1">
      <c r="B27" s="10"/>
      <c r="C27" s="285"/>
      <c r="D27" s="285"/>
      <c r="E27" s="285"/>
      <c r="F27" s="285"/>
      <c r="G27" s="285"/>
      <c r="H27" s="285"/>
      <c r="I27" s="285"/>
      <c r="J27" s="285"/>
      <c r="K27" s="285"/>
      <c r="L27" s="285"/>
      <c r="M27" s="285"/>
      <c r="N27" s="285"/>
      <c r="O27" s="285"/>
      <c r="P27" s="285"/>
      <c r="Q27" s="285"/>
      <c r="R27" s="285"/>
      <c r="S27" s="285"/>
    </row>
    <row r="28" spans="1:20" ht="13" customHeight="1">
      <c r="B28" s="403" t="str">
        <f>IF('Summary | Sumário'!D$3=Names!B$3,Names!S28,Names!T28)</f>
        <v>Fee income ratio</v>
      </c>
      <c r="C28" s="287"/>
      <c r="D28" s="287"/>
      <c r="E28" s="287"/>
      <c r="F28" s="287"/>
      <c r="G28" s="287"/>
      <c r="H28" s="287"/>
      <c r="I28" s="287"/>
      <c r="J28" s="287"/>
      <c r="K28" s="287"/>
      <c r="L28" s="287"/>
      <c r="M28" s="287"/>
      <c r="N28" s="287"/>
      <c r="O28" s="287"/>
      <c r="P28" s="287"/>
      <c r="Q28" s="287"/>
      <c r="R28" s="287"/>
      <c r="S28" s="287"/>
    </row>
    <row r="29" spans="1:20" ht="13" customHeight="1">
      <c r="B29" s="458" t="str">
        <f>IF('Summary | Sumário'!D$3=Names!B$3,Names!S29,Names!T29)</f>
        <v>Net fee revenues</v>
      </c>
      <c r="C29" s="459">
        <f>C26</f>
        <v>126672.66099999999</v>
      </c>
      <c r="D29" s="459">
        <f t="shared" ref="D29:P29" si="20">D26</f>
        <v>295416</v>
      </c>
      <c r="E29" s="459">
        <f t="shared" si="20"/>
        <v>632354</v>
      </c>
      <c r="F29" s="459">
        <f t="shared" si="20"/>
        <v>1227268</v>
      </c>
      <c r="G29" s="459">
        <f t="shared" ref="G29" si="21">G26</f>
        <v>1544488</v>
      </c>
      <c r="H29" s="459">
        <f t="shared" si="20"/>
        <v>125185</v>
      </c>
      <c r="I29" s="459">
        <f t="shared" si="20"/>
        <v>165118</v>
      </c>
      <c r="J29" s="459">
        <f t="shared" si="20"/>
        <v>159140</v>
      </c>
      <c r="K29" s="459">
        <f t="shared" si="20"/>
        <v>182911</v>
      </c>
      <c r="L29" s="459">
        <f t="shared" si="20"/>
        <v>290110</v>
      </c>
      <c r="M29" s="459">
        <f t="shared" si="20"/>
        <v>315933</v>
      </c>
      <c r="N29" s="459">
        <f t="shared" si="20"/>
        <v>294716</v>
      </c>
      <c r="O29" s="459">
        <f t="shared" si="20"/>
        <v>326509</v>
      </c>
      <c r="P29" s="459">
        <f t="shared" si="20"/>
        <v>312552</v>
      </c>
      <c r="Q29" s="459">
        <f t="shared" ref="Q29:R29" si="22">Q26</f>
        <v>347959</v>
      </c>
      <c r="R29" s="459">
        <f t="shared" si="22"/>
        <v>446938.50028000004</v>
      </c>
      <c r="S29" s="459">
        <f t="shared" ref="S29" si="23">S26</f>
        <v>437038.49971999996</v>
      </c>
    </row>
    <row r="30" spans="1:20" ht="13" customHeight="1">
      <c r="B30" s="29" t="str">
        <f>IF('Summary | Sumário'!D$3=Names!B$3,Names!S30,Names!T30)</f>
        <v>(÷) Total net revenues</v>
      </c>
      <c r="C30" s="298">
        <f t="shared" ref="C30:S30" si="24">C31+C33</f>
        <v>712223.66099999996</v>
      </c>
      <c r="D30" s="298">
        <f t="shared" si="24"/>
        <v>1011378.89518</v>
      </c>
      <c r="E30" s="298">
        <f t="shared" si="24"/>
        <v>2221823.2459999998</v>
      </c>
      <c r="F30" s="298">
        <f t="shared" si="24"/>
        <v>3562697.0819999995</v>
      </c>
      <c r="G30" s="298">
        <f t="shared" si="24"/>
        <v>4752576</v>
      </c>
      <c r="H30" s="298">
        <f t="shared" si="24"/>
        <v>416765.935</v>
      </c>
      <c r="I30" s="298">
        <f t="shared" si="24"/>
        <v>467413.75100000005</v>
      </c>
      <c r="J30" s="298">
        <f t="shared" si="24"/>
        <v>606509.88</v>
      </c>
      <c r="K30" s="298">
        <f t="shared" si="24"/>
        <v>731132.67999999993</v>
      </c>
      <c r="L30" s="298">
        <f t="shared" si="24"/>
        <v>833520.63199999998</v>
      </c>
      <c r="M30" s="298">
        <f t="shared" si="24"/>
        <v>877020.6370000001</v>
      </c>
      <c r="N30" s="298">
        <f t="shared" si="24"/>
        <v>850303.73100000003</v>
      </c>
      <c r="O30" s="298">
        <f t="shared" si="24"/>
        <v>1001852.0819999999</v>
      </c>
      <c r="P30" s="298">
        <f t="shared" si="24"/>
        <v>1024113.822</v>
      </c>
      <c r="Q30" s="298">
        <f t="shared" si="24"/>
        <v>1150034</v>
      </c>
      <c r="R30" s="298">
        <f t="shared" si="24"/>
        <v>1265495.5890200001</v>
      </c>
      <c r="S30" s="298">
        <f t="shared" si="24"/>
        <v>1312933.5839799999</v>
      </c>
    </row>
    <row r="31" spans="1:20" ht="13" customHeight="1">
      <c r="B31" s="90" t="str">
        <f>IF('Summary | Sumário'!D$3=Names!B$3,Names!S31,Names!T31)</f>
        <v>NII</v>
      </c>
      <c r="C31" s="282">
        <f t="shared" ref="C31:S31" si="25">SUM(C32:C32)</f>
        <v>585551</v>
      </c>
      <c r="D31" s="282">
        <f t="shared" si="25"/>
        <v>715962.89517999999</v>
      </c>
      <c r="E31" s="282">
        <f t="shared" si="25"/>
        <v>1589469.2459999998</v>
      </c>
      <c r="F31" s="282">
        <f t="shared" si="25"/>
        <v>2335429.0819999995</v>
      </c>
      <c r="G31" s="282">
        <f t="shared" si="25"/>
        <v>3208088</v>
      </c>
      <c r="H31" s="282">
        <f t="shared" si="25"/>
        <v>291580.935</v>
      </c>
      <c r="I31" s="282">
        <f t="shared" si="25"/>
        <v>302295.75100000005</v>
      </c>
      <c r="J31" s="282">
        <f t="shared" si="25"/>
        <v>447369.88</v>
      </c>
      <c r="K31" s="282">
        <f t="shared" si="25"/>
        <v>548221.67999999993</v>
      </c>
      <c r="L31" s="282">
        <f t="shared" si="25"/>
        <v>543410.63199999998</v>
      </c>
      <c r="M31" s="282">
        <f t="shared" si="25"/>
        <v>561087.6370000001</v>
      </c>
      <c r="N31" s="282">
        <f t="shared" si="25"/>
        <v>555587.73100000003</v>
      </c>
      <c r="O31" s="282">
        <f t="shared" si="25"/>
        <v>675343.08199999994</v>
      </c>
      <c r="P31" s="282">
        <f t="shared" si="25"/>
        <v>711561.82200000004</v>
      </c>
      <c r="Q31" s="282">
        <f t="shared" si="25"/>
        <v>802075</v>
      </c>
      <c r="R31" s="282">
        <f t="shared" si="25"/>
        <v>818557.08874000004</v>
      </c>
      <c r="S31" s="282">
        <f t="shared" si="25"/>
        <v>875895.08425999992</v>
      </c>
    </row>
    <row r="32" spans="1:20" ht="13" customHeight="1">
      <c r="B32" s="97" t="str">
        <f>IF('Summary | Sumário'!D$3=Names!B$3,Names!S32,Names!T32)</f>
        <v>Net interest income</v>
      </c>
      <c r="C32" s="302">
        <v>585551</v>
      </c>
      <c r="D32" s="302">
        <v>715962.89517999999</v>
      </c>
      <c r="E32" s="302">
        <v>1589469.2459999998</v>
      </c>
      <c r="F32" s="302">
        <v>2335429.0819999995</v>
      </c>
      <c r="G32" s="302">
        <v>3208088</v>
      </c>
      <c r="H32" s="302">
        <v>291580.935</v>
      </c>
      <c r="I32" s="302">
        <v>302295.75100000005</v>
      </c>
      <c r="J32" s="302">
        <v>447369.88</v>
      </c>
      <c r="K32" s="302">
        <v>548221.67999999993</v>
      </c>
      <c r="L32" s="302">
        <v>543410.63199999998</v>
      </c>
      <c r="M32" s="302">
        <v>561087.6370000001</v>
      </c>
      <c r="N32" s="302">
        <v>555587.73100000003</v>
      </c>
      <c r="O32" s="302">
        <v>675343.08199999994</v>
      </c>
      <c r="P32" s="302">
        <v>711561.82200000004</v>
      </c>
      <c r="Q32" s="302">
        <v>802075</v>
      </c>
      <c r="R32" s="302">
        <v>818557.08874000004</v>
      </c>
      <c r="S32" s="302">
        <v>875895.08425999992</v>
      </c>
    </row>
    <row r="33" spans="2:19" ht="13" customHeight="1">
      <c r="B33" s="90" t="str">
        <f>IF('Summary | Sumário'!D$3=Names!B$3,Names!S34,Names!T34)</f>
        <v>Net fee revenues</v>
      </c>
      <c r="C33" s="330">
        <f>C26</f>
        <v>126672.66099999999</v>
      </c>
      <c r="D33" s="330">
        <f t="shared" ref="D33:P33" si="26">D26</f>
        <v>295416</v>
      </c>
      <c r="E33" s="330">
        <f t="shared" si="26"/>
        <v>632354</v>
      </c>
      <c r="F33" s="330">
        <f t="shared" si="26"/>
        <v>1227268</v>
      </c>
      <c r="G33" s="330">
        <f t="shared" ref="G33" si="27">G26</f>
        <v>1544488</v>
      </c>
      <c r="H33" s="330">
        <f t="shared" si="26"/>
        <v>125185</v>
      </c>
      <c r="I33" s="330">
        <f t="shared" si="26"/>
        <v>165118</v>
      </c>
      <c r="J33" s="330">
        <f t="shared" si="26"/>
        <v>159140</v>
      </c>
      <c r="K33" s="330">
        <f t="shared" si="26"/>
        <v>182911</v>
      </c>
      <c r="L33" s="330">
        <f t="shared" si="26"/>
        <v>290110</v>
      </c>
      <c r="M33" s="330">
        <f t="shared" si="26"/>
        <v>315933</v>
      </c>
      <c r="N33" s="330">
        <f t="shared" si="26"/>
        <v>294716</v>
      </c>
      <c r="O33" s="330">
        <f t="shared" si="26"/>
        <v>326509</v>
      </c>
      <c r="P33" s="330">
        <f t="shared" si="26"/>
        <v>312552</v>
      </c>
      <c r="Q33" s="330">
        <f t="shared" ref="Q33:R33" si="28">Q26</f>
        <v>347959</v>
      </c>
      <c r="R33" s="330">
        <f t="shared" si="28"/>
        <v>446938.50028000004</v>
      </c>
      <c r="S33" s="330">
        <f t="shared" ref="S33" si="29">S26</f>
        <v>437038.49971999996</v>
      </c>
    </row>
    <row r="34" spans="2:19" ht="13" customHeight="1">
      <c r="B34" s="455" t="str">
        <f>IF('Summary | Sumário'!D$3=Names!B$3,Names!S35,Names!T35)</f>
        <v>(=) Fee income ratio (%)</v>
      </c>
      <c r="C34" s="460">
        <f>C29/C30</f>
        <v>0.17785517097556802</v>
      </c>
      <c r="D34" s="460">
        <f t="shared" ref="D34:P34" si="30">D29/D30</f>
        <v>0.29209231219663073</v>
      </c>
      <c r="E34" s="460">
        <f t="shared" si="30"/>
        <v>0.28461039875176464</v>
      </c>
      <c r="F34" s="460">
        <f t="shared" si="30"/>
        <v>0.34447722378660545</v>
      </c>
      <c r="G34" s="460">
        <f t="shared" ref="G34" si="31">G29/G30</f>
        <v>0.32497912710917193</v>
      </c>
      <c r="H34" s="460">
        <f t="shared" si="30"/>
        <v>0.30037243806886471</v>
      </c>
      <c r="I34" s="460">
        <f t="shared" si="30"/>
        <v>0.35325875553883734</v>
      </c>
      <c r="J34" s="460">
        <f t="shared" si="30"/>
        <v>0.26238649236843431</v>
      </c>
      <c r="K34" s="460">
        <f t="shared" si="30"/>
        <v>0.25017483830704984</v>
      </c>
      <c r="L34" s="460">
        <f t="shared" si="30"/>
        <v>0.34805377199109333</v>
      </c>
      <c r="M34" s="460">
        <f t="shared" si="30"/>
        <v>0.36023439662800083</v>
      </c>
      <c r="N34" s="460">
        <f t="shared" si="30"/>
        <v>0.34660085479502617</v>
      </c>
      <c r="O34" s="460">
        <f t="shared" si="30"/>
        <v>0.32590539648147382</v>
      </c>
      <c r="P34" s="460">
        <f t="shared" si="30"/>
        <v>0.30519263902679755</v>
      </c>
      <c r="Q34" s="460">
        <f t="shared" ref="Q34:R34" si="32">Q29/Q30</f>
        <v>0.30256409810492557</v>
      </c>
      <c r="R34" s="460">
        <f t="shared" si="32"/>
        <v>0.35317270495277608</v>
      </c>
      <c r="S34" s="460">
        <f t="shared" ref="S34" si="33">S29/S30</f>
        <v>0.33287174998995034</v>
      </c>
    </row>
    <row r="39" spans="2:19" ht="13" customHeight="1">
      <c r="E39" s="293"/>
    </row>
  </sheetData>
  <sheetProtection algorithmName="SHA-512" hashValue="t45odLAA0CfM9ImfBGkh6KmokPN/wfTyWwwOCqtz5Cs88unAo5RK+H1it+Cejn4/DLL5Wx/H8UJogMMjKc+Bkg==" saltValue="jpGLXHq2qRO44gcHeCFisw==" spinCount="100000" sheet="1" formatCells="0" formatColumns="0" formatRows="0" insertColumns="0" insertRows="0" insertHyperlinks="0" deleteColumns="0" deleteRows="0" sort="0" autoFilter="0" pivotTables="0"/>
  <phoneticPr fontId="6" type="noConversion"/>
  <pageMargins left="0.7" right="0.7" top="0.75" bottom="0.75" header="0.3" footer="0.3"/>
  <pageSetup paperSize="9"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FEE35-A6A6-F947-816E-CF45E782FE5A}">
  <sheetPr codeName="Sheet6">
    <tabColor rgb="FFEB7100"/>
  </sheetPr>
  <dimension ref="B1:W21"/>
  <sheetViews>
    <sheetView showGridLines="0" zoomScaleNormal="100" workbookViewId="0">
      <pane xSplit="2" ySplit="3" topLeftCell="C4" activePane="bottomRight" state="frozen"/>
      <selection pane="topRight"/>
      <selection pane="bottomLeft"/>
      <selection pane="bottomRight"/>
    </sheetView>
  </sheetViews>
  <sheetFormatPr baseColWidth="10" defaultColWidth="10.83203125" defaultRowHeight="13" customHeight="1"/>
  <cols>
    <col min="1" max="1" width="3.33203125" style="211" customWidth="1"/>
    <col min="2" max="2" width="68.33203125" style="27" customWidth="1"/>
    <col min="3" max="19" width="10.83203125" style="212" customWidth="1"/>
    <col min="20" max="16384" width="10.83203125" style="211"/>
  </cols>
  <sheetData>
    <row r="1" spans="2:23" ht="13" customHeight="1">
      <c r="T1" s="212"/>
    </row>
    <row r="2" spans="2:23" s="12" customFormat="1" ht="13" customHeight="1">
      <c r="B2" s="400" t="str">
        <f>IF('Summary | Sumário'!D$3=Names!B$3,Names!V1,Names!W1)</f>
        <v>Financials KPIs</v>
      </c>
      <c r="C2" s="208">
        <f>IF('Summary | Sumário'!D3=Names!B3,Names!C2,Names!D2)</f>
        <v>2019</v>
      </c>
      <c r="D2" s="208">
        <f>IF('Summary | Sumário'!D3=Names!B3,Names!C3,Names!D3)</f>
        <v>2020</v>
      </c>
      <c r="E2" s="208">
        <f>IF('Summary | Sumário'!D3=Names!B3,Names!C4,Names!D4)</f>
        <v>2021</v>
      </c>
      <c r="F2" s="208">
        <f>IF('Summary | Sumário'!D3=Names!B3,Names!C5,Names!D5)</f>
        <v>2022</v>
      </c>
      <c r="G2" s="428">
        <f>IF('Summary | Sumário'!D3=Names!B3,Names!C18,Names!D18)</f>
        <v>2023</v>
      </c>
      <c r="H2" s="22" t="str">
        <f>IF('Summary | Sumário'!D3=Names!B3,Names!C6,Names!D6)</f>
        <v>1Q21</v>
      </c>
      <c r="I2" s="23" t="str">
        <f>IF('Summary | Sumário'!D3=Names!B3,Names!C7,Names!D7)</f>
        <v>2Q21</v>
      </c>
      <c r="J2" s="23" t="str">
        <f>IF('Summary | Sumário'!D3=Names!B3,Names!C8,Names!D8)</f>
        <v>3Q21</v>
      </c>
      <c r="K2" s="23" t="str">
        <f>IF('Summary | Sumário'!D3=Names!B3,Names!C9,Names!D9)</f>
        <v>4Q21</v>
      </c>
      <c r="L2" s="23" t="str">
        <f>IF('Summary | Sumário'!D3=Names!B3,Names!C10,Names!D10)</f>
        <v>1Q22</v>
      </c>
      <c r="M2" s="23" t="str">
        <f>IF('Summary | Sumário'!D3=Names!B3,Names!C11,Names!D11)</f>
        <v>2Q22</v>
      </c>
      <c r="N2" s="23" t="str">
        <f>IF('Summary | Sumário'!D3=Names!B3,Names!C12,Names!D12)</f>
        <v>3Q22</v>
      </c>
      <c r="O2" s="23" t="str">
        <f>IF('Summary | Sumário'!D3=Names!B3,Names!C13,Names!D13)</f>
        <v>4Q22</v>
      </c>
      <c r="P2" s="23" t="str">
        <f>IF('Summary | Sumário'!D3=Names!B3,Names!C14,Names!D14)</f>
        <v>1Q23</v>
      </c>
      <c r="Q2" s="23" t="str">
        <f>IF('Summary | Sumário'!D3=Names!B3,Names!C15,Names!D15)</f>
        <v>2Q23</v>
      </c>
      <c r="R2" s="23" t="str">
        <f>IF('Summary | Sumário'!D3=Names!B3,Names!C16,Names!D16)</f>
        <v>3Q23</v>
      </c>
      <c r="S2" s="401" t="str">
        <f>IF('Summary | Sumário'!D3=Names!B3,Names!C17,Names!D17)</f>
        <v>4Q23</v>
      </c>
      <c r="T2" s="13"/>
      <c r="V2" s="14"/>
      <c r="W2" s="15"/>
    </row>
    <row r="3" spans="2:23" ht="13" customHeight="1">
      <c r="B3" s="78"/>
      <c r="C3" s="254"/>
      <c r="D3" s="254"/>
      <c r="E3" s="254"/>
      <c r="F3" s="254"/>
      <c r="G3" s="254"/>
      <c r="H3" s="254"/>
      <c r="I3" s="254"/>
      <c r="J3" s="254"/>
      <c r="K3" s="254"/>
      <c r="L3" s="254"/>
      <c r="M3" s="254"/>
      <c r="N3" s="254"/>
      <c r="O3" s="254"/>
      <c r="P3" s="254"/>
      <c r="Q3" s="254"/>
      <c r="R3" s="254"/>
      <c r="S3" s="254"/>
      <c r="T3" s="223"/>
    </row>
    <row r="4" spans="2:23" ht="13" customHeight="1">
      <c r="B4" s="403" t="str">
        <f>IF('Summary | Sumário'!D$3=Names!B$3,Names!V2,Names!W2)</f>
        <v>Financials KPIs</v>
      </c>
      <c r="C4" s="395"/>
      <c r="D4" s="395"/>
      <c r="E4" s="395"/>
      <c r="F4" s="395"/>
      <c r="G4" s="395"/>
      <c r="H4" s="395"/>
      <c r="I4" s="395"/>
      <c r="J4" s="395"/>
      <c r="K4" s="395"/>
      <c r="L4" s="395"/>
      <c r="M4" s="395"/>
      <c r="N4" s="395"/>
      <c r="O4" s="395"/>
      <c r="P4" s="395"/>
      <c r="Q4" s="395"/>
      <c r="R4" s="395"/>
      <c r="S4" s="395"/>
    </row>
    <row r="5" spans="2:23" ht="13" customHeight="1">
      <c r="B5" s="461" t="str">
        <f>IF('Summary | Sumário'!D$3=Names!B$3,Names!V3,Names!W3)</f>
        <v>Tier I ratio (%)</v>
      </c>
      <c r="C5" s="462">
        <v>0.39400000000000002</v>
      </c>
      <c r="D5" s="462">
        <v>0.31828739525522021</v>
      </c>
      <c r="E5" s="462">
        <f>K5</f>
        <v>0.443</v>
      </c>
      <c r="F5" s="462">
        <f>O5</f>
        <v>0.24099999999999999</v>
      </c>
      <c r="G5" s="462">
        <f>P5</f>
        <v>0.23</v>
      </c>
      <c r="H5" s="462">
        <v>0.24099999999999999</v>
      </c>
      <c r="I5" s="462">
        <v>0.19600000000000001</v>
      </c>
      <c r="J5" s="462">
        <v>0.49740000000000001</v>
      </c>
      <c r="K5" s="462">
        <v>0.443</v>
      </c>
      <c r="L5" s="462">
        <v>0.35699999999999998</v>
      </c>
      <c r="M5" s="462">
        <v>0.32900000000000001</v>
      </c>
      <c r="N5" s="462">
        <v>0.29799999999999999</v>
      </c>
      <c r="O5" s="462">
        <v>0.24099999999999999</v>
      </c>
      <c r="P5" s="462">
        <v>0.23</v>
      </c>
      <c r="Q5" s="462">
        <f>'7.1. Tier I Ratio | Basileia'!Q21</f>
        <v>0.22800000000000001</v>
      </c>
      <c r="R5" s="462">
        <f>'7.1. Tier I Ratio | Basileia'!R21</f>
        <v>0.2374</v>
      </c>
      <c r="S5" s="462">
        <f>'7.1. Tier I Ratio | Basileia'!S21</f>
        <v>0.229501027251763</v>
      </c>
    </row>
    <row r="6" spans="2:23" ht="13" customHeight="1">
      <c r="B6" s="183" t="str">
        <f>IF('Summary | Sumário'!D$3=Names!B$3,Names!V4,Names!W4)</f>
        <v>NIM 1.0 - IEP + non-interest credit card receivables (%)</v>
      </c>
      <c r="C6" s="320">
        <v>9.803273556152127E-2</v>
      </c>
      <c r="D6" s="320">
        <v>6.8765813012030511E-2</v>
      </c>
      <c r="E6" s="320">
        <v>6.8686082884596447E-2</v>
      </c>
      <c r="F6" s="320">
        <v>6.7187969136151937E-2</v>
      </c>
      <c r="G6" s="320">
        <v>7.4108012101248649E-2</v>
      </c>
      <c r="H6" s="320">
        <v>7.2951874040954615E-2</v>
      </c>
      <c r="I6" s="320">
        <v>6.3550064892455183E-2</v>
      </c>
      <c r="J6" s="320">
        <v>7.1739740077472594E-2</v>
      </c>
      <c r="K6" s="320">
        <v>7.2623601704043694E-2</v>
      </c>
      <c r="L6" s="320">
        <v>6.9048772905710307E-2</v>
      </c>
      <c r="M6" s="320">
        <v>6.9509885601935162E-2</v>
      </c>
      <c r="N6" s="320">
        <v>6.3804563889878999E-2</v>
      </c>
      <c r="O6" s="320">
        <v>7.2326106208657676E-2</v>
      </c>
      <c r="P6" s="320">
        <v>7.4154768372393848E-2</v>
      </c>
      <c r="Q6" s="320">
        <v>8.1292947827274115E-2</v>
      </c>
      <c r="R6" s="320">
        <v>7.8011077819640784E-2</v>
      </c>
      <c r="S6" s="320">
        <v>7.6016105585943614E-2</v>
      </c>
    </row>
    <row r="7" spans="2:23" ht="13" customHeight="1">
      <c r="B7" s="182" t="str">
        <f>IF('Summary | Sumário'!D$3=Names!B$3,Names!V5,Names!W5)</f>
        <v>NIM 2.0 - IEP only (%)</v>
      </c>
      <c r="C7" s="319">
        <v>9.9142145718649363E-2</v>
      </c>
      <c r="D7" s="319">
        <v>7.5040839606477505E-2</v>
      </c>
      <c r="E7" s="319">
        <v>7.8520632436058474E-2</v>
      </c>
      <c r="F7" s="319">
        <v>7.786690423211888E-2</v>
      </c>
      <c r="G7" s="319">
        <v>8.7085309397980981E-2</v>
      </c>
      <c r="H7" s="319">
        <v>8.2698905127656999E-2</v>
      </c>
      <c r="I7" s="319">
        <v>7.2601624955520236E-2</v>
      </c>
      <c r="J7" s="319">
        <v>8.1419665829301657E-2</v>
      </c>
      <c r="K7" s="319">
        <v>8.2770428980190339E-2</v>
      </c>
      <c r="L7" s="319">
        <v>7.9975031029914642E-2</v>
      </c>
      <c r="M7" s="319">
        <v>8.1316997280889425E-2</v>
      </c>
      <c r="N7" s="319">
        <v>7.4497874078582174E-2</v>
      </c>
      <c r="O7" s="319">
        <v>8.4173192464300134E-2</v>
      </c>
      <c r="P7" s="319">
        <v>8.6677912110809552E-2</v>
      </c>
      <c r="Q7" s="319">
        <v>9.5274280837448697E-2</v>
      </c>
      <c r="R7" s="319">
        <v>9.1881395447457576E-2</v>
      </c>
      <c r="S7" s="319">
        <v>8.9925313340997362E-2</v>
      </c>
      <c r="T7" s="321"/>
    </row>
    <row r="8" spans="2:23" ht="13" customHeight="1">
      <c r="B8" s="183" t="str">
        <f>IF('Summary | Sumário'!D$3=Names!B$3,Names!V6,Names!W6)</f>
        <v>Efficiency ratio (%)</v>
      </c>
      <c r="C8" s="320">
        <v>0.80448043413149117</v>
      </c>
      <c r="D8" s="320">
        <v>0.89667983853718281</v>
      </c>
      <c r="E8" s="320">
        <v>0.82011307288876678</v>
      </c>
      <c r="F8" s="320">
        <v>0.72178100986236648</v>
      </c>
      <c r="G8" s="320">
        <f>'7.3. Efficiency | Eficiência'!G14</f>
        <v>0.54508164497360145</v>
      </c>
      <c r="H8" s="320">
        <v>0.82244761859407534</v>
      </c>
      <c r="I8" s="320">
        <v>0.89498519098050877</v>
      </c>
      <c r="J8" s="320">
        <v>0.68477256272790943</v>
      </c>
      <c r="K8" s="320">
        <v>0.88300693976751266</v>
      </c>
      <c r="L8" s="320">
        <v>0.71882612950101654</v>
      </c>
      <c r="M8" s="320">
        <v>0.68258635450748339</v>
      </c>
      <c r="N8" s="320">
        <v>0.75028931719132097</v>
      </c>
      <c r="O8" s="320">
        <v>0.73439417574268773</v>
      </c>
      <c r="P8" s="320">
        <v>0.62351057373347107</v>
      </c>
      <c r="Q8" s="320">
        <v>0.53383674950420901</v>
      </c>
      <c r="R8" s="320">
        <v>0.52425869323134722</v>
      </c>
      <c r="S8" s="320">
        <v>0.5136436519943689</v>
      </c>
    </row>
    <row r="9" spans="2:23" ht="13" customHeight="1">
      <c r="B9" s="182" t="str">
        <f>IF('Summary | Sumário'!D$3=Names!B$3,Names!V7,Names!W7)</f>
        <v>Cost-to-serve (R$)</v>
      </c>
      <c r="C9" s="322">
        <v>18.74712515371165</v>
      </c>
      <c r="D9" s="322">
        <v>17.830908574253279</v>
      </c>
      <c r="E9" s="322">
        <v>17.409938218198796</v>
      </c>
      <c r="F9" s="322">
        <v>16.574093350746622</v>
      </c>
      <c r="G9" s="322">
        <f>'7.4. CTS | Custo de servir'!G14</f>
        <v>12.852293711960394</v>
      </c>
      <c r="H9" s="322">
        <v>15.873374787065242</v>
      </c>
      <c r="I9" s="322">
        <v>17.183325533777968</v>
      </c>
      <c r="J9" s="322">
        <v>14.438974922927862</v>
      </c>
      <c r="K9" s="322">
        <v>21.197166973408052</v>
      </c>
      <c r="L9" s="322">
        <v>17.504516477667526</v>
      </c>
      <c r="M9" s="322">
        <v>15.659009047475481</v>
      </c>
      <c r="N9" s="322">
        <v>15.811985206549455</v>
      </c>
      <c r="O9" s="322">
        <v>17.144369708964522</v>
      </c>
      <c r="P9" s="322">
        <v>13.841844617734582</v>
      </c>
      <c r="Q9" s="322">
        <v>12.525885414818191</v>
      </c>
      <c r="R9" s="322">
        <v>12.654836511248545</v>
      </c>
      <c r="S9" s="322">
        <v>12.494674203389398</v>
      </c>
    </row>
    <row r="10" spans="2:23" ht="13" customHeight="1">
      <c r="B10" s="183" t="str">
        <f>IF('Summary | Sumário'!D$3=Names!B$3,Names!V8,Names!W8)</f>
        <v>ARPAC gross of cost of funding (R$)</v>
      </c>
      <c r="C10" s="323">
        <v>37.439906636795584</v>
      </c>
      <c r="D10" s="323">
        <v>29.358654512771416</v>
      </c>
      <c r="E10" s="323">
        <v>36.896687804881864</v>
      </c>
      <c r="F10" s="323">
        <v>46.598265162928641</v>
      </c>
      <c r="G10" s="323">
        <v>51.539350932127313</v>
      </c>
      <c r="H10" s="323">
        <v>31.860046277549944</v>
      </c>
      <c r="I10" s="323">
        <v>32.116695201378882</v>
      </c>
      <c r="J10" s="323">
        <v>37.142020815254909</v>
      </c>
      <c r="K10" s="323">
        <v>43.653798617393988</v>
      </c>
      <c r="L10" s="323">
        <v>45.637602004130088</v>
      </c>
      <c r="M10" s="323">
        <v>47.272647711128187</v>
      </c>
      <c r="N10" s="323">
        <v>45.89827789545167</v>
      </c>
      <c r="O10" s="323">
        <v>46.871330110655641</v>
      </c>
      <c r="P10" s="323">
        <v>45.928746437189169</v>
      </c>
      <c r="Q10" s="323">
        <v>46.097358198258931</v>
      </c>
      <c r="R10" s="323">
        <v>47.683228896709714</v>
      </c>
      <c r="S10" s="323">
        <v>45.943992190292008</v>
      </c>
    </row>
    <row r="11" spans="2:23" ht="13" customHeight="1">
      <c r="B11" s="182" t="str">
        <f>IF('Summary | Sumário'!D$3=Names!B$3,Names!V9,Names!W9)</f>
        <v>ARPAC net of cost of of funding (R$)</v>
      </c>
      <c r="C11" s="322">
        <v>28.068065362420551</v>
      </c>
      <c r="D11" s="322">
        <v>25.281336702420809</v>
      </c>
      <c r="E11" s="322">
        <v>30.465631062462688</v>
      </c>
      <c r="F11" s="322">
        <v>31.241092041703261</v>
      </c>
      <c r="G11" s="322">
        <v>33.117812815263498</v>
      </c>
      <c r="H11" s="322">
        <v>28.021111826481732</v>
      </c>
      <c r="I11" s="322">
        <v>27.758634276534909</v>
      </c>
      <c r="J11" s="322">
        <v>30.994658079423658</v>
      </c>
      <c r="K11" s="322">
        <v>33.616350581439335</v>
      </c>
      <c r="L11" s="322">
        <v>33.642889178916676</v>
      </c>
      <c r="M11" s="322">
        <v>32.228347203683377</v>
      </c>
      <c r="N11" s="322">
        <v>28.619330689169562</v>
      </c>
      <c r="O11" s="322">
        <v>30.603060803784444</v>
      </c>
      <c r="P11" s="322">
        <v>28.760728037016342</v>
      </c>
      <c r="Q11" s="322">
        <v>29.637117497266111</v>
      </c>
      <c r="R11" s="322">
        <v>30.545065184754449</v>
      </c>
      <c r="S11" s="322">
        <v>30.213529860070665</v>
      </c>
    </row>
    <row r="12" spans="2:23" ht="13" customHeight="1">
      <c r="B12" s="183" t="str">
        <f>IF('Summary | Sumário'!D$3=Names!B$3,Names!V10,Names!W10)</f>
        <v>ROAA (%)</v>
      </c>
      <c r="C12" s="320">
        <v>3.0137344267975844E-3</v>
      </c>
      <c r="D12" s="320">
        <v>2.03568129271206E-3</v>
      </c>
      <c r="E12" s="320">
        <v>-1.9476721466506826E-3</v>
      </c>
      <c r="F12" s="320">
        <v>-3.3937600244941883E-4</v>
      </c>
      <c r="G12" s="320">
        <v>8.16235850035049E-3</v>
      </c>
      <c r="H12" s="320">
        <v>-5.2092398426627066E-4</v>
      </c>
      <c r="I12" s="320">
        <v>-4.7150550114909654E-3</v>
      </c>
      <c r="J12" s="320">
        <v>4.2886875256527663E-3</v>
      </c>
      <c r="K12" s="320">
        <v>-6.3902394101949785E-3</v>
      </c>
      <c r="L12" s="320">
        <v>-3.0646390834829728E-3</v>
      </c>
      <c r="M12" s="320">
        <v>1.5614253156473533E-3</v>
      </c>
      <c r="N12" s="320">
        <v>-2.7927361117431526E-3</v>
      </c>
      <c r="O12" s="320">
        <v>2.5558476185419468E-3</v>
      </c>
      <c r="P12" s="320">
        <v>2.0599676786001273E-3</v>
      </c>
      <c r="Q12" s="320">
        <v>5.2543782997418655E-3</v>
      </c>
      <c r="R12" s="320">
        <v>7.9298705758538354E-3</v>
      </c>
      <c r="S12" s="320">
        <v>1.1068962794254815E-2</v>
      </c>
    </row>
    <row r="13" spans="2:23" ht="13" customHeight="1">
      <c r="B13" s="182" t="str">
        <f>IF('Summary | Sumário'!D$3=Names!B$3,Names!V11,Names!W11)</f>
        <v>ROAE (%)</v>
      </c>
      <c r="C13" s="319">
        <v>1.4047424579243236E-2</v>
      </c>
      <c r="D13" s="319">
        <v>1.2450073360639399E-2</v>
      </c>
      <c r="E13" s="319">
        <v>-1.2816632939146253E-2</v>
      </c>
      <c r="F13" s="319">
        <v>-2.3818527398849591E-3</v>
      </c>
      <c r="G13" s="319">
        <v>4.8554274369630328E-2</v>
      </c>
      <c r="H13" s="319">
        <v>-3.2768173052661002E-3</v>
      </c>
      <c r="I13" s="319">
        <v>-2.0428791131351785E-2</v>
      </c>
      <c r="J13" s="319">
        <v>1.5947182749384788E-2</v>
      </c>
      <c r="K13" s="319">
        <v>-2.6477465454938745E-2</v>
      </c>
      <c r="L13" s="319">
        <v>-1.3721547930939392E-2</v>
      </c>
      <c r="M13" s="319">
        <v>8.0289028644101833E-3</v>
      </c>
      <c r="N13" s="319">
        <v>-1.6608156020408833E-2</v>
      </c>
      <c r="O13" s="319">
        <v>1.6199070395942601E-2</v>
      </c>
      <c r="P13" s="319">
        <v>1.3615002027547946E-2</v>
      </c>
      <c r="Q13" s="319">
        <v>3.5509163231094806E-2</v>
      </c>
      <c r="R13" s="319">
        <v>5.6740741194691365E-2</v>
      </c>
      <c r="S13" s="319">
        <v>8.537951387371448E-2</v>
      </c>
    </row>
    <row r="14" spans="2:23" ht="13" customHeight="1">
      <c r="B14" s="29" t="str">
        <f>IF('Summary | Sumário'!D$3=Names!B$3,Names!V12,Names!W12)</f>
        <v>Cost of risk (%)</v>
      </c>
      <c r="C14" s="324">
        <f>'7.6. Cost of Risk'!C10</f>
        <v>2.9005395627358637E-2</v>
      </c>
      <c r="D14" s="324">
        <f>'7.6. Cost of Risk'!D10</f>
        <v>3.1500109268915409E-2</v>
      </c>
      <c r="E14" s="324">
        <f>'7.6. Cost of Risk'!E10</f>
        <v>4.5288285302495519E-2</v>
      </c>
      <c r="F14" s="324">
        <f>'7.6. Cost of Risk'!F10</f>
        <v>5.1514391982746453E-2</v>
      </c>
      <c r="G14" s="324">
        <f>'7.6. Cost of Risk'!H10</f>
        <v>4.4634313670387712E-2</v>
      </c>
      <c r="H14" s="324">
        <f>'7.6. Cost of Risk'!H10</f>
        <v>4.4634313670387712E-2</v>
      </c>
      <c r="I14" s="324">
        <f>'7.6. Cost of Risk'!I10</f>
        <v>5.8424647902114324E-2</v>
      </c>
      <c r="J14" s="324">
        <f>'7.6. Cost of Risk'!J10</f>
        <v>4.0064739961695038E-2</v>
      </c>
      <c r="K14" s="324">
        <f>'7.6. Cost of Risk'!K10</f>
        <v>4.5203492569813042E-2</v>
      </c>
      <c r="L14" s="324">
        <f>'7.6. Cost of Risk'!L10</f>
        <v>6.9475299588002581E-2</v>
      </c>
      <c r="M14" s="324">
        <f>'7.6. Cost of Risk'!M10</f>
        <v>5.052883253163383E-2</v>
      </c>
      <c r="N14" s="324">
        <f>'7.6. Cost of Risk'!N10</f>
        <v>5.0236830789062659E-2</v>
      </c>
      <c r="O14" s="324">
        <f>'7.6. Cost of Risk'!O10</f>
        <v>4.5464906141166862E-2</v>
      </c>
      <c r="P14" s="324">
        <f>'7.6. Cost of Risk'!P10</f>
        <v>5.6477997401058043E-2</v>
      </c>
      <c r="Q14" s="324">
        <f>'7.6. Cost of Risk'!Q10</f>
        <v>6.1787867829059713E-2</v>
      </c>
      <c r="R14" s="324">
        <f>'7.6. Cost of Risk'!R10</f>
        <v>5.8999999999999997E-2</v>
      </c>
      <c r="S14" s="324">
        <f>'7.6. Cost of Risk'!T10</f>
        <v>0</v>
      </c>
    </row>
    <row r="17" spans="7:19" ht="13" customHeight="1">
      <c r="S17" s="488"/>
    </row>
    <row r="21" spans="7:19" ht="13" customHeight="1">
      <c r="G21" s="488"/>
    </row>
  </sheetData>
  <sheetProtection algorithmName="SHA-512" hashValue="g40I26rUPNGP0U2WBHsz6Z4rOJPU7xpCGvHEPDTaYzd6kcSsoiltjiSU9EiQ6cP/lRYs6160XZ0E7//bauK7tQ==" saltValue="5VQT3IgqfG4zoQ79UIlAfA==" spinCount="100000" sheet="1" formatCells="0" formatColumns="0" formatRows="0" insertColumns="0" insertRows="0" insertHyperlinks="0" deleteColumns="0" deleteRows="0" sort="0" autoFilter="0" pivotTables="0"/>
  <phoneticPr fontId="6" type="noConversion"/>
  <pageMargins left="0.511811024" right="0.511811024" top="0.78740157499999996" bottom="0.78740157499999996" header="0.31496062000000002" footer="0.31496062000000002"/>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32387ac-e78b-4690-a915-72ca2ef0e251">
      <UserInfo>
        <DisplayName/>
        <AccountId xsi:nil="true"/>
        <AccountType/>
      </UserInfo>
    </SharedWithUsers>
    <lcf76f155ced4ddcb4097134ff3c332f xmlns="5d9f6fee-b6ef-4fa4-8eca-ab2ea167719e">
      <Terms xmlns="http://schemas.microsoft.com/office/infopath/2007/PartnerControls"/>
    </lcf76f155ced4ddcb4097134ff3c332f>
    <TaxCatchAll xmlns="732387ac-e78b-4690-a915-72ca2ef0e25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E818A26B56FC449FC3FC4B33B773FD" ma:contentTypeVersion="16" ma:contentTypeDescription="Create a new document." ma:contentTypeScope="" ma:versionID="df4f162508ec91738c646fc934dde22c">
  <xsd:schema xmlns:xsd="http://www.w3.org/2001/XMLSchema" xmlns:xs="http://www.w3.org/2001/XMLSchema" xmlns:p="http://schemas.microsoft.com/office/2006/metadata/properties" xmlns:ns2="5d9f6fee-b6ef-4fa4-8eca-ab2ea167719e" xmlns:ns3="732387ac-e78b-4690-a915-72ca2ef0e251" targetNamespace="http://schemas.microsoft.com/office/2006/metadata/properties" ma:root="true" ma:fieldsID="654138d876e56177fb2dbeaa804090c0" ns2:_="" ns3:_="">
    <xsd:import namespace="5d9f6fee-b6ef-4fa4-8eca-ab2ea167719e"/>
    <xsd:import namespace="732387ac-e78b-4690-a915-72ca2ef0e2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9f6fee-b6ef-4fa4-8eca-ab2ea1677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5be271f-47c9-4e56-9709-cda91bb85461"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2387ac-e78b-4690-a915-72ca2ef0e2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212c62a7-6304-4677-961b-98b31ee99232}" ma:internalName="TaxCatchAll" ma:showField="CatchAllData" ma:web="732387ac-e78b-4690-a915-72ca2ef0e2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2DE5B4-D031-4212-9547-CB6B5BD9375B}">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732387ac-e78b-4690-a915-72ca2ef0e251"/>
    <ds:schemaRef ds:uri="5d9f6fee-b6ef-4fa4-8eca-ab2ea167719e"/>
    <ds:schemaRef ds:uri="http://purl.org/dc/dcmitype/"/>
  </ds:schemaRefs>
</ds:datastoreItem>
</file>

<file path=customXml/itemProps2.xml><?xml version="1.0" encoding="utf-8"?>
<ds:datastoreItem xmlns:ds="http://schemas.openxmlformats.org/officeDocument/2006/customXml" ds:itemID="{778AB304-D8F3-4CB9-A5A3-9BF41F4899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9f6fee-b6ef-4fa4-8eca-ab2ea167719e"/>
    <ds:schemaRef ds:uri="732387ac-e78b-4690-a915-72ca2ef0e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3CD487-4B02-4B36-BF83-23F3D0CAF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Names</vt:lpstr>
      <vt:lpstr>Summary | Sumário</vt:lpstr>
      <vt:lpstr>1. Highlights</vt:lpstr>
      <vt:lpstr>2. BS | BP</vt:lpstr>
      <vt:lpstr>3. IS | DRE</vt:lpstr>
      <vt:lpstr>4. Credit | Crédito</vt:lpstr>
      <vt:lpstr>5. Funding</vt:lpstr>
      <vt:lpstr>6. Fee Revenue | R. de Serviços</vt:lpstr>
      <vt:lpstr>7. Financial KPIs (Financeiros)</vt:lpstr>
      <vt:lpstr>7.1. Tier I Ratio | Basileia</vt:lpstr>
      <vt:lpstr>7.2. NIMs</vt:lpstr>
      <vt:lpstr>7.3. Efficiency | Eficiência</vt:lpstr>
      <vt:lpstr>7.4. CTS | Custo de servir</vt:lpstr>
      <vt:lpstr>7.5. ARPAC</vt:lpstr>
      <vt:lpstr>7.6. Cost of Risk</vt:lpstr>
      <vt:lpstr>1. Inter Invest</vt:lpstr>
      <vt:lpstr>2. Inter Seguros</vt:lpstr>
      <vt:lpstr>3. Inter Shop</vt:lpstr>
      <vt:lpstr>4. Digital Acou. | Conta Dig.</vt:lpstr>
      <vt:lpstr>5. Oper. KPIs | KPIs Oper.</vt:lpstr>
      <vt:lpstr>1. Simulation | Simulação</vt:lpstr>
      <vt:lpstr>2. Disclaimer</vt:lpstr>
      <vt:lpstr>3. Glossary | Glossário</vt:lpstr>
    </vt:vector>
  </TitlesOfParts>
  <Manager/>
  <Company>Inter&amp;Co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Inter&amp;Co - Historical Data</dc:title>
  <dc:subject/>
  <dc:creator>Fernand Marinho Fernandes</dc:creator>
  <cp:keywords/>
  <dc:description/>
  <cp:lastModifiedBy>Fernando Marinho Fernandes</cp:lastModifiedBy>
  <cp:revision/>
  <dcterms:created xsi:type="dcterms:W3CDTF">2016-08-05T17:50:49Z</dcterms:created>
  <dcterms:modified xsi:type="dcterms:W3CDTF">2024-04-02T17:38:28Z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24d9c5-38c1-495b-ab07-d4fc08626d86_Enabled">
    <vt:lpwstr>true</vt:lpwstr>
  </property>
  <property fmtid="{D5CDD505-2E9C-101B-9397-08002B2CF9AE}" pid="3" name="MSIP_Label_5d24d9c5-38c1-495b-ab07-d4fc08626d86_SetDate">
    <vt:lpwstr>2022-02-22T04:35:44Z</vt:lpwstr>
  </property>
  <property fmtid="{D5CDD505-2E9C-101B-9397-08002B2CF9AE}" pid="4" name="MSIP_Label_5d24d9c5-38c1-495b-ab07-d4fc08626d86_Method">
    <vt:lpwstr>Privileged</vt:lpwstr>
  </property>
  <property fmtid="{D5CDD505-2E9C-101B-9397-08002B2CF9AE}" pid="5" name="MSIP_Label_5d24d9c5-38c1-495b-ab07-d4fc08626d86_Name">
    <vt:lpwstr>Público</vt:lpwstr>
  </property>
  <property fmtid="{D5CDD505-2E9C-101B-9397-08002B2CF9AE}" pid="6" name="MSIP_Label_5d24d9c5-38c1-495b-ab07-d4fc08626d86_SiteId">
    <vt:lpwstr>05e665c9-c502-4a19-98a5-a913a6f52be8</vt:lpwstr>
  </property>
  <property fmtid="{D5CDD505-2E9C-101B-9397-08002B2CF9AE}" pid="7" name="MSIP_Label_5d24d9c5-38c1-495b-ab07-d4fc08626d86_ActionId">
    <vt:lpwstr>5a590cc8-4202-46c6-9f11-08b8c9841dbb</vt:lpwstr>
  </property>
  <property fmtid="{D5CDD505-2E9C-101B-9397-08002B2CF9AE}" pid="8" name="MSIP_Label_5d24d9c5-38c1-495b-ab07-d4fc08626d86_ContentBits">
    <vt:lpwstr>0</vt:lpwstr>
  </property>
  <property fmtid="{D5CDD505-2E9C-101B-9397-08002B2CF9AE}" pid="9" name="ContentTypeId">
    <vt:lpwstr>0x0101003BE818A26B56FC449FC3FC4B33B773FD</vt:lpwstr>
  </property>
  <property fmtid="{D5CDD505-2E9C-101B-9397-08002B2CF9AE}" pid="10" name="Order">
    <vt:i4>174300</vt:i4>
  </property>
  <property fmtid="{D5CDD505-2E9C-101B-9397-08002B2CF9AE}" pid="11" name="SharedWithUsers">
    <vt:lpwstr>149;#Clara Andrade Santi;#18;#Felipe Lobo Rezende;#1109;#Pedro Henrique Leite Bontempo</vt:lpwstr>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_activity">
    <vt:lpwstr>{"FileActivityType":"9","FileActivityTimeStamp":"2022-11-08T17:41:21.233Z","FileActivityUsersOnPage":[{"DisplayName":"Maria Clara Loschi Ferreira","Id":"bi001615@bancointer.com.br"},{"DisplayName":"Pedro Henrique Leite Bontempo","Id":"bi005720@bancointer.com.br"}]}</vt:lpwstr>
  </property>
  <property fmtid="{D5CDD505-2E9C-101B-9397-08002B2CF9AE}" pid="16" name="_ExtendedDescription">
    <vt:lpwstr/>
  </property>
  <property fmtid="{D5CDD505-2E9C-101B-9397-08002B2CF9AE}" pid="17" name="TriggerFlowInfo">
    <vt:lpwstr/>
  </property>
  <property fmtid="{D5CDD505-2E9C-101B-9397-08002B2CF9AE}" pid="18" name="xd_ProgID">
    <vt:lpwstr/>
  </property>
  <property fmtid="{D5CDD505-2E9C-101B-9397-08002B2CF9AE}" pid="19" name="TemplateUrl">
    <vt:lpwstr/>
  </property>
  <property fmtid="{D5CDD505-2E9C-101B-9397-08002B2CF9AE}" pid="20" name="xd_Signature">
    <vt:bool>false</vt:bool>
  </property>
  <property fmtid="{D5CDD505-2E9C-101B-9397-08002B2CF9AE}" pid="21" name="MediaServiceImageTags">
    <vt:lpwstr/>
  </property>
</Properties>
</file>